
<file path=[Content_Types].xml><?xml version="1.0" encoding="utf-8"?>
<Types xmlns="http://schemas.openxmlformats.org/package/2006/content-types">
  <Override PartName="/xl/revisions/revisionLog11421.xml" ContentType="application/vnd.openxmlformats-officedocument.spreadsheetml.revisionLog+xml"/>
  <Override PartName="/xl/revisions/revisionLog118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14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27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36.xml" ContentType="application/vnd.openxmlformats-officedocument.spreadsheetml.revisionLog+xml"/>
  <Override PartName="/xl/revisions/revisionLog129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4.xml" ContentType="application/vnd.openxmlformats-officedocument.spreadsheetml.revisionLog+xml"/>
  <Override PartName="/xl/revisions/revisionLog123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34.xml" ContentType="application/vnd.openxmlformats-officedocument.spreadsheetml.revisionLog+xml"/>
  <Default Extension="xml" ContentType="application/xml"/>
  <Override PartName="/xl/revisions/revisionLog11531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15311.xml" ContentType="application/vnd.openxmlformats-officedocument.spreadsheetml.revisionLog+xml"/>
  <Override PartName="/xl/revisions/revisionLog12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7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53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.xml" ContentType="application/vnd.openxmlformats-officedocument.spreadsheetml.revisionLog+xml"/>
  <Override PartName="/xl/revisions/revisionLog1125.xml" ContentType="application/vnd.openxmlformats-officedocument.spreadsheetml.revisionLog+xml"/>
  <Override PartName="/xl/revisions/revisionLog118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142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123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29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102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revisions/revisionLog117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23.xml" ContentType="application/vnd.openxmlformats-officedocument.spreadsheetml.worksheet+xml"/>
  <Override PartName="/xl/revisions/revisionLog135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1521.xml" ContentType="application/vnd.openxmlformats-officedocument.spreadsheetml.revisionLog+xml"/>
  <Override PartName="/xl/revisions/revisionLog11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  <sheet name="Лист3" sheetId="22" r:id="rId22"/>
    <sheet name="Лист4" sheetId="23" r:id="rId23"/>
  </sheets>
  <definedNames>
    <definedName name="Z_120EA1E0_6265_45F1_AFBB_CEB5CB007D02_.wvu.Cols" localSheetId="1" hidden="1">Справка!$AV:$AX,Справка!$BB:$BD,Справка!$BH:$BJ,Справка!$BL:$BM,Справка!$BT:$BY,Справка!$CX:$DF</definedName>
    <definedName name="Z_120EA1E0_6265_45F1_AFBB_CEB5CB007D02_.wvu.PrintArea" localSheetId="3" hidden="1">Але!$A$1:$F$97</definedName>
    <definedName name="Z_120EA1E0_6265_45F1_AFBB_CEB5CB007D02_.wvu.PrintArea" localSheetId="5" hidden="1">Иль!$A$1:$F$104</definedName>
    <definedName name="Z_120EA1E0_6265_45F1_AFBB_CEB5CB007D02_.wvu.PrintArea" localSheetId="0" hidden="1">Консол!$A$1:$K$50</definedName>
    <definedName name="Z_120EA1E0_6265_45F1_AFBB_CEB5CB007D02_.wvu.PrintArea" localSheetId="7" hidden="1">Мор!$A$1:$F$101</definedName>
    <definedName name="Z_120EA1E0_6265_45F1_AFBB_CEB5CB007D02_.wvu.PrintArea" localSheetId="2" hidden="1">район!$A$1:$F$148</definedName>
    <definedName name="Z_120EA1E0_6265_45F1_AFBB_CEB5CB007D02_.wvu.PrintArea" localSheetId="1" hidden="1">Справка!$A$1:$EY$31</definedName>
    <definedName name="Z_120EA1E0_6265_45F1_AFBB_CEB5CB007D02_.wvu.PrintArea" localSheetId="4" hidden="1">Сун!$A$1:$F$104</definedName>
    <definedName name="Z_120EA1E0_6265_45F1_AFBB_CEB5CB007D02_.wvu.PrintArea" localSheetId="11" hidden="1">Тор!$A$1:$F$101</definedName>
    <definedName name="Z_120EA1E0_6265_45F1_AFBB_CEB5CB007D02_.wvu.PrintArea" localSheetId="15" hidden="1">Юнг!$A$1:$F$100</definedName>
    <definedName name="Z_120EA1E0_6265_45F1_AFBB_CEB5CB007D02_.wvu.PrintArea" localSheetId="17" hidden="1">Яра!$A$1:$F$102</definedName>
    <definedName name="Z_120EA1E0_6265_45F1_AFBB_CEB5CB007D02_.wvu.Rows" localSheetId="3" hidden="1">Але!$19:$24,Але!$28:$28,Але!$36:$36,Але!$46:$46,Але!$55:$57,Але!$74:$75,Але!$79:$82,Але!$86:$93,Але!$142:$142</definedName>
    <definedName name="Z_120EA1E0_6265_45F1_AFBB_CEB5CB007D02_.wvu.Rows" localSheetId="5" hidden="1">Иль!$19:$23,Иль!$34:$34,Иль!$39:$39,Иль!$58:$58,Иль!$60:$62,Иль!$68:$69,Иль!$78:$79,Иль!$81:$81,Иль!$86:$90,Иль!$93:$100,Иль!$143:$143</definedName>
    <definedName name="Z_120EA1E0_6265_45F1_AFBB_CEB5CB007D02_.wvu.Rows" localSheetId="6" hidden="1">Кад!$19:$24,Кад!$31:$35,Кад!$38:$38,Кад!$44:$44,Кад!$48:$48,Кад!$56:$56,Кад!$58:$60,Кад!$66:$67,Кад!$77:$78,Кад!$82:$86,Кад!$89:$96,Кад!$142:$142</definedName>
    <definedName name="Z_120EA1E0_6265_45F1_AFBB_CEB5CB007D02_.wvu.Rows" localSheetId="0" hidden="1">Консол!$22:$22,Консол!$43:$45</definedName>
    <definedName name="Z_120EA1E0_6265_45F1_AFBB_CEB5CB007D02_.wvu.Rows" localSheetId="19" hidden="1">Лист1!$82:$84</definedName>
    <definedName name="Z_120EA1E0_6265_45F1_AFBB_CEB5CB007D02_.wvu.Rows" localSheetId="7" hidden="1">Мор!$17:$24,Мор!$27:$27,Мор!$31:$33,Мор!$44:$44,Мор!$47:$47,Мор!$49:$49,Мор!$57:$57,Мор!$59:$60,Мор!$64:$65,Мор!$67:$68,Мор!$78:$79,Мор!$83:$88,Мор!$91:$97,Мор!$142:$142</definedName>
    <definedName name="Z_120EA1E0_6265_45F1_AFBB_CEB5CB007D02_.wvu.Rows" localSheetId="8" hidden="1">Мос!$19:$24,Мос!$29:$33,Мос!$44:$44,Мос!$50:$50,Мос!$58:$58,Мос!$60:$61,Мос!$68:$69,Мос!$79:$80,Мос!$82:$82,Мос!$85:$92,Мос!$95:$102,Мос!$143:$143</definedName>
    <definedName name="Z_120EA1E0_6265_45F1_AFBB_CEB5CB007D02_.wvu.Rows" localSheetId="9" hidden="1">Ори!$19:$24,Ори!$31:$35,Ори!$44:$44,Ори!$48:$50,Ори!$57:$57,Ори!$59:$60,Ори!$67:$68,Ори!$78:$79,Ори!$81:$81,Ори!$84:$88,Ори!$91:$98,Ори!$142:$142</definedName>
    <definedName name="Z_120EA1E0_6265_45F1_AFBB_CEB5CB007D02_.wvu.Rows" localSheetId="2" hidden="1">район!$17:$17,район!$20:$20,район!$27:$31,район!$35:$35,район!$38:$38,район!$50:$51,район!$55:$55,район!$57:$57,район!$62:$62,район!$99:$99,район!$106:$106,район!$134:$136,район!$139:$140</definedName>
    <definedName name="Z_120EA1E0_6265_45F1_AFBB_CEB5CB007D02_.wvu.Rows" localSheetId="4" hidden="1">Сун!$19:$24,Сун!$33:$38,Сун!$45:$45,Сун!$49:$51,Сун!$58:$58,Сун!$60:$62,Сун!$68:$69,Сун!$79:$80,Сун!$82:$82,Сун!$85:$85,Сун!$87:$89,Сун!$93:$100,Сун!$142:$142</definedName>
    <definedName name="Z_120EA1E0_6265_45F1_AFBB_CEB5CB007D02_.wvu.Rows" localSheetId="10" hidden="1">Сят!$19:$24,Сят!$31:$33,Сят!$38:$38,Сят!$45:$47,Сят!$57:$57,Сят!$59:$60,Сят!$67:$68,Сят!$78:$79,Сят!$83:$87,Сят!$90:$97,Сят!$143:$143</definedName>
    <definedName name="Z_120EA1E0_6265_45F1_AFBB_CEB5CB007D02_.wvu.Rows" localSheetId="11" hidden="1">Тор!$19:$24,Тор!$32:$34,Тор!$39:$39,Тор!$50:$50,Тор!$57:$57,Тор!$59:$60,Тор!$67:$68,Тор!$75:$75,Тор!$79:$80,Тор!$86:$95,Тор!$142:$142</definedName>
    <definedName name="Z_120EA1E0_6265_45F1_AFBB_CEB5CB007D02_.wvu.Rows" localSheetId="12" hidden="1">Хор!$19:$24,Хор!$28:$35,Хор!$40:$40,Хор!$46:$48,Хор!$55:$55,Хор!$57:$59,Хор!$65:$66,Хор!$76:$77,Хор!$81:$85,Хор!$88:$95,Хор!$142:$142</definedName>
    <definedName name="Z_120EA1E0_6265_45F1_AFBB_CEB5CB007D02_.wvu.Rows" localSheetId="13" hidden="1">Чум!$19:$24,Чум!$31:$36,Чум!$48:$49,Чум!$57:$57,Чум!$59:$61,Чум!$67:$68,Чум!$78:$79,Чум!$83:$87,Чум!$90:$97,Чум!$142:$142</definedName>
    <definedName name="Z_120EA1E0_6265_45F1_AFBB_CEB5CB007D02_.wvu.Rows" localSheetId="14" hidden="1">Шать!$19:$25,Шать!$31:$33,Шать!$57:$57,Шать!$59:$60,Шать!$67:$68,Шать!$78:$79,Шать!$84:$86,Шать!$90:$97,Шать!$142:$142</definedName>
    <definedName name="Z_120EA1E0_6265_45F1_AFBB_CEB5CB007D02_.wvu.Rows" localSheetId="15" hidden="1">Юнг!$19:$24,Юнг!$38:$38,Юнг!$46:$46,Юнг!$56:$56,Юнг!$58:$60,Юнг!$66:$67,Юнг!$77:$78,Юнг!$82:$86,Юнг!$89:$96,Юнг!$142:$142</definedName>
    <definedName name="Z_120EA1E0_6265_45F1_AFBB_CEB5CB007D02_.wvu.Rows" localSheetId="16" hidden="1">Юсь!$19:$24,Юсь!$36:$36,Юсь!$44:$50,Юсь!$58:$58,Юсь!$60:$61,Юсь!$68:$69,Юсь!$79:$80,Юсь!$84:$88,Юсь!$91:$98,Юсь!$142:$142</definedName>
    <definedName name="Z_120EA1E0_6265_45F1_AFBB_CEB5CB007D02_.wvu.Rows" localSheetId="17" hidden="1">Яра!$19:$24,Яра!$28:$29,Яра!$33:$33,Яра!$46:$50,Яра!$58:$58,Яра!$60:$61,Яра!$68:$69,Яра!$79:$80,Яра!$84:$88,Яра!$91:$98,Яра!$143:$143</definedName>
    <definedName name="Z_120EA1E0_6265_45F1_AFBB_CEB5CB007D02_.wvu.Rows" localSheetId="18" hidden="1">Яро!$19:$24,Яро!$28:$28,Яро!$43:$43,Яро!$46:$47,Яро!$54:$54,Яро!$56:$58,Яро!$64:$65,Яро!$75:$75,Яро!$82:$84,Яро!$87:$90,Яро!$92:$94</definedName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район!$17:$18,район!$20:$20,район!$25:$25,район!$27:$31,район!$35:$35,район!$38:$38,район!$50:$51,район!$75:$75,район!$82:$82,район!$99:$99,район!$106:$106,район!$134:$136,район!$139:$140</definedName>
    <definedName name="Z_1718F1EE_9F48_4DBE_9531_3B70F9C4A5DD_.wvu.Rows" localSheetId="1" hidden="1">Справка!#REF!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район!$17:$18,район!$20:$20,район!$28:$30,район!$50:$51,район!$62:$62,район!$75:$75,район!$82:$82,район!$99:$99,район!$106:$106,район!$134:$136</definedName>
    <definedName name="Z_1A52382B_3765_4E8C_903F_6B8919B7242E_.wvu.Rows" localSheetId="1" hidden="1">Справка!#REF!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район!$17:$18,район!$20:$20,район!$28:$30,район!$50:$51,район!$75:$75,район!$82:$82,район!$99:$99,район!$106:$106,район!$134:$136</definedName>
    <definedName name="Z_3DCB9AAA_F09C_4EA6_B992_F93E466D374A_.wvu.Rows" localSheetId="1" hidden="1">Справка!#REF!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$106:$106,район!$114:$114,район!$134:$136,район!$139:$140</definedName>
    <definedName name="Z_42584DC0_1D41_4C93_9B38_C388E7B8DAC4_.wvu.Rows" localSheetId="1" hidden="1">Справка!#REF!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район!$17:$18,район!$20:$20,район!$28:$30,район!$50:$51,район!$75:$75,район!$82:$82,район!$99:$99,район!$106:$106,район!$134:$136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район!$A$1:$F$148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Иль!$19:$23,Иль!$34:$34,Иль!$39:$39,Иль!$58:$58,Иль!$60:$62,Иль!$68:$69,Иль!$78:$79,Иль!$81:$81,Иль!$86:$90,Иль!$93:$100,Иль!$143:$143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Кад!$19:$24,Кад!$31:$35,Кад!$38:$38,Кад!$44:$44,Кад!$48:$48,Кад!$56:$56,Кад!$58:$60,Кад!$66:$67,Кад!$77:$78,Кад!$82:$86,Кад!$89:$96,Кад!$142:$142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Мор!$17:$24,Мор!$27:$27,Мор!$31:$33,Мор!$44:$44,Мор!$47:$47,Мор!$49:$49,Мор!$57:$57,Мор!$59:$60,Мор!$64:$65,Мор!$67:$68,Мор!$78:$79,Мор!$83:$88,Мор!$91:$97,Мор!$142:$142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Ори!$19:$24,Ори!$31:$35,Ори!$44:$44,Ори!$48:$50,Ори!$57:$57,Ори!$59:$60,Ори!$67:$68,Ори!$78:$79,Ори!$81:$81,Ори!$84:$88,Ори!$91:$98,Ори!$142:$142</definedName>
    <definedName name="Z_61528DAC_5C4C_48F4_ADE2_8A724B05A086_.wvu.Rows" localSheetId="2" hidden="1">район!$17:$17,район!$20:$20,район!$27:$31,район!$35:$35,район!$38:$38,район!$50:$51,район!$55:$55,район!$57:$57,район!$62:$62,район!$99:$99,район!$106:$106,район!$134:$136,район!$139:$140</definedName>
    <definedName name="Z_61528DAC_5C4C_48F4_ADE2_8A724B05A086_.wvu.Rows" localSheetId="4" hidden="1">Сун!$19:$24,Сун!$33:$38,Сун!$45:$45,Сун!$49:$51,Сун!$58:$58,Сун!$60:$62,Сун!$68:$69,Сун!$79:$80,Сун!$82:$82,Сун!$85:$85,Сун!$87:$89,Сун!$93:$100,Сун!$142:$142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Сят!$19:$24,Сят!$31:$33,Сят!$38:$38,Сят!$45:$47,Сят!$57:$57,Сят!$59:$60,Сят!$67:$68,Сят!$78:$79,Сят!$83:$87,Сят!$90:$97,Сят!$143:$143</definedName>
    <definedName name="Z_61528DAC_5C4C_48F4_ADE2_8A724B05A086_.wvu.Rows" localSheetId="11" hidden="1">Тор!$19:$24,Тор!$32:$34,Тор!$39:$39,Тор!$50:$50,Тор!$57:$57,Тор!$59:$60,Тор!$67:$68,Тор!$75:$75,Тор!$79:$80,Тор!$86:$95,Тор!$142:$142</definedName>
    <definedName name="Z_61528DAC_5C4C_48F4_ADE2_8A724B05A086_.wvu.Rows" localSheetId="12" hidden="1">Хор!$19:$24,Хор!$28:$35,Хор!$40:$40,Хор!$46:$48,Хор!$55:$55,Хор!$57:$59,Хор!$65:$66,Хор!$76:$77,Хор!$81:$85,Хор!$88:$95,Хор!$142:$142</definedName>
    <definedName name="Z_61528DAC_5C4C_48F4_ADE2_8A724B05A086_.wvu.Rows" localSheetId="13" hidden="1">Чум!$19:$24,Чум!$31:$36,Чум!$48:$49,Чум!$57:$57,Чум!$59:$61,Чум!$67:$68,Чум!$78:$79,Чум!$83:$87,Чум!$90:$97,Чум!$142:$142</definedName>
    <definedName name="Z_61528DAC_5C4C_48F4_ADE2_8A724B05A086_.wvu.Rows" localSheetId="14" hidden="1">Шать!$19:$25,Шать!$31:$33,Шать!$57:$57,Шать!$59:$60,Шать!$67:$68,Шать!$78:$79,Шать!$84:$86,Шать!$90:$97,Шать!$142:$142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Юсь!$19:$24,Юсь!$36:$36,Юсь!$44:$50,Юсь!$58:$58,Юсь!$60:$61,Юсь!$68:$69,Юсь!$79:$80,Юсь!$84:$88,Юсь!$91:$98,Юсь!$142:$142</definedName>
    <definedName name="Z_61528DAC_5C4C_48F4_ADE2_8A724B05A086_.wvu.Rows" localSheetId="17" hidden="1">Яра!$19:$24,Яра!$28:$29,Яра!$33:$33,Яра!$46:$50,Яра!$58:$58,Яра!$60:$61,Яра!$68:$69,Яра!$79:$80,Яра!$84:$88,Яра!$91:$98,Яра!$143:$143</definedName>
    <definedName name="Z_61528DAC_5C4C_48F4_ADE2_8A724B05A086_.wvu.Rows" localSheetId="18" hidden="1">Яро!$19:$24,Яро!$28:$28,Яро!$43:$43,Яро!$46:$47,Яро!$54:$54,Яро!$56:$58,Яро!$64:$65,Яро!$75:$75,Яро!$82:$84,Яро!$87:$90,Яро!$92:$94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район!$17:$18,район!$20:$20,район!$25:$25,район!$27:$31,район!$35:$35,район!$38:$38,район!$50:$51,район!$62:$62,район!$75:$75,район!$82:$82,район!$99:$99,район!$106:$106,район!$134:$136,район!$139:$140</definedName>
    <definedName name="Z_A54C432C_6C68_4B53_A75C_446EB3A61B2B_.wvu.Rows" localSheetId="1" hidden="1">Справка!#REF!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Юсь!$A$1:$F$102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Иль!$19:$24,Иль!$34:$34,Иль!$39:$39,Иль!$48:$50,Иль!$58:$58,Иль!$60:$62,Иль!$68:$69,Иль!$78:$79,Иль!$81:$81,Иль!$86:$90,Иль!$93:$100,Иль!$143:$143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район!$17:$18,район!$20:$20,район!$27:$31,район!$35:$35,район!$38:$38,район!$50:$51,район!$62:$62,район!$75:$75,район!$82:$82,район!$99:$99,район!$134:$136,район!$139:$140</definedName>
    <definedName name="Z_B30CE22D_C12F_4E12_8BB9_3AAE0A6991CC_.wvu.Rows" localSheetId="4" hidden="1">Сун!$19:$24,Сун!$34:$36,Сун!$39:$39,Сун!$49:$51,Сун!$58:$58,Сун!$60:$62,Сун!$68:$69,Сун!$79:$80,Сун!$82:$82,Сун!$85:$85,Сун!$87:$90,Сун!$93:$100,Сун!$142:$142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Юсь!$19:$24,Юсь!$31:$33,Юсь!$36:$36,Юсь!$44:$49,Юсь!$58:$58,Юсь!$60:$61,Юсь!$68:$69,Юсь!$79:$80,Юсь!$84:$88,Юсь!$91:$98,Юсь!$142:$142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район!$17:$18,район!$20:$20,район!$28:$30,район!$50:$51,район!$75:$75,район!$82:$82,район!$99:$99,район!$106:$106,район!$134:$136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Хор!$19:$24,Хор!$32:$32,Хор!$40:$40,Хор!$55:$55,Хор!$57:$58,Хор!$65:$66,Хор!$81:$85,Хор!$88:$95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Юсь!$20:$24,Юсь!$40:$40,Юсь!$44:$49,Юсь!$68:$69,Юсь!$84:$88,Юсь!$91:$98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Яро!$19:$24,Яро!$29:$30,Яро!$43:$43,Яро!$54:$54,Яро!$56:$57,Яро!$64:$65,Яро!$75:$76,Яро!$80:$85,Яро!$87:$94</definedName>
    <definedName name="_xlnm.Print_Area" localSheetId="3">Але!$A$1:$F$97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2">район!$A$1:$F$148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4519"/>
  <customWorkbookViews>
    <customWorkbookView name="поселение - Личное представление" guid="{120EA1E0-6265-45F1-AFBB-CEB5CB007D02}" mergeInterval="0" personalView="1" maximized="1" xWindow="1" yWindow="1" windowWidth="1420" windowHeight="557" tabRatio="695" activeSheetId="8"/>
    <customWorkbookView name="morgau_fin5 - Личное представление" guid="{B31C8DB7-3E78-4144-A6B5-8DE36DE63F0E}" mergeInterval="0" personalView="1" maximized="1" xWindow="1" yWindow="1" windowWidth="1916" windowHeight="850" tabRatio="695" activeSheetId="13"/>
    <customWorkbookView name="morgau_fin2 - Личное представление" guid="{B30CE22D-C12F-4E12-8BB9-3AAE0A6991CC}" mergeInterval="0" personalView="1" maximized="1" xWindow="1" yWindow="1" windowWidth="1916" windowHeight="850" tabRatio="695" activeSheetId="5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7 - Личное представление" guid="{5BFCA170-DEAE-4D2C-98A0-1E68B427AC01}" mergeInterval="0" personalView="1" maximized="1" xWindow="1" yWindow="1" windowWidth="1916" windowHeight="850" tabRatio="695" activeSheetId="4"/>
    <customWorkbookView name="morgau_fin3 - Личное представление" guid="{61528DAC-5C4C-48F4-ADE2-8A724B05A086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C88" i="3"/>
  <c r="D52"/>
  <c r="CG19" i="2"/>
  <c r="CF19"/>
  <c r="CG17"/>
  <c r="CF17"/>
  <c r="CD17"/>
  <c r="CC17"/>
  <c r="D67" i="17"/>
  <c r="D65" i="16"/>
  <c r="D66" i="14"/>
  <c r="D64" i="13"/>
  <c r="D66" i="10"/>
  <c r="D66" i="8"/>
  <c r="D65" i="7"/>
  <c r="D33" i="3"/>
  <c r="C57" i="17"/>
  <c r="AZ15" i="2"/>
  <c r="D40" i="7"/>
  <c r="D60" i="4"/>
  <c r="D84"/>
  <c r="C73" i="3"/>
  <c r="D31" i="19"/>
  <c r="D53"/>
  <c r="D62" i="4"/>
  <c r="CM14" i="2"/>
  <c r="D38" i="13"/>
  <c r="D38" i="4"/>
  <c r="BP23" i="2"/>
  <c r="BP27"/>
  <c r="BP14"/>
  <c r="D82" i="18"/>
  <c r="D104" i="3"/>
  <c r="C104"/>
  <c r="F105"/>
  <c r="E105"/>
  <c r="CO17" i="2"/>
  <c r="CO14"/>
  <c r="F144" i="3"/>
  <c r="E144"/>
  <c r="F143"/>
  <c r="E143"/>
  <c r="F142"/>
  <c r="E142"/>
  <c r="D141"/>
  <c r="C141"/>
  <c r="F140"/>
  <c r="C139"/>
  <c r="F139" s="1"/>
  <c r="F138"/>
  <c r="E138"/>
  <c r="D137"/>
  <c r="C137"/>
  <c r="E136"/>
  <c r="E135"/>
  <c r="C134"/>
  <c r="E134" s="1"/>
  <c r="F133"/>
  <c r="E133"/>
  <c r="F132"/>
  <c r="E132"/>
  <c r="D131"/>
  <c r="C131"/>
  <c r="F130"/>
  <c r="E130"/>
  <c r="F129"/>
  <c r="E129"/>
  <c r="F128"/>
  <c r="E128"/>
  <c r="F127"/>
  <c r="E127"/>
  <c r="D126"/>
  <c r="C126"/>
  <c r="F125"/>
  <c r="E125"/>
  <c r="F124"/>
  <c r="E124"/>
  <c r="D123"/>
  <c r="C123"/>
  <c r="F122"/>
  <c r="E122"/>
  <c r="F121"/>
  <c r="E121"/>
  <c r="F120"/>
  <c r="E120"/>
  <c r="F119"/>
  <c r="E119"/>
  <c r="F118"/>
  <c r="E118"/>
  <c r="D117"/>
  <c r="C117"/>
  <c r="F116"/>
  <c r="E116"/>
  <c r="D115"/>
  <c r="C115"/>
  <c r="F114"/>
  <c r="E114"/>
  <c r="F113"/>
  <c r="E113"/>
  <c r="F112"/>
  <c r="E112"/>
  <c r="D111"/>
  <c r="C111"/>
  <c r="F110"/>
  <c r="E110"/>
  <c r="F109"/>
  <c r="E109"/>
  <c r="F107"/>
  <c r="E107"/>
  <c r="F106"/>
  <c r="E106"/>
  <c r="F103"/>
  <c r="E103"/>
  <c r="F102"/>
  <c r="E102"/>
  <c r="F101"/>
  <c r="E101"/>
  <c r="F100"/>
  <c r="E100"/>
  <c r="F99"/>
  <c r="E99"/>
  <c r="D98"/>
  <c r="C98"/>
  <c r="F97"/>
  <c r="E97"/>
  <c r="D96"/>
  <c r="C96"/>
  <c r="F95"/>
  <c r="E95"/>
  <c r="F94"/>
  <c r="E94"/>
  <c r="F93"/>
  <c r="E93"/>
  <c r="F92"/>
  <c r="E92"/>
  <c r="F91"/>
  <c r="E91"/>
  <c r="F90"/>
  <c r="E90"/>
  <c r="F89"/>
  <c r="E89"/>
  <c r="D88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D73"/>
  <c r="F71"/>
  <c r="E71"/>
  <c r="F70"/>
  <c r="E70"/>
  <c r="D69"/>
  <c r="C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C52"/>
  <c r="F51"/>
  <c r="E51"/>
  <c r="D50"/>
  <c r="C50"/>
  <c r="F49"/>
  <c r="E49"/>
  <c r="F48"/>
  <c r="E48"/>
  <c r="D47"/>
  <c r="C47"/>
  <c r="F46"/>
  <c r="F45"/>
  <c r="E45"/>
  <c r="D44"/>
  <c r="C44"/>
  <c r="F43"/>
  <c r="E43"/>
  <c r="D42"/>
  <c r="C42"/>
  <c r="F41"/>
  <c r="E41"/>
  <c r="F40"/>
  <c r="E40"/>
  <c r="F39"/>
  <c r="E39"/>
  <c r="F38"/>
  <c r="E38"/>
  <c r="F37"/>
  <c r="E37"/>
  <c r="F36"/>
  <c r="E36"/>
  <c r="F35"/>
  <c r="E35"/>
  <c r="F34"/>
  <c r="E34"/>
  <c r="C33"/>
  <c r="F31"/>
  <c r="E31"/>
  <c r="F30"/>
  <c r="E30"/>
  <c r="F29"/>
  <c r="E29"/>
  <c r="F28"/>
  <c r="E28"/>
  <c r="D27"/>
  <c r="C27"/>
  <c r="F26"/>
  <c r="E26"/>
  <c r="F25"/>
  <c r="E25"/>
  <c r="F24"/>
  <c r="E24"/>
  <c r="D23"/>
  <c r="C23"/>
  <c r="F22"/>
  <c r="E22"/>
  <c r="D21"/>
  <c r="C21"/>
  <c r="F20"/>
  <c r="E20"/>
  <c r="F19"/>
  <c r="E19"/>
  <c r="F18"/>
  <c r="E18"/>
  <c r="F17"/>
  <c r="E17"/>
  <c r="D16"/>
  <c r="C16"/>
  <c r="F15"/>
  <c r="E15"/>
  <c r="F14"/>
  <c r="E14"/>
  <c r="F13"/>
  <c r="E13"/>
  <c r="D12"/>
  <c r="C12"/>
  <c r="F11"/>
  <c r="E11"/>
  <c r="F10"/>
  <c r="E10"/>
  <c r="F9"/>
  <c r="E9"/>
  <c r="F8"/>
  <c r="E8"/>
  <c r="D7"/>
  <c r="C7"/>
  <c r="F6"/>
  <c r="E6"/>
  <c r="D5"/>
  <c r="C5"/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3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BE28" i="2"/>
  <c r="D71" i="7"/>
  <c r="D83" i="9"/>
  <c r="D26" i="6"/>
  <c r="E44" i="14"/>
  <c r="E115" i="3" l="1"/>
  <c r="E141"/>
  <c r="F131"/>
  <c r="E23"/>
  <c r="F137"/>
  <c r="F7"/>
  <c r="F23"/>
  <c r="E42"/>
  <c r="E44"/>
  <c r="E88"/>
  <c r="F12"/>
  <c r="E7"/>
  <c r="E96"/>
  <c r="F98"/>
  <c r="F123"/>
  <c r="C4"/>
  <c r="E12"/>
  <c r="E52"/>
  <c r="F73"/>
  <c r="F88"/>
  <c r="F104"/>
  <c r="E131"/>
  <c r="E111"/>
  <c r="F115"/>
  <c r="D4"/>
  <c r="E47"/>
  <c r="F69"/>
  <c r="F126"/>
  <c r="E117"/>
  <c r="C32"/>
  <c r="F50"/>
  <c r="E27"/>
  <c r="E16"/>
  <c r="E5"/>
  <c r="E21"/>
  <c r="E33"/>
  <c r="F44"/>
  <c r="F47"/>
  <c r="F111"/>
  <c r="E137"/>
  <c r="E50"/>
  <c r="F52"/>
  <c r="E69"/>
  <c r="E98"/>
  <c r="E104"/>
  <c r="E123"/>
  <c r="E126"/>
  <c r="C145"/>
  <c r="F117"/>
  <c r="E73"/>
  <c r="D32"/>
  <c r="F96"/>
  <c r="F5"/>
  <c r="F16"/>
  <c r="F21"/>
  <c r="F27"/>
  <c r="F33"/>
  <c r="F42"/>
  <c r="F141"/>
  <c r="D145"/>
  <c r="D40" i="16"/>
  <c r="F4" i="3" l="1"/>
  <c r="E4"/>
  <c r="C72"/>
  <c r="C83" s="1"/>
  <c r="D72"/>
  <c r="D83" s="1"/>
  <c r="H83" s="1"/>
  <c r="F145"/>
  <c r="E145"/>
  <c r="E32"/>
  <c r="F32"/>
  <c r="D34" i="15"/>
  <c r="D36" i="7"/>
  <c r="D66" i="12"/>
  <c r="D34" i="11"/>
  <c r="D26"/>
  <c r="D14"/>
  <c r="CV26" i="2"/>
  <c r="AT18"/>
  <c r="AQ18"/>
  <c r="C84" i="3" l="1"/>
  <c r="G83"/>
  <c r="F72"/>
  <c r="E72"/>
  <c r="D84"/>
  <c r="F83" s="1"/>
  <c r="E83"/>
  <c r="C34" i="11"/>
  <c r="BN21" i="2" s="1"/>
  <c r="C82" i="12"/>
  <c r="C38" i="17"/>
  <c r="D12" i="19"/>
  <c r="D67" i="18" l="1"/>
  <c r="E42" i="13"/>
  <c r="D82" i="12"/>
  <c r="D64"/>
  <c r="D67" i="6"/>
  <c r="C67"/>
  <c r="E72"/>
  <c r="F72"/>
  <c r="C68" i="4"/>
  <c r="D68"/>
  <c r="G32" i="1" l="1"/>
  <c r="CO19" i="2"/>
  <c r="E49" i="9"/>
  <c r="D5" i="5"/>
  <c r="C29" i="12"/>
  <c r="J15" i="2"/>
  <c r="D12" i="7"/>
  <c r="CD14" i="2"/>
  <c r="CS17"/>
  <c r="C38" i="4"/>
  <c r="AT28" i="2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1" i="5"/>
  <c r="F76"/>
  <c r="C26"/>
  <c r="D41"/>
  <c r="E48"/>
  <c r="F48"/>
  <c r="C41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G33" i="1"/>
  <c r="F33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O21" i="2"/>
  <c r="BP21" s="1"/>
  <c r="D96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2"/>
  <c r="BU33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5" i="1"/>
  <c r="D35" s="1"/>
  <c r="EC18" i="2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69" i="19"/>
  <c r="EF29" i="2" s="1"/>
  <c r="D63" i="16"/>
  <c r="D55"/>
  <c r="D76"/>
  <c r="D71"/>
  <c r="EF26" i="2" s="1"/>
  <c r="D66" i="15"/>
  <c r="EC25" i="2" s="1"/>
  <c r="D7" i="7"/>
  <c r="F40"/>
  <c r="D26"/>
  <c r="D17" i="5"/>
  <c r="EF14" i="2"/>
  <c r="DQ20"/>
  <c r="DQ17"/>
  <c r="D5" i="15"/>
  <c r="D5" i="9"/>
  <c r="C35" i="18"/>
  <c r="BN28" i="2" s="1"/>
  <c r="C34" i="8"/>
  <c r="AP18" i="2"/>
  <c r="AT19"/>
  <c r="AS18"/>
  <c r="F20" i="1"/>
  <c r="DZ22" i="2"/>
  <c r="AQ21"/>
  <c r="D65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2" s="1"/>
  <c r="BI33" s="1"/>
  <c r="BJ18"/>
  <c r="BK18"/>
  <c r="BL18"/>
  <c r="BM18"/>
  <c r="EC24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G11" i="1"/>
  <c r="D11" s="1"/>
  <c r="G5"/>
  <c r="G38"/>
  <c r="C96" i="12"/>
  <c r="EQ22" i="2" s="1"/>
  <c r="D7" i="16"/>
  <c r="E42" i="9"/>
  <c r="F42"/>
  <c r="ER14" i="2"/>
  <c r="C84" i="4"/>
  <c r="EL14" i="2"/>
  <c r="C77" i="4"/>
  <c r="D73"/>
  <c r="C73"/>
  <c r="EH14" i="2" s="1"/>
  <c r="EB14"/>
  <c r="C60" i="4"/>
  <c r="D52"/>
  <c r="D36" i="16"/>
  <c r="G41" i="1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29" i="1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G12" i="1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F38" i="1"/>
  <c r="F37"/>
  <c r="G36"/>
  <c r="F36"/>
  <c r="F32"/>
  <c r="G30"/>
  <c r="F29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Q29" i="2" s="1"/>
  <c r="D34" i="19"/>
  <c r="BO29" i="2" s="1"/>
  <c r="BP29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79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EC23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F11"/>
  <c r="C11" s="1"/>
  <c r="F12"/>
  <c r="F13"/>
  <c r="F16"/>
  <c r="C16" s="1"/>
  <c r="F17"/>
  <c r="G17"/>
  <c r="F18"/>
  <c r="G19"/>
  <c r="D19" s="1"/>
  <c r="F34"/>
  <c r="C34" s="1"/>
  <c r="F39"/>
  <c r="C39" s="1"/>
  <c r="F40"/>
  <c r="C40" s="1"/>
  <c r="G40"/>
  <c r="D40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E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E77" i="12"/>
  <c r="F74" i="17"/>
  <c r="C73"/>
  <c r="EE27" i="2" s="1"/>
  <c r="E74" i="17"/>
  <c r="E80" i="8"/>
  <c r="F80"/>
  <c r="E74"/>
  <c r="CC20" i="2"/>
  <c r="C72" i="12"/>
  <c r="C38" i="19"/>
  <c r="F39"/>
  <c r="D98" i="8" l="1"/>
  <c r="EH27" i="2"/>
  <c r="EJ27" s="1"/>
  <c r="BP25"/>
  <c r="BP18"/>
  <c r="BP28"/>
  <c r="BZ14"/>
  <c r="BZ16"/>
  <c r="BA16"/>
  <c r="C94" i="4"/>
  <c r="J31" i="2"/>
  <c r="J33" s="1"/>
  <c r="E64" i="11"/>
  <c r="D25" i="19"/>
  <c r="D95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F26" i="12"/>
  <c r="AR22" i="2"/>
  <c r="F41" i="5"/>
  <c r="F7" i="12"/>
  <c r="E37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E89" i="8"/>
  <c r="EA18" i="2"/>
  <c r="AR18"/>
  <c r="E7" i="6"/>
  <c r="E32"/>
  <c r="F12"/>
  <c r="F86" i="5"/>
  <c r="E20"/>
  <c r="DO15" i="2"/>
  <c r="E20" i="4"/>
  <c r="CK14" i="2"/>
  <c r="Z14"/>
  <c r="C25" i="4"/>
  <c r="E14"/>
  <c r="E7"/>
  <c r="F31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3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3" i="1"/>
  <c r="H6"/>
  <c r="D25" i="16"/>
  <c r="BR26" i="2"/>
  <c r="AQ31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4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4" i="13"/>
  <c r="F72" i="8"/>
  <c r="C98"/>
  <c r="D98" i="14"/>
  <c r="H98" s="1"/>
  <c r="E79" i="13"/>
  <c r="E20" i="12"/>
  <c r="F83" i="15"/>
  <c r="E91" i="5"/>
  <c r="F17" i="15"/>
  <c r="EU17" i="2"/>
  <c r="EV17" s="1"/>
  <c r="E84" i="6"/>
  <c r="F32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3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N28" i="2"/>
  <c r="D97" i="7"/>
  <c r="AI28" i="2"/>
  <c r="CN21"/>
  <c r="K14"/>
  <c r="EA28"/>
  <c r="CK21"/>
  <c r="F57" i="6"/>
  <c r="F7"/>
  <c r="DM31" i="2"/>
  <c r="DM33" s="1"/>
  <c r="CE26"/>
  <c r="CA26"/>
  <c r="CA29"/>
  <c r="CA28"/>
  <c r="CA27"/>
  <c r="CO31"/>
  <c r="CO33" s="1"/>
  <c r="CA24"/>
  <c r="CA23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CH14" i="2"/>
  <c r="F12" i="14"/>
  <c r="F12" i="17"/>
  <c r="E5" i="18"/>
  <c r="E7" i="14"/>
  <c r="E7" i="15"/>
  <c r="T22" i="2"/>
  <c r="F5" i="8"/>
  <c r="E41" i="5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3" s="1"/>
  <c r="DJ22"/>
  <c r="F19"/>
  <c r="BS22"/>
  <c r="E26" i="4"/>
  <c r="F26"/>
  <c r="C4" i="15"/>
  <c r="E65" i="16"/>
  <c r="EB26" i="2"/>
  <c r="F7" i="17"/>
  <c r="E7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G24" i="2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3" s="1"/>
  <c r="CM31"/>
  <c r="CM33" s="1"/>
  <c r="AB31"/>
  <c r="EK17"/>
  <c r="EM17" s="1"/>
  <c r="N17"/>
  <c r="ED22"/>
  <c r="EM29"/>
  <c r="F91" i="5"/>
  <c r="EP19" i="2"/>
  <c r="F20" i="12"/>
  <c r="F34" i="7"/>
  <c r="BS16" i="2"/>
  <c r="CC31"/>
  <c r="CC33" s="1"/>
  <c r="H37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3" s="1"/>
  <c r="F27"/>
  <c r="E36" i="7"/>
  <c r="F36"/>
  <c r="BQ17" i="2"/>
  <c r="BS17" s="1"/>
  <c r="DZ31"/>
  <c r="DZ33" s="1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39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G13" i="1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2" i="11"/>
  <c r="F12"/>
  <c r="CQ21" i="2"/>
  <c r="EE15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3" s="1"/>
  <c r="CT19"/>
  <c r="F73" i="17"/>
  <c r="CN28" i="2"/>
  <c r="F31" i="8"/>
  <c r="E17" i="9"/>
  <c r="F31" i="11"/>
  <c r="C96" i="13"/>
  <c r="F88" i="14"/>
  <c r="C25"/>
  <c r="E14" i="16"/>
  <c r="D103" i="9"/>
  <c r="ES22" i="2"/>
  <c r="DK16"/>
  <c r="DX16"/>
  <c r="F19" i="1"/>
  <c r="F7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C99" i="17" l="1"/>
  <c r="BP15" i="2"/>
  <c r="D37" i="19"/>
  <c r="D48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8" i="1"/>
  <c r="ER33" i="2"/>
  <c r="DV33"/>
  <c r="P33"/>
  <c r="AQ33"/>
  <c r="G18"/>
  <c r="D18" s="1"/>
  <c r="AT31"/>
  <c r="AT33" s="1"/>
  <c r="C40" i="5"/>
  <c r="C52" s="1"/>
  <c r="C53" s="1"/>
  <c r="D40" i="18"/>
  <c r="D52" s="1"/>
  <c r="BS15" i="2"/>
  <c r="G15"/>
  <c r="D15" s="1"/>
  <c r="CB29"/>
  <c r="D49" i="19"/>
  <c r="E25" i="15"/>
  <c r="ED26" i="2"/>
  <c r="BN31"/>
  <c r="E25" i="5"/>
  <c r="E4" i="13"/>
  <c r="CZ32" i="2"/>
  <c r="CZ33" s="1"/>
  <c r="C25" i="16"/>
  <c r="E25" s="1"/>
  <c r="BS26" i="2"/>
  <c r="F4" i="16"/>
  <c r="E36"/>
  <c r="F36"/>
  <c r="E4" i="10"/>
  <c r="D39"/>
  <c r="D51" s="1"/>
  <c r="F17" i="2"/>
  <c r="C17" s="1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3" s="1"/>
  <c r="E4" i="5"/>
  <c r="F4" i="4"/>
  <c r="D37"/>
  <c r="D47" s="1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1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I13" i="1"/>
  <c r="C13" s="1"/>
  <c r="F101" i="5"/>
  <c r="E4" i="4"/>
  <c r="F94"/>
  <c r="CB26" i="2"/>
  <c r="DL18"/>
  <c r="DL15"/>
  <c r="F25" i="19"/>
  <c r="BG29" i="2"/>
  <c r="C26"/>
  <c r="DH25"/>
  <c r="CB25"/>
  <c r="F24"/>
  <c r="C24" s="1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1" i="5"/>
  <c r="C15" i="2"/>
  <c r="I6" i="1"/>
  <c r="C6" s="1"/>
  <c r="C37" i="4"/>
  <c r="C47" s="1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4" i="1"/>
  <c r="D34"/>
  <c r="E34" s="1"/>
  <c r="K31" i="2"/>
  <c r="BQ31"/>
  <c r="DG18"/>
  <c r="D39" i="11"/>
  <c r="D51" s="1"/>
  <c r="DG23" i="2"/>
  <c r="J5" i="1"/>
  <c r="D5" s="1"/>
  <c r="C37" i="13"/>
  <c r="C49" s="1"/>
  <c r="E98" i="8"/>
  <c r="F29" i="2"/>
  <c r="C29" s="1"/>
  <c r="D20"/>
  <c r="Q31"/>
  <c r="D24"/>
  <c r="I7" i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0" i="5"/>
  <c r="T31" i="2"/>
  <c r="F98" i="12"/>
  <c r="E98"/>
  <c r="CH31" i="2"/>
  <c r="DK31"/>
  <c r="AK32"/>
  <c r="AK33" s="1"/>
  <c r="J13" i="1"/>
  <c r="D13" s="1"/>
  <c r="AX32" i="2"/>
  <c r="AX33" s="1"/>
  <c r="F25" i="5"/>
  <c r="CN31" i="2"/>
  <c r="C40" i="18"/>
  <c r="AC31" i="2"/>
  <c r="J8" i="1"/>
  <c r="W31" i="2"/>
  <c r="CE31"/>
  <c r="AU18"/>
  <c r="DH20"/>
  <c r="DC31"/>
  <c r="DB32"/>
  <c r="DB33" s="1"/>
  <c r="CB15"/>
  <c r="F4" i="18"/>
  <c r="E4"/>
  <c r="J30" i="1"/>
  <c r="D30" s="1"/>
  <c r="DL28" i="2"/>
  <c r="E25" i="18"/>
  <c r="E25" i="10"/>
  <c r="C39" i="9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2"/>
  <c r="CV33" s="1"/>
  <c r="E4" i="12"/>
  <c r="D40"/>
  <c r="F4"/>
  <c r="F12" i="9"/>
  <c r="E12"/>
  <c r="D4"/>
  <c r="Y31" i="2"/>
  <c r="Y33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6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F18"/>
  <c r="C35" i="1"/>
  <c r="E35" s="1"/>
  <c r="F28"/>
  <c r="H35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39" i="1"/>
  <c r="H39"/>
  <c r="G28"/>
  <c r="E96" i="13"/>
  <c r="F72" i="10"/>
  <c r="C99"/>
  <c r="E99" s="1"/>
  <c r="F25" i="18"/>
  <c r="DL20" i="2"/>
  <c r="C39" i="8"/>
  <c r="C51" s="1"/>
  <c r="D37" i="13"/>
  <c r="F25"/>
  <c r="E25"/>
  <c r="CB21" i="2"/>
  <c r="D21"/>
  <c r="EK27"/>
  <c r="DG27" s="1"/>
  <c r="D16" i="1"/>
  <c r="E16" s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F25"/>
  <c r="BS25"/>
  <c r="EV20"/>
  <c r="EU31"/>
  <c r="BB32"/>
  <c r="BB33" s="1"/>
  <c r="BD31"/>
  <c r="F73" i="6"/>
  <c r="F82" i="17"/>
  <c r="DH23" i="2"/>
  <c r="DH18"/>
  <c r="DL21"/>
  <c r="CB22"/>
  <c r="CA31"/>
  <c r="CA33" s="1"/>
  <c r="BJ32"/>
  <c r="BJ33" s="1"/>
  <c r="DX31"/>
  <c r="DH27"/>
  <c r="DL27"/>
  <c r="J12" i="1"/>
  <c r="AI31" i="2"/>
  <c r="DJ31"/>
  <c r="DJ33" s="1"/>
  <c r="C50" i="13" l="1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0" i="1"/>
  <c r="C30" s="1"/>
  <c r="E30" s="1"/>
  <c r="DY33" i="2"/>
  <c r="I20" i="1"/>
  <c r="C20" s="1"/>
  <c r="BN33" i="2"/>
  <c r="EN33"/>
  <c r="D52" i="15"/>
  <c r="D52" i="11"/>
  <c r="D52" i="10"/>
  <c r="C52" i="9"/>
  <c r="C53" s="1"/>
  <c r="C53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3" i="6"/>
  <c r="BP31" i="2"/>
  <c r="H16"/>
  <c r="DI14"/>
  <c r="EW19"/>
  <c r="EA31"/>
  <c r="DG21"/>
  <c r="DI21" s="1"/>
  <c r="EW14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2"/>
  <c r="BQ33" s="1"/>
  <c r="F40" i="18"/>
  <c r="K5" i="1"/>
  <c r="C7"/>
  <c r="C4" s="1"/>
  <c r="EW27" i="2"/>
  <c r="J29" i="1"/>
  <c r="D29" s="1"/>
  <c r="D51" i="16"/>
  <c r="K10" i="1"/>
  <c r="H14"/>
  <c r="AR31" i="2"/>
  <c r="H29"/>
  <c r="EX24"/>
  <c r="E29"/>
  <c r="EX18"/>
  <c r="I37" i="1"/>
  <c r="E39" i="11"/>
  <c r="E101" i="6"/>
  <c r="E40" i="18"/>
  <c r="C52"/>
  <c r="C48" i="4"/>
  <c r="E20" i="2"/>
  <c r="K6" i="1"/>
  <c r="DI20" i="2"/>
  <c r="DI22"/>
  <c r="C51" i="15"/>
  <c r="F40"/>
  <c r="E40"/>
  <c r="D52" i="5"/>
  <c r="E40"/>
  <c r="F40"/>
  <c r="E97" i="7"/>
  <c r="EX21" i="2"/>
  <c r="F97" i="7"/>
  <c r="DC32" i="2"/>
  <c r="DC33" s="1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7" s="1"/>
  <c r="F43" s="1"/>
  <c r="J33"/>
  <c r="F98" i="15"/>
  <c r="E98"/>
  <c r="F99" i="18"/>
  <c r="E99"/>
  <c r="D17" i="2"/>
  <c r="H17"/>
  <c r="ET32"/>
  <c r="ET33" s="1"/>
  <c r="I41" i="1"/>
  <c r="DG16" i="2"/>
  <c r="EG16"/>
  <c r="EE31"/>
  <c r="EE33" s="1"/>
  <c r="E98" i="14"/>
  <c r="F98"/>
  <c r="F47" i="4"/>
  <c r="E47"/>
  <c r="D48"/>
  <c r="BD32" i="2"/>
  <c r="BD33" s="1"/>
  <c r="E37" i="19"/>
  <c r="F37"/>
  <c r="E39" i="1"/>
  <c r="J21"/>
  <c r="D21" s="1"/>
  <c r="BS31" i="2"/>
  <c r="I38" i="1"/>
  <c r="ES31" i="2"/>
  <c r="J31" i="1"/>
  <c r="D31" s="1"/>
  <c r="ED31" i="2"/>
  <c r="BA31"/>
  <c r="I17" i="1"/>
  <c r="J32"/>
  <c r="I31"/>
  <c r="C31" s="1"/>
  <c r="EG25" i="2"/>
  <c r="DG25"/>
  <c r="DI25" s="1"/>
  <c r="J18" i="1"/>
  <c r="BG31" i="2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1" i="1"/>
  <c r="EU32" i="2"/>
  <c r="EU33" s="1"/>
  <c r="EV31"/>
  <c r="EX26"/>
  <c r="F39" i="8"/>
  <c r="D51"/>
  <c r="E39"/>
  <c r="DG26" i="2"/>
  <c r="EW26" s="1"/>
  <c r="EG26"/>
  <c r="J36" i="1"/>
  <c r="E19" i="2"/>
  <c r="EX19"/>
  <c r="C18"/>
  <c r="H18"/>
  <c r="F31"/>
  <c r="F33" s="1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E37"/>
  <c r="F37"/>
  <c r="H14" i="2"/>
  <c r="G31"/>
  <c r="G33" s="1"/>
  <c r="D14"/>
  <c r="EW15"/>
  <c r="DI15"/>
  <c r="C51" i="10"/>
  <c r="F39"/>
  <c r="E39"/>
  <c r="J7" i="1"/>
  <c r="J4" s="1"/>
  <c r="Z31" i="2"/>
  <c r="F99" i="17"/>
  <c r="C52" i="14"/>
  <c r="I29" i="1"/>
  <c r="C29" s="1"/>
  <c r="EX27" i="2"/>
  <c r="DI27"/>
  <c r="K12" i="1"/>
  <c r="D12"/>
  <c r="DH31" i="2"/>
  <c r="DH33" s="1"/>
  <c r="DL31"/>
  <c r="CB31"/>
  <c r="J24" i="1"/>
  <c r="E50" i="16" l="1"/>
  <c r="C53" i="18"/>
  <c r="E20" i="1"/>
  <c r="E37"/>
  <c r="K30"/>
  <c r="EM31" i="2"/>
  <c r="EK33"/>
  <c r="C52" i="15"/>
  <c r="E31" i="1"/>
  <c r="E29"/>
  <c r="D28"/>
  <c r="K38"/>
  <c r="DI28" i="2"/>
  <c r="EY28"/>
  <c r="F50" i="16"/>
  <c r="C51"/>
  <c r="F39"/>
  <c r="E39"/>
  <c r="EY20" i="2"/>
  <c r="EY19"/>
  <c r="EX22"/>
  <c r="EY22" s="1"/>
  <c r="DI17"/>
  <c r="D31"/>
  <c r="D33" s="1"/>
  <c r="EY27"/>
  <c r="K29" i="1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1" i="1"/>
  <c r="F39" i="7"/>
  <c r="D50"/>
  <c r="E39"/>
  <c r="I33" i="1"/>
  <c r="K33" s="1"/>
  <c r="EX17" i="2"/>
  <c r="EY17" s="1"/>
  <c r="E17"/>
  <c r="D50" i="13"/>
  <c r="E49"/>
  <c r="F49"/>
  <c r="D7" i="1"/>
  <c r="E7" s="1"/>
  <c r="K7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3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E12"/>
  <c r="K24"/>
  <c r="DI31" i="2" l="1"/>
  <c r="DG33"/>
  <c r="E38" i="1"/>
  <c r="C28"/>
  <c r="E28" s="1"/>
  <c r="E31" i="2"/>
  <c r="I28" i="1"/>
  <c r="K28" s="1"/>
  <c r="EY14" i="2"/>
  <c r="EX31"/>
  <c r="EX33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3" s="1"/>
  <c r="E17" i="1"/>
  <c r="C14"/>
  <c r="C23" s="1"/>
  <c r="C27" s="1"/>
  <c r="J43"/>
  <c r="C43" l="1"/>
  <c r="D23"/>
  <c r="D27" s="1"/>
  <c r="I43"/>
  <c r="F44" s="1"/>
  <c r="F45" s="1"/>
  <c r="E14"/>
  <c r="G44"/>
  <c r="EY31" i="2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<sst xmlns="http://schemas.openxmlformats.org/spreadsheetml/2006/main" count="2861" uniqueCount="445">
  <si>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</si>
  <si>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</si>
  <si>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</si>
  <si>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</si>
  <si>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</si>
  <si>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</si>
  <si>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</si>
  <si>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</si>
  <si>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</si>
  <si>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</si>
  <si>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</si>
  <si>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</si>
  <si>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</si>
  <si>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</si>
  <si>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</si>
  <si>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</si>
  <si>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</si>
  <si>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</si>
  <si>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</si>
  <si>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</si>
  <si>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</si>
  <si>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</si>
  <si>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</si>
  <si>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</si>
  <si>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</si>
  <si>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</si>
  <si>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</si>
  <si>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</si>
  <si>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</si>
  <si>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</si>
  <si>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</si>
  <si>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</si>
  <si>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</si>
  <si>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</si>
  <si>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</si>
  <si>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</si>
  <si>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</si>
  <si>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</si>
  <si>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</si>
  <si>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</si>
  <si>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</si>
  <si>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</si>
  <si>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</si>
  <si>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</si>
  <si>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</si>
  <si>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</si>
  <si>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</si>
  <si>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</si>
  <si>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</si>
  <si>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</si>
  <si>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</si>
  <si>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</si>
  <si>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</si>
  <si>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</si>
  <si>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</si>
  <si>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</si>
  <si>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</si>
  <si>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</si>
  <si>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</si>
  <si>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</si>
  <si>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</si>
  <si>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</si>
  <si>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</si>
  <si>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</si>
  <si>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</si>
  <si>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</si>
  <si>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</si>
  <si>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</si>
  <si>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</si>
  <si>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</si>
  <si>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</si>
  <si>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</si>
  <si>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</si>
  <si>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</si>
  <si>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</si>
  <si>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</si>
  <si>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</si>
  <si>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</si>
  <si>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</si>
  <si>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</si>
  <si>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</si>
  <si>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</si>
  <si>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</si>
  <si>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</si>
  <si>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</si>
  <si>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</si>
  <si>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</si>
  <si>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</si>
  <si>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</si>
  <si>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</si>
  <si>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</si>
  <si>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</si>
  <si>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</si>
  <si>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</si>
  <si>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</si>
  <si>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</si>
  <si>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</si>
  <si>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</si>
  <si>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</si>
  <si>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</si>
  <si>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</si>
  <si>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</si>
  <si>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</si>
  <si>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</si>
  <si>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</si>
  <si>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</si>
  <si>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</si>
  <si>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</si>
  <si>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</si>
  <si>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</si>
  <si>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</si>
  <si>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</si>
  <si>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</si>
  <si>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</si>
  <si>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</si>
  <si>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</si>
  <si>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</si>
  <si>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</si>
  <si>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</si>
  <si>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</si>
  <si>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</si>
  <si>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</si>
  <si>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</si>
  <si>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</si>
  <si>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</si>
  <si>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</si>
  <si>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</si>
  <si>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</si>
  <si>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</si>
  <si>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</si>
  <si>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</si>
  <si>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</si>
  <si>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</si>
  <si>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</si>
  <si>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</si>
  <si>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</si>
  <si>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</si>
  <si>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</si>
  <si>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</si>
  <si>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</si>
  <si>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</si>
  <si>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</si>
  <si>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</si>
  <si>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</si>
  <si>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</si>
  <si>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</si>
  <si>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</si>
  <si>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</si>
  <si>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</si>
  <si>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</si>
  <si>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</si>
  <si>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</si>
  <si>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</si>
  <si>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</si>
  <si>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</si>
  <si>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</si>
  <si>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</si>
  <si>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</si>
  <si>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</si>
  <si>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</si>
  <si>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</si>
  <si>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</si>
  <si>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</si>
  <si>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</si>
  <si>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</si>
  <si>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</si>
  <si>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</si>
  <si>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</si>
  <si>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</si>
  <si>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</si>
  <si>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</si>
  <si>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</si>
  <si>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</si>
  <si>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</si>
  <si>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</si>
  <si>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</si>
  <si>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</si>
  <si>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</si>
  <si>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</si>
  <si>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</si>
  <si>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</si>
  <si>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</si>
  <si>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</si>
  <si>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</si>
  <si>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</si>
  <si>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</si>
  <si>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</si>
  <si>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</si>
  <si>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</si>
  <si>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</si>
  <si>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</si>
  <si>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</si>
  <si>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</si>
  <si>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</si>
  <si>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</si>
  <si>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</si>
  <si>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</si>
  <si>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</si>
  <si>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</si>
  <si>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</si>
  <si>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</si>
  <si>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</si>
  <si>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</si>
  <si>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</si>
  <si>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</si>
  <si>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</si>
  <si>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</si>
  <si>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</si>
  <si>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</si>
  <si>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</si>
  <si>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</si>
  <si>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</si>
  <si>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</si>
  <si>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</si>
  <si>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</si>
  <si>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</si>
  <si>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</si>
  <si>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</si>
  <si>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</si>
  <si>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</si>
  <si>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</si>
  <si>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</si>
  <si>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</si>
  <si>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</si>
  <si>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</si>
  <si>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</si>
  <si>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</si>
  <si>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</si>
  <si>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</si>
  <si>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</si>
  <si>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</si>
  <si>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</si>
  <si>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</si>
  <si>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</si>
  <si>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</si>
  <si>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</si>
  <si>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</si>
  <si>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</si>
  <si>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</si>
  <si>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</si>
  <si>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</si>
  <si>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</si>
  <si>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</si>
  <si>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</si>
  <si>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</si>
  <si>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</si>
  <si>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</si>
  <si>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</si>
  <si>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</si>
  <si>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</si>
  <si>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</si>
  <si>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</si>
  <si>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</si>
  <si>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</si>
  <si>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</si>
  <si>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</si>
  <si>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</si>
  <si>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</si>
  <si>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</si>
  <si>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</si>
  <si>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</si>
  <si>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</si>
  <si>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</si>
  <si>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</si>
  <si>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</si>
  <si>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</si>
  <si>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</si>
  <si>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</si>
  <si>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</si>
  <si>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</si>
  <si>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</si>
  <si>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</si>
  <si>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</si>
  <si>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</si>
  <si>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</si>
  <si>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</si>
  <si>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</si>
  <si>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</si>
  <si>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</si>
  <si>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</si>
  <si>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</si>
  <si>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</si>
  <si>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</si>
  <si>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</si>
  <si>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</si>
  <si>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</si>
  <si>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</si>
  <si>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</si>
  <si>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</si>
  <si>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</si>
  <si>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</si>
  <si>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</si>
  <si>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</si>
  <si>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</si>
  <si>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</si>
  <si>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</si>
  <si>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</si>
  <si>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</si>
  <si>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</si>
  <si>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</si>
  <si>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</si>
  <si>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</si>
  <si>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</si>
  <si>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</si>
  <si>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</si>
  <si>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</si>
  <si>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</si>
  <si>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</si>
  <si>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</si>
  <si>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</si>
  <si>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</si>
  <si>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</si>
  <si>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</si>
  <si>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</si>
  <si>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</si>
  <si>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</si>
  <si>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</si>
  <si>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</si>
  <si>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</si>
  <si>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</si>
  <si>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</si>
  <si>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</si>
  <si>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</si>
  <si>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</si>
  <si>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</si>
  <si>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</si>
  <si>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</si>
  <si>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</si>
  <si>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</si>
  <si>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</si>
  <si>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</si>
  <si>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</si>
  <si>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</si>
  <si>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</si>
  <si>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</si>
  <si>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</si>
  <si>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</si>
  <si>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</si>
  <si>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</si>
  <si>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</si>
  <si>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</si>
  <si>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</si>
  <si>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</si>
  <si>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</si>
  <si>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</si>
  <si>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</si>
  <si>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</si>
  <si>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</si>
  <si>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</si>
  <si>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</si>
  <si>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</si>
  <si>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</si>
  <si>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</si>
  <si>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</si>
  <si>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</si>
  <si>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</si>
  <si>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</si>
  <si>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</si>
  <si>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</si>
  <si>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</si>
  <si>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</si>
  <si>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</si>
  <si>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</si>
  <si>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</si>
  <si>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</si>
  <si>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</si>
  <si>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</si>
  <si>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</si>
  <si>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</si>
  <si>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</si>
  <si>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</si>
  <si>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</si>
  <si>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</si>
  <si>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</si>
  <si>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</si>
  <si>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</si>
  <si>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</si>
  <si>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</si>
  <si>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</si>
  <si>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</si>
  <si>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</si>
  <si>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</si>
  <si>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</si>
  <si>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</si>
  <si>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</si>
  <si>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</si>
  <si>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</si>
  <si>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</si>
  <si>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</si>
  <si>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</si>
  <si>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</si>
  <si>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</si>
  <si>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</si>
  <si>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</si>
  <si>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</si>
  <si>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</si>
  <si>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</si>
  <si>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</si>
  <si>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</si>
  <si>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</si>
  <si>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</si>
  <si>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</si>
  <si>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</si>
  <si>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</si>
  <si>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</si>
  <si>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</si>
  <si>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</si>
  <si>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</si>
  <si>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</si>
  <si>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</si>
  <si>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</si>
  <si>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</si>
  <si>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</si>
  <si>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</si>
  <si>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</si>
  <si>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</si>
  <si>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Дотация бюджетам по обеспечению сбалансированности бюджетов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</si>
  <si>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</si>
  <si>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</si>
  <si>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</si>
  <si>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Анализ исполнения бюджета Чуманкасинского сельского поселения на 01.12.2019 г.</t>
  </si>
  <si>
    <t>исполнен на 01.12.2019 г.</t>
  </si>
  <si>
    <t>исполнено на 01.12.2019 г.</t>
  </si>
  <si>
    <t xml:space="preserve">                     Анализ исполнения бюджета Александровского сельского поселения на 01.12.2019 г.</t>
  </si>
  <si>
    <t>исполнено на 01.12.2019 г</t>
  </si>
  <si>
    <t xml:space="preserve">                     Анализ исполнения бюджета Большесундырского сельского поселения на 01.12.2019 г.</t>
  </si>
  <si>
    <t xml:space="preserve">                     Анализ исполнения бюджета Ильинского сельского поселения на 01.12.2019 г.</t>
  </si>
  <si>
    <t xml:space="preserve">                     Анализ исполнения бюджета Кадикасинского сельского поселения на 01.12.2019 г.</t>
  </si>
  <si>
    <t xml:space="preserve">                     Анализ исполнения бюджета Ярославского сельского поселения на 01.12.2019 г.</t>
  </si>
  <si>
    <t xml:space="preserve">                     Анализ исполнения бюджета Моргаушского сельского поселения на 01.12.2019 г.</t>
  </si>
  <si>
    <t xml:space="preserve">                     Анализ исполнения бюджета Ярабайкасинского сельского поселения на 01.12.2019 г.</t>
  </si>
  <si>
    <t xml:space="preserve">                     Анализ исполнения бюджета Юськасинского сельского поселения на 01.12.2019 г.</t>
  </si>
  <si>
    <t>исполнено на 01.12.2019г.</t>
  </si>
  <si>
    <t xml:space="preserve">                     Анализ исполнения бюджета Москакасинского сельского поселения на 01.12.2019 г.</t>
  </si>
  <si>
    <t xml:space="preserve">                     Анализ исполнения бюджета Орининского сельского поселения на 01.12.2019 г.</t>
  </si>
  <si>
    <t xml:space="preserve">                     Анализ исполнения бюджета Юнгинского сельского поселения на 01.12.2019 г.</t>
  </si>
  <si>
    <t xml:space="preserve">                     Анализ исполнения бюджета Шатьмапосинского сельского поселения на 01.12.2019 г.</t>
  </si>
  <si>
    <t xml:space="preserve">                     Анализ исполнения бюджета Сятракасинского сельского поселения на 01.12.2019 г.</t>
  </si>
  <si>
    <t xml:space="preserve">                     Анализ исполнения бюджета Хорнойского сельского поселения на 01.12.2019 г.</t>
  </si>
  <si>
    <t xml:space="preserve">                     Анализ исполнения бюджета Тораевского сельского поселения на 01.12.2019 г.</t>
  </si>
  <si>
    <t>об исполнении бюджетов поселений  Моргаушского района  на 1 декабря 2019 г.</t>
  </si>
  <si>
    <t xml:space="preserve">                                                        Моргаушского района на 01.12.2019 г. </t>
  </si>
  <si>
    <t xml:space="preserve">исполнено на 01.12.2019 г.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</si>
  <si>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</si>
  <si>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Анализ исполнения консолидированного бюджета Моргаушского районана 01.12.2019 г.</t>
  </si>
</sst>
</file>

<file path=xl/styles.xml><?xml version="1.0" encoding="utf-8"?>
<styleSheet xmlns="http://schemas.openxmlformats.org/spreadsheetml/2006/main">
  <numFmts count="2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/>
    <xf numFmtId="0" fontId="18" fillId="3" borderId="0" xfId="0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18" fillId="4" borderId="0" xfId="0" applyFont="1" applyFill="1"/>
    <xf numFmtId="0" fontId="18" fillId="3" borderId="0" xfId="0" applyFont="1" applyFill="1" applyAlignment="1"/>
    <xf numFmtId="4" fontId="18" fillId="3" borderId="0" xfId="0" applyNumberFormat="1" applyFont="1" applyFill="1"/>
    <xf numFmtId="172" fontId="16" fillId="3" borderId="0" xfId="0" applyNumberFormat="1" applyFont="1" applyFill="1"/>
    <xf numFmtId="181" fontId="16" fillId="3" borderId="0" xfId="0" applyNumberFormat="1" applyFont="1" applyFill="1"/>
    <xf numFmtId="179" fontId="16" fillId="3" borderId="0" xfId="0" applyNumberFormat="1" applyFont="1" applyFill="1"/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9" fillId="0" borderId="1" xfId="0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3" fillId="0" borderId="1" xfId="6" applyNumberFormat="1" applyFont="1" applyBorder="1" applyAlignment="1">
      <alignment horizontal="right"/>
    </xf>
    <xf numFmtId="0" fontId="24" fillId="0" borderId="1" xfId="11" applyFont="1" applyBorder="1" applyAlignment="1">
      <alignment horizontal="center"/>
    </xf>
    <xf numFmtId="0" fontId="24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79" fontId="3" fillId="0" borderId="1" xfId="11" applyNumberFormat="1" applyFont="1" applyBorder="1" applyAlignment="1">
      <alignment horizontal="right" vertical="center"/>
    </xf>
    <xf numFmtId="179" fontId="3" fillId="3" borderId="1" xfId="12" applyNumberFormat="1" applyFont="1" applyFill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center" vertical="center" wrapText="1"/>
    </xf>
    <xf numFmtId="166" fontId="25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2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8" fillId="3" borderId="3" xfId="0" applyFont="1" applyFill="1" applyBorder="1" applyAlignment="1">
      <alignment vertical="center" wrapText="1"/>
    </xf>
    <xf numFmtId="0" fontId="28" fillId="3" borderId="4" xfId="0" applyFont="1" applyFill="1" applyBorder="1" applyAlignment="1">
      <alignment vertical="center" wrapText="1"/>
    </xf>
    <xf numFmtId="0" fontId="28" fillId="3" borderId="5" xfId="0" applyFont="1" applyFill="1" applyBorder="1" applyAlignment="1">
      <alignment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/>
    </xf>
    <xf numFmtId="0" fontId="28" fillId="3" borderId="1" xfId="0" applyFont="1" applyFill="1" applyBorder="1" applyAlignment="1">
      <alignment horizontal="center"/>
    </xf>
    <xf numFmtId="166" fontId="28" fillId="3" borderId="1" xfId="0" applyNumberFormat="1" applyFont="1" applyFill="1" applyBorder="1"/>
    <xf numFmtId="167" fontId="28" fillId="0" borderId="1" xfId="0" applyNumberFormat="1" applyFont="1" applyFill="1" applyBorder="1"/>
    <xf numFmtId="167" fontId="28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8" fillId="3" borderId="1" xfId="0" applyNumberFormat="1" applyFont="1" applyFill="1" applyBorder="1" applyAlignment="1" applyProtection="1">
      <alignment vertical="center" wrapText="1"/>
    </xf>
    <xf numFmtId="167" fontId="28" fillId="5" borderId="1" xfId="0" applyNumberFormat="1" applyFont="1" applyFill="1" applyBorder="1" applyAlignment="1" applyProtection="1">
      <alignment vertical="center" wrapText="1"/>
    </xf>
    <xf numFmtId="166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6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0" borderId="1" xfId="0" applyNumberFormat="1" applyFont="1" applyFill="1" applyBorder="1" applyAlignment="1">
      <alignment vertical="center" wrapText="1"/>
    </xf>
    <xf numFmtId="166" fontId="28" fillId="3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>
      <alignment vertical="center" wrapText="1"/>
    </xf>
    <xf numFmtId="172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 applyProtection="1">
      <alignment vertical="center" wrapText="1"/>
      <protection locked="0"/>
    </xf>
    <xf numFmtId="167" fontId="26" fillId="3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6" fontId="28" fillId="0" borderId="1" xfId="0" applyNumberFormat="1" applyFont="1" applyFill="1" applyBorder="1" applyAlignment="1" applyProtection="1">
      <alignment vertical="center" wrapText="1"/>
      <protection locked="0"/>
    </xf>
    <xf numFmtId="172" fontId="28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/>
    <xf numFmtId="166" fontId="28" fillId="0" borderId="1" xfId="0" applyNumberFormat="1" applyFont="1" applyFill="1" applyBorder="1"/>
    <xf numFmtId="167" fontId="28" fillId="0" borderId="1" xfId="0" applyNumberFormat="1" applyFont="1" applyFill="1" applyBorder="1" applyAlignment="1" applyProtection="1">
      <alignment vertical="center" wrapText="1"/>
    </xf>
    <xf numFmtId="166" fontId="28" fillId="5" borderId="1" xfId="0" applyNumberFormat="1" applyFont="1" applyFill="1" applyBorder="1"/>
    <xf numFmtId="167" fontId="28" fillId="5" borderId="1" xfId="0" applyNumberFormat="1" applyFont="1" applyFill="1" applyBorder="1"/>
    <xf numFmtId="167" fontId="27" fillId="5" borderId="1" xfId="0" applyNumberFormat="1" applyFont="1" applyFill="1" applyBorder="1"/>
    <xf numFmtId="166" fontId="28" fillId="5" borderId="1" xfId="0" applyNumberFormat="1" applyFont="1" applyFill="1" applyBorder="1" applyAlignment="1">
      <alignment vertical="center" wrapText="1"/>
    </xf>
    <xf numFmtId="172" fontId="28" fillId="5" borderId="1" xfId="0" applyNumberFormat="1" applyFont="1" applyFill="1" applyBorder="1" applyAlignment="1">
      <alignment vertical="center" wrapText="1"/>
    </xf>
    <xf numFmtId="167" fontId="28" fillId="5" borderId="1" xfId="0" applyNumberFormat="1" applyFont="1" applyFill="1" applyBorder="1" applyAlignment="1">
      <alignment horizontal="right" vertical="center" wrapText="1"/>
    </xf>
    <xf numFmtId="167" fontId="29" fillId="5" borderId="1" xfId="0" applyNumberFormat="1" applyFont="1" applyFill="1" applyBorder="1" applyAlignment="1" applyProtection="1">
      <alignment vertical="center" wrapText="1"/>
      <protection locked="0"/>
    </xf>
    <xf numFmtId="167" fontId="26" fillId="5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/>
    <xf numFmtId="167" fontId="27" fillId="0" borderId="1" xfId="0" applyNumberFormat="1" applyFont="1" applyFill="1" applyBorder="1" applyAlignment="1">
      <alignment vertical="center" wrapText="1"/>
    </xf>
    <xf numFmtId="179" fontId="28" fillId="3" borderId="1" xfId="0" applyNumberFormat="1" applyFont="1" applyFill="1" applyBorder="1" applyAlignment="1" applyProtection="1">
      <alignment vertical="center" wrapText="1"/>
      <protection locked="0"/>
    </xf>
    <xf numFmtId="179" fontId="28" fillId="3" borderId="1" xfId="0" applyNumberFormat="1" applyFont="1" applyFill="1" applyBorder="1" applyAlignment="1">
      <alignment vertical="center" wrapText="1"/>
    </xf>
    <xf numFmtId="167" fontId="30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2" fillId="3" borderId="1" xfId="0" applyNumberFormat="1" applyFont="1" applyFill="1" applyBorder="1" applyAlignment="1">
      <alignment vertical="center" wrapText="1"/>
    </xf>
    <xf numFmtId="167" fontId="33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horizontal="right" vertical="center" wrapText="1"/>
    </xf>
    <xf numFmtId="167" fontId="31" fillId="0" borderId="1" xfId="0" applyNumberFormat="1" applyFont="1" applyFill="1" applyBorder="1" applyAlignment="1">
      <alignment vertical="center" wrapText="1"/>
    </xf>
    <xf numFmtId="0" fontId="34" fillId="3" borderId="1" xfId="10" applyFont="1" applyFill="1" applyBorder="1" applyAlignment="1">
      <alignment vertical="center" wrapText="1"/>
    </xf>
    <xf numFmtId="0" fontId="35" fillId="3" borderId="1" xfId="10" applyFont="1" applyFill="1" applyBorder="1" applyAlignment="1" applyProtection="1">
      <alignment vertical="center" wrapText="1"/>
      <protection locked="0"/>
    </xf>
    <xf numFmtId="0" fontId="35" fillId="0" borderId="1" xfId="10" applyFont="1" applyFill="1" applyBorder="1" applyAlignment="1" applyProtection="1">
      <alignment vertical="center" wrapText="1"/>
      <protection locked="0"/>
    </xf>
    <xf numFmtId="0" fontId="34" fillId="5" borderId="1" xfId="10" applyFont="1" applyFill="1" applyBorder="1" applyAlignment="1">
      <alignment vertical="center" wrapText="1"/>
    </xf>
    <xf numFmtId="0" fontId="35" fillId="5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>
      <alignment vertical="center" wrapText="1"/>
    </xf>
    <xf numFmtId="0" fontId="36" fillId="0" borderId="1" xfId="10" applyFont="1" applyFill="1" applyBorder="1" applyAlignment="1">
      <alignment vertical="center" wrapText="1"/>
    </xf>
    <xf numFmtId="0" fontId="34" fillId="3" borderId="3" xfId="10" applyFont="1" applyFill="1" applyBorder="1" applyAlignment="1">
      <alignment vertical="center" wrapText="1"/>
    </xf>
    <xf numFmtId="0" fontId="35" fillId="3" borderId="5" xfId="10" applyFont="1" applyFill="1" applyBorder="1" applyAlignment="1" applyProtection="1">
      <alignment vertical="center" wrapText="1"/>
      <protection locked="0"/>
    </xf>
    <xf numFmtId="0" fontId="38" fillId="3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8" fillId="3" borderId="0" xfId="0" applyFont="1" applyFill="1"/>
    <xf numFmtId="0" fontId="39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9" fillId="3" borderId="0" xfId="0" applyFont="1" applyFill="1"/>
    <xf numFmtId="0" fontId="19" fillId="0" borderId="1" xfId="11" applyFont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 wrapText="1"/>
    </xf>
    <xf numFmtId="166" fontId="19" fillId="0" borderId="1" xfId="11" applyNumberFormat="1" applyFont="1" applyFill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/>
    <xf numFmtId="166" fontId="19" fillId="0" borderId="1" xfId="11" applyNumberFormat="1" applyFont="1" applyBorder="1" applyAlignment="1">
      <alignment horizontal="right" vertical="center"/>
    </xf>
    <xf numFmtId="0" fontId="20" fillId="0" borderId="1" xfId="11" applyFont="1" applyBorder="1" applyAlignment="1">
      <alignment horizontal="center"/>
    </xf>
    <xf numFmtId="0" fontId="20" fillId="0" borderId="1" xfId="11" applyFont="1" applyBorder="1" applyAlignment="1">
      <alignment wrapText="1"/>
    </xf>
    <xf numFmtId="166" fontId="20" fillId="0" borderId="1" xfId="11" applyNumberFormat="1" applyFont="1" applyBorder="1" applyAlignment="1">
      <alignment horizontal="right" vertical="center"/>
    </xf>
    <xf numFmtId="166" fontId="20" fillId="0" borderId="1" xfId="11" applyNumberFormat="1" applyFont="1" applyFill="1" applyBorder="1" applyAlignment="1">
      <alignment horizontal="right" vertical="center"/>
    </xf>
    <xf numFmtId="0" fontId="19" fillId="0" borderId="1" xfId="11" applyFont="1" applyBorder="1" applyAlignment="1">
      <alignment wrapText="1"/>
    </xf>
    <xf numFmtId="0" fontId="20" fillId="0" borderId="1" xfId="11" applyFont="1" applyBorder="1"/>
    <xf numFmtId="166" fontId="20" fillId="0" borderId="1" xfId="0" applyNumberFormat="1" applyFont="1" applyBorder="1" applyAlignment="1">
      <alignment horizontal="right" vertical="center"/>
    </xf>
    <xf numFmtId="0" fontId="20" fillId="0" borderId="1" xfId="11" applyFont="1" applyFill="1" applyBorder="1" applyAlignment="1">
      <alignment horizontal="center"/>
    </xf>
    <xf numFmtId="0" fontId="20" fillId="0" borderId="1" xfId="11" applyFont="1" applyFill="1" applyBorder="1"/>
    <xf numFmtId="166" fontId="20" fillId="3" borderId="1" xfId="0" applyNumberFormat="1" applyFont="1" applyFill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" fontId="19" fillId="0" borderId="1" xfId="11" applyNumberFormat="1" applyFont="1" applyBorder="1" applyAlignment="1">
      <alignment horizontal="center"/>
    </xf>
    <xf numFmtId="166" fontId="19" fillId="0" borderId="1" xfId="11" applyNumberFormat="1" applyFont="1" applyBorder="1" applyAlignment="1">
      <alignment wrapText="1"/>
    </xf>
    <xf numFmtId="0" fontId="19" fillId="0" borderId="1" xfId="11" applyFont="1" applyBorder="1" applyAlignment="1">
      <alignment horizontal="center" vertical="top"/>
    </xf>
    <xf numFmtId="0" fontId="19" fillId="0" borderId="1" xfId="11" applyFont="1" applyBorder="1" applyAlignment="1">
      <alignment vertical="top" wrapText="1"/>
    </xf>
    <xf numFmtId="0" fontId="20" fillId="0" borderId="1" xfId="11" applyFont="1" applyFill="1" applyBorder="1" applyAlignment="1">
      <alignment wrapText="1"/>
    </xf>
    <xf numFmtId="166" fontId="20" fillId="3" borderId="1" xfId="12" applyNumberFormat="1" applyFont="1" applyFill="1" applyBorder="1" applyAlignment="1">
      <alignment horizontal="right" vertical="center"/>
    </xf>
    <xf numFmtId="166" fontId="20" fillId="3" borderId="1" xfId="11" applyNumberFormat="1" applyFont="1" applyFill="1" applyBorder="1" applyAlignment="1">
      <alignment horizontal="right" vertical="center"/>
    </xf>
    <xf numFmtId="166" fontId="20" fillId="5" borderId="1" xfId="11" applyNumberFormat="1" applyFont="1" applyFill="1" applyBorder="1" applyAlignment="1">
      <alignment horizontal="right" vertical="center"/>
    </xf>
    <xf numFmtId="0" fontId="20" fillId="0" borderId="1" xfId="11" applyFont="1" applyBorder="1" applyAlignment="1">
      <alignment horizontal="left" wrapText="1"/>
    </xf>
    <xf numFmtId="166" fontId="20" fillId="2" borderId="1" xfId="2" applyNumberFormat="1" applyFont="1" applyFill="1" applyBorder="1" applyAlignment="1">
      <alignment horizontal="right" vertical="center" shrinkToFit="1"/>
    </xf>
    <xf numFmtId="166" fontId="20" fillId="2" borderId="1" xfId="3" applyNumberFormat="1" applyFont="1" applyFill="1" applyBorder="1" applyAlignment="1">
      <alignment horizontal="right" vertical="center" shrinkToFit="1"/>
    </xf>
    <xf numFmtId="166" fontId="20" fillId="2" borderId="1" xfId="4" applyNumberFormat="1" applyFont="1" applyFill="1" applyBorder="1" applyAlignment="1">
      <alignment horizontal="right" vertical="center" shrinkToFit="1"/>
    </xf>
    <xf numFmtId="166" fontId="19" fillId="0" borderId="1" xfId="11" applyNumberFormat="1" applyFont="1" applyFill="1" applyBorder="1" applyAlignment="1">
      <alignment horizontal="right" vertical="center"/>
    </xf>
    <xf numFmtId="0" fontId="19" fillId="0" borderId="1" xfId="11" applyFont="1" applyFill="1" applyBorder="1"/>
    <xf numFmtId="166" fontId="19" fillId="5" borderId="1" xfId="11" applyNumberFormat="1" applyFont="1" applyFill="1" applyBorder="1" applyAlignment="1">
      <alignment horizontal="right" vertical="center"/>
    </xf>
    <xf numFmtId="166" fontId="19" fillId="0" borderId="1" xfId="9" applyNumberFormat="1" applyFont="1" applyBorder="1" applyAlignment="1">
      <alignment horizontal="right" vertical="center"/>
    </xf>
    <xf numFmtId="0" fontId="19" fillId="0" borderId="2" xfId="11" applyFont="1" applyBorder="1" applyAlignment="1">
      <alignment horizontal="center"/>
    </xf>
    <xf numFmtId="0" fontId="19" fillId="0" borderId="2" xfId="11" applyFont="1" applyFill="1" applyBorder="1"/>
    <xf numFmtId="166" fontId="19" fillId="0" borderId="2" xfId="11" applyNumberFormat="1" applyFont="1" applyBorder="1" applyAlignment="1">
      <alignment horizontal="right" vertical="center"/>
    </xf>
    <xf numFmtId="166" fontId="20" fillId="0" borderId="0" xfId="9" applyNumberFormat="1" applyFont="1" applyAlignment="1">
      <alignment horizontal="right" vertical="center"/>
    </xf>
    <xf numFmtId="0" fontId="19" fillId="0" borderId="1" xfId="9" applyFont="1" applyBorder="1" applyAlignment="1">
      <alignment horizontal="center" vertical="center" wrapText="1"/>
    </xf>
    <xf numFmtId="0" fontId="20" fillId="0" borderId="1" xfId="9" applyFont="1" applyBorder="1" applyAlignment="1">
      <alignment horizontal="center" vertical="center"/>
    </xf>
    <xf numFmtId="1" fontId="19" fillId="0" borderId="1" xfId="9" applyNumberFormat="1" applyFont="1" applyBorder="1" applyAlignment="1">
      <alignment horizontal="center" vertical="center" wrapText="1"/>
    </xf>
    <xf numFmtId="166" fontId="19" fillId="0" borderId="1" xfId="9" applyNumberFormat="1" applyFont="1" applyBorder="1" applyAlignment="1">
      <alignment horizontal="center" vertical="center" wrapText="1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49" fontId="20" fillId="0" borderId="1" xfId="9" applyNumberFormat="1" applyFont="1" applyBorder="1" applyAlignment="1">
      <alignment horizontal="center"/>
    </xf>
    <xf numFmtId="0" fontId="20" fillId="3" borderId="1" xfId="9" applyFont="1" applyFill="1" applyBorder="1" applyAlignment="1">
      <alignment wrapText="1"/>
    </xf>
    <xf numFmtId="166" fontId="20" fillId="0" borderId="1" xfId="9" applyNumberFormat="1" applyFont="1" applyBorder="1" applyAlignment="1">
      <alignment horizontal="right" vertical="center"/>
    </xf>
    <xf numFmtId="0" fontId="20" fillId="0" borderId="1" xfId="9" applyFont="1" applyBorder="1" applyAlignment="1">
      <alignment wrapText="1"/>
    </xf>
    <xf numFmtId="166" fontId="20" fillId="0" borderId="1" xfId="6" applyNumberFormat="1" applyFont="1" applyBorder="1" applyAlignment="1">
      <alignment horizontal="right"/>
    </xf>
    <xf numFmtId="166" fontId="20" fillId="0" borderId="1" xfId="9" applyNumberFormat="1" applyFont="1" applyBorder="1" applyAlignment="1">
      <alignment horizontal="right"/>
    </xf>
    <xf numFmtId="49" fontId="19" fillId="0" borderId="3" xfId="8" applyNumberFormat="1" applyFont="1" applyBorder="1" applyAlignment="1">
      <alignment horizontal="center"/>
    </xf>
    <xf numFmtId="0" fontId="19" fillId="3" borderId="1" xfId="8" applyFont="1" applyFill="1" applyBorder="1" applyAlignment="1">
      <alignment wrapText="1"/>
    </xf>
    <xf numFmtId="49" fontId="20" fillId="0" borderId="1" xfId="8" applyNumberFormat="1" applyFont="1" applyBorder="1" applyAlignment="1">
      <alignment horizontal="center"/>
    </xf>
    <xf numFmtId="0" fontId="20" fillId="0" borderId="1" xfId="8" applyFont="1" applyBorder="1" applyAlignment="1">
      <alignment wrapText="1"/>
    </xf>
    <xf numFmtId="49" fontId="20" fillId="0" borderId="3" xfId="9" applyNumberFormat="1" applyFont="1" applyBorder="1" applyAlignment="1">
      <alignment horizontal="center"/>
    </xf>
    <xf numFmtId="49" fontId="20" fillId="0" borderId="3" xfId="7" applyNumberFormat="1" applyFont="1" applyBorder="1" applyAlignment="1">
      <alignment horizontal="center"/>
    </xf>
    <xf numFmtId="0" fontId="40" fillId="0" borderId="1" xfId="7" applyFont="1" applyBorder="1" applyAlignment="1">
      <alignment wrapText="1"/>
    </xf>
    <xf numFmtId="166" fontId="20" fillId="0" borderId="1" xfId="9" applyNumberFormat="1" applyFont="1" applyBorder="1" applyAlignment="1">
      <alignment horizontal="right" vertical="center" wrapText="1"/>
    </xf>
    <xf numFmtId="166" fontId="19" fillId="0" borderId="1" xfId="6" applyNumberFormat="1" applyFont="1" applyBorder="1" applyAlignment="1">
      <alignment horizontal="right" vertical="center"/>
    </xf>
    <xf numFmtId="166" fontId="20" fillId="0" borderId="1" xfId="6" applyNumberFormat="1" applyFont="1" applyBorder="1" applyAlignment="1">
      <alignment horizontal="right" vertical="center"/>
    </xf>
    <xf numFmtId="0" fontId="20" fillId="0" borderId="1" xfId="9" applyFont="1" applyBorder="1" applyAlignment="1">
      <alignment horizontal="left" wrapText="1"/>
    </xf>
    <xf numFmtId="0" fontId="19" fillId="3" borderId="1" xfId="9" applyFont="1" applyFill="1" applyBorder="1" applyAlignment="1">
      <alignment horizontal="left" wrapText="1"/>
    </xf>
    <xf numFmtId="0" fontId="19" fillId="0" borderId="1" xfId="9" applyFont="1" applyBorder="1" applyAlignment="1">
      <alignment horizontal="center"/>
    </xf>
    <xf numFmtId="0" fontId="20" fillId="0" borderId="1" xfId="9" applyFont="1" applyBorder="1" applyAlignment="1">
      <alignment horizontal="center"/>
    </xf>
    <xf numFmtId="0" fontId="20" fillId="0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/>
    </xf>
    <xf numFmtId="0" fontId="19" fillId="0" borderId="1" xfId="9" applyFont="1" applyFill="1" applyBorder="1" applyAlignment="1">
      <alignment wrapText="1"/>
    </xf>
    <xf numFmtId="0" fontId="19" fillId="0" borderId="1" xfId="9" applyFont="1" applyFill="1" applyBorder="1" applyAlignment="1">
      <alignment horizontal="center" wrapText="1"/>
    </xf>
    <xf numFmtId="0" fontId="20" fillId="0" borderId="0" xfId="9" applyFont="1" applyAlignment="1">
      <alignment horizontal="left"/>
    </xf>
    <xf numFmtId="0" fontId="20" fillId="0" borderId="0" xfId="9" applyFont="1" applyAlignment="1">
      <alignment wrapText="1"/>
    </xf>
    <xf numFmtId="166" fontId="19" fillId="0" borderId="0" xfId="9" applyNumberFormat="1" applyFont="1" applyAlignment="1">
      <alignment horizontal="right"/>
    </xf>
    <xf numFmtId="166" fontId="20" fillId="0" borderId="0" xfId="9" applyNumberFormat="1" applyFont="1" applyAlignment="1">
      <alignment horizontal="center"/>
    </xf>
    <xf numFmtId="0" fontId="20" fillId="0" borderId="0" xfId="8" applyFont="1" applyAlignment="1">
      <alignment horizontal="left"/>
    </xf>
    <xf numFmtId="166" fontId="20" fillId="0" borderId="0" xfId="8" applyNumberFormat="1" applyFont="1"/>
    <xf numFmtId="0" fontId="20" fillId="0" borderId="0" xfId="8" applyFont="1"/>
    <xf numFmtId="0" fontId="20" fillId="0" borderId="0" xfId="8" applyFont="1" applyAlignment="1"/>
    <xf numFmtId="0" fontId="19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9" fontId="28" fillId="0" borderId="1" xfId="0" applyNumberFormat="1" applyFont="1" applyFill="1" applyBorder="1" applyAlignment="1">
      <alignment vertical="center" wrapText="1"/>
    </xf>
    <xf numFmtId="179" fontId="28" fillId="5" borderId="1" xfId="0" applyNumberFormat="1" applyFont="1" applyFill="1" applyBorder="1" applyAlignment="1">
      <alignment vertical="center" wrapText="1"/>
    </xf>
    <xf numFmtId="179" fontId="31" fillId="0" borderId="1" xfId="0" applyNumberFormat="1" applyFont="1" applyFill="1" applyBorder="1" applyAlignment="1">
      <alignment vertical="center" wrapText="1"/>
    </xf>
    <xf numFmtId="168" fontId="19" fillId="3" borderId="1" xfId="1" applyNumberFormat="1" applyFont="1" applyFill="1" applyBorder="1" applyAlignment="1">
      <alignment horizontal="right" vertical="center"/>
    </xf>
    <xf numFmtId="2" fontId="19" fillId="0" borderId="1" xfId="11" applyNumberFormat="1" applyFont="1" applyBorder="1" applyAlignment="1">
      <alignment horizontal="right" vertical="center"/>
    </xf>
    <xf numFmtId="168" fontId="19" fillId="0" borderId="1" xfId="11" applyNumberFormat="1" applyFont="1" applyBorder="1" applyAlignment="1">
      <alignment horizontal="right" vertical="center"/>
    </xf>
    <xf numFmtId="2" fontId="20" fillId="0" borderId="1" xfId="11" applyNumberFormat="1" applyFont="1" applyFill="1" applyBorder="1" applyAlignment="1">
      <alignment horizontal="right" vertical="center"/>
    </xf>
    <xf numFmtId="168" fontId="19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73" fontId="19" fillId="5" borderId="1" xfId="12" applyNumberFormat="1" applyFont="1" applyFill="1" applyBorder="1" applyAlignment="1">
      <alignment horizontal="right" vertical="center"/>
    </xf>
    <xf numFmtId="168" fontId="19" fillId="0" borderId="0" xfId="9" applyNumberFormat="1" applyFont="1" applyAlignment="1">
      <alignment horizontal="right" vertical="center"/>
    </xf>
    <xf numFmtId="49" fontId="41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2" applyNumberFormat="1" applyFont="1" applyFill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66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8" fillId="3" borderId="1" xfId="0" applyNumberFormat="1" applyFont="1" applyFill="1" applyBorder="1" applyAlignment="1" applyProtection="1">
      <alignment vertical="center" wrapText="1"/>
      <protection locked="0"/>
    </xf>
    <xf numFmtId="4" fontId="28" fillId="5" borderId="1" xfId="0" applyNumberFormat="1" applyFont="1" applyFill="1" applyBorder="1" applyAlignment="1" applyProtection="1">
      <alignment vertical="center" wrapText="1"/>
    </xf>
    <xf numFmtId="4" fontId="28" fillId="5" borderId="1" xfId="0" applyNumberFormat="1" applyFont="1" applyFill="1" applyBorder="1" applyAlignment="1" applyProtection="1">
      <alignment vertical="center" wrapText="1"/>
      <protection locked="0"/>
    </xf>
    <xf numFmtId="4" fontId="28" fillId="3" borderId="1" xfId="0" applyNumberFormat="1" applyFont="1" applyFill="1" applyBorder="1" applyAlignment="1" applyProtection="1">
      <alignment vertical="center" wrapText="1"/>
      <protection locked="0"/>
    </xf>
    <xf numFmtId="4" fontId="32" fillId="3" borderId="1" xfId="0" applyNumberFormat="1" applyFont="1" applyFill="1" applyBorder="1" applyAlignment="1">
      <alignment vertical="center" wrapText="1"/>
    </xf>
    <xf numFmtId="179" fontId="28" fillId="0" borderId="1" xfId="0" applyNumberFormat="1" applyFont="1" applyFill="1" applyBorder="1" applyAlignment="1" applyProtection="1">
      <alignment vertical="center" wrapText="1"/>
      <protection locked="0"/>
    </xf>
    <xf numFmtId="179" fontId="32" fillId="3" borderId="1" xfId="0" applyNumberFormat="1" applyFont="1" applyFill="1" applyBorder="1" applyAlignment="1">
      <alignment vertical="center" wrapText="1"/>
    </xf>
    <xf numFmtId="166" fontId="19" fillId="5" borderId="1" xfId="9" applyNumberFormat="1" applyFont="1" applyFill="1" applyBorder="1" applyAlignment="1">
      <alignment horizontal="right" vertical="center"/>
    </xf>
    <xf numFmtId="166" fontId="20" fillId="2" borderId="1" xfId="5" applyNumberFormat="1" applyFont="1" applyFill="1" applyBorder="1" applyAlignment="1">
      <alignment horizontal="right" vertical="top" shrinkToFit="1"/>
    </xf>
    <xf numFmtId="166" fontId="19" fillId="0" borderId="1" xfId="12" applyNumberFormat="1" applyFont="1" applyBorder="1" applyAlignment="1">
      <alignment horizontal="right" vertical="center"/>
    </xf>
    <xf numFmtId="173" fontId="3" fillId="0" borderId="8" xfId="11" applyNumberFormat="1" applyFont="1" applyBorder="1" applyAlignment="1">
      <alignment horizontal="right" vertical="center"/>
    </xf>
    <xf numFmtId="173" fontId="3" fillId="0" borderId="1" xfId="11" applyNumberFormat="1" applyFont="1" applyBorder="1" applyAlignment="1">
      <alignment horizontal="right" vertical="center"/>
    </xf>
    <xf numFmtId="174" fontId="3" fillId="3" borderId="8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2" fontId="32" fillId="0" borderId="1" xfId="0" applyNumberFormat="1" applyFont="1" applyFill="1" applyBorder="1" applyAlignment="1">
      <alignment vertical="center" wrapText="1"/>
    </xf>
    <xf numFmtId="179" fontId="32" fillId="0" borderId="1" xfId="0" applyNumberFormat="1" applyFont="1" applyFill="1" applyBorder="1" applyAlignment="1">
      <alignment vertical="center" wrapText="1"/>
    </xf>
    <xf numFmtId="168" fontId="20" fillId="0" borderId="1" xfId="11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28" fillId="3" borderId="9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31" fillId="3" borderId="0" xfId="0" applyFont="1" applyFill="1" applyAlignment="1" applyProtection="1">
      <alignment horizontal="center" vertical="center" wrapText="1"/>
      <protection locked="0"/>
    </xf>
    <xf numFmtId="0" fontId="39" fillId="3" borderId="6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 vertical="center" wrapText="1"/>
    </xf>
    <xf numFmtId="4" fontId="37" fillId="3" borderId="3" xfId="10" applyNumberFormat="1" applyFont="1" applyFill="1" applyBorder="1" applyAlignment="1">
      <alignment horizontal="center" vertical="center" wrapText="1"/>
    </xf>
    <xf numFmtId="4" fontId="37" fillId="3" borderId="5" xfId="1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49" fontId="28" fillId="3" borderId="10" xfId="0" applyNumberFormat="1" applyFont="1" applyFill="1" applyBorder="1" applyAlignment="1">
      <alignment horizontal="center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49" fontId="28" fillId="3" borderId="12" xfId="0" applyNumberFormat="1" applyFont="1" applyFill="1" applyBorder="1" applyAlignment="1">
      <alignment horizontal="center" vertical="center" wrapText="1"/>
    </xf>
    <xf numFmtId="49" fontId="28" fillId="3" borderId="13" xfId="0" applyNumberFormat="1" applyFont="1" applyFill="1" applyBorder="1" applyAlignment="1">
      <alignment horizontal="center" vertical="center" wrapText="1"/>
    </xf>
    <xf numFmtId="49" fontId="28" fillId="3" borderId="0" xfId="0" applyNumberFormat="1" applyFont="1" applyFill="1" applyBorder="1" applyAlignment="1">
      <alignment horizontal="center" vertical="center" wrapText="1"/>
    </xf>
    <xf numFmtId="49" fontId="2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11.xml"/><Relationship Id="rId252" Type="http://schemas.openxmlformats.org/officeDocument/2006/relationships/revisionLog" Target="revisionLog12.xml"/><Relationship Id="rId260" Type="http://schemas.openxmlformats.org/officeDocument/2006/relationships/revisionLog" Target="revisionLog137.xml"/><Relationship Id="rId227" Type="http://schemas.openxmlformats.org/officeDocument/2006/relationships/revisionLog" Target="revisionLog117.xml"/><Relationship Id="rId256" Type="http://schemas.openxmlformats.org/officeDocument/2006/relationships/revisionLog" Target="revisionLog1153.xml"/><Relationship Id="rId251" Type="http://schemas.openxmlformats.org/officeDocument/2006/relationships/revisionLog" Target="revisionLog1142.xml"/><Relationship Id="rId222" Type="http://schemas.openxmlformats.org/officeDocument/2006/relationships/revisionLog" Target="revisionLog1211.xml"/><Relationship Id="rId230" Type="http://schemas.openxmlformats.org/officeDocument/2006/relationships/revisionLog" Target="revisionLog1152.xml"/><Relationship Id="rId235" Type="http://schemas.openxmlformats.org/officeDocument/2006/relationships/revisionLog" Target="revisionLog118.xml"/><Relationship Id="rId243" Type="http://schemas.openxmlformats.org/officeDocument/2006/relationships/revisionLog" Target="revisionLog123.xml"/><Relationship Id="rId248" Type="http://schemas.openxmlformats.org/officeDocument/2006/relationships/revisionLog" Target="revisionLog1123.xml"/><Relationship Id="rId234" Type="http://schemas.openxmlformats.org/officeDocument/2006/relationships/revisionLog" Target="revisionLog114211.xml"/><Relationship Id="rId226" Type="http://schemas.openxmlformats.org/officeDocument/2006/relationships/revisionLog" Target="revisionLog113.xml"/><Relationship Id="rId239" Type="http://schemas.openxmlformats.org/officeDocument/2006/relationships/revisionLog" Target="revisionLog115311.xml"/><Relationship Id="rId247" Type="http://schemas.openxmlformats.org/officeDocument/2006/relationships/revisionLog" Target="revisionLog110.xml"/><Relationship Id="rId255" Type="http://schemas.openxmlformats.org/officeDocument/2006/relationships/revisionLog" Target="revisionLog1371.xml"/><Relationship Id="rId242" Type="http://schemas.openxmlformats.org/officeDocument/2006/relationships/revisionLog" Target="revisionLog111.xml"/><Relationship Id="rId250" Type="http://schemas.openxmlformats.org/officeDocument/2006/relationships/revisionLog" Target="revisionLog1125.xml"/><Relationship Id="rId259" Type="http://schemas.openxmlformats.org/officeDocument/2006/relationships/revisionLog" Target="revisionLog129.xml"/><Relationship Id="rId254" Type="http://schemas.openxmlformats.org/officeDocument/2006/relationships/revisionLog" Target="revisionLog11531.xml"/><Relationship Id="rId246" Type="http://schemas.openxmlformats.org/officeDocument/2006/relationships/revisionLog" Target="revisionLog1102.xml"/><Relationship Id="rId241" Type="http://schemas.openxmlformats.org/officeDocument/2006/relationships/revisionLog" Target="revisionLog128.xml"/><Relationship Id="rId225" Type="http://schemas.openxmlformats.org/officeDocument/2006/relationships/revisionLog" Target="revisionLog126.xml"/><Relationship Id="rId233" Type="http://schemas.openxmlformats.org/officeDocument/2006/relationships/revisionLog" Target="revisionLog1181.xml"/><Relationship Id="rId238" Type="http://schemas.openxmlformats.org/officeDocument/2006/relationships/revisionLog" Target="revisionLog127.xml"/><Relationship Id="rId237" Type="http://schemas.openxmlformats.org/officeDocument/2006/relationships/revisionLog" Target="revisionLog1151.xml"/><Relationship Id="rId262" Type="http://schemas.openxmlformats.org/officeDocument/2006/relationships/revisionLog" Target="revisionLog1.xml"/><Relationship Id="rId229" Type="http://schemas.openxmlformats.org/officeDocument/2006/relationships/revisionLog" Target="revisionLog1141.xml"/><Relationship Id="rId261" Type="http://schemas.openxmlformats.org/officeDocument/2006/relationships/revisionLog" Target="revisionLog115.xml"/><Relationship Id="rId224" Type="http://schemas.openxmlformats.org/officeDocument/2006/relationships/revisionLog" Target="revisionLog11411.xml"/><Relationship Id="rId232" Type="http://schemas.openxmlformats.org/officeDocument/2006/relationships/revisionLog" Target="revisionLog11511.xml"/><Relationship Id="rId240" Type="http://schemas.openxmlformats.org/officeDocument/2006/relationships/revisionLog" Target="revisionLog1112.xml"/><Relationship Id="rId245" Type="http://schemas.openxmlformats.org/officeDocument/2006/relationships/revisionLog" Target="revisionLog116.xml"/><Relationship Id="rId253" Type="http://schemas.openxmlformats.org/officeDocument/2006/relationships/revisionLog" Target="revisionLog112.xml"/><Relationship Id="rId258" Type="http://schemas.openxmlformats.org/officeDocument/2006/relationships/revisionLog" Target="revisionLog114.xml"/><Relationship Id="rId257" Type="http://schemas.openxmlformats.org/officeDocument/2006/relationships/revisionLog" Target="revisionLog1291.xml"/><Relationship Id="rId249" Type="http://schemas.openxmlformats.org/officeDocument/2006/relationships/revisionLog" Target="revisionLog11421.xml"/><Relationship Id="rId244" Type="http://schemas.openxmlformats.org/officeDocument/2006/relationships/revisionLog" Target="revisionLog136.xml"/><Relationship Id="rId236" Type="http://schemas.openxmlformats.org/officeDocument/2006/relationships/revisionLog" Target="revisionLog135.xml"/><Relationship Id="rId228" Type="http://schemas.openxmlformats.org/officeDocument/2006/relationships/revisionLog" Target="revisionLog134.xml"/><Relationship Id="rId223" Type="http://schemas.openxmlformats.org/officeDocument/2006/relationships/revisionLog" Target="revisionLog11521.xml"/></Relationships>
</file>

<file path=xl/revisions/revisionHeaders.xml><?xml version="1.0" encoding="utf-8"?>
<headers xmlns="http://schemas.openxmlformats.org/spreadsheetml/2006/main" xmlns:r="http://schemas.openxmlformats.org/officeDocument/2006/relationships" guid="{B64321F6-1002-4070-8DFA-76E22B568C79}" diskRevisions="1" revisionId="10302" version="2">
  <header guid="{CD32D40B-9372-4DBF-9BE0-6035E302BD2B}" dateTime="2019-12-05T10:39:47" maxSheetId="24" userName="morgau_fin3" r:id="rId222" minRId="8474" maxRId="84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022EA4F-B984-40D2-B3F0-26F0E20A9C5F}" dateTime="2019-12-05T10:43:57" maxSheetId="24" userName="morgau_fin3" r:id="rId2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595A67C-DA32-42D1-B1E5-61FC31DD09D5}" dateTime="2019-12-05T11:16:22" maxSheetId="24" userName="morgau_fin3" r:id="rId224" minRId="8556" maxRId="85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1D0A98-0FB7-4767-85BD-F023273342C6}" dateTime="2019-12-05T11:34:53" maxSheetId="24" userName="morgau_fin3" r:id="rId225" minRId="8612" maxRId="86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685ECDD-F9B3-47A0-9970-0F5EAA989F81}" dateTime="2019-12-05T14:07:49" maxSheetId="24" userName="morgau_fin3" r:id="rId226" minRId="8670" maxRId="86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DFF23F-E386-4203-81CD-FB91EC0D9263}" dateTime="2019-12-05T14:15:24" maxSheetId="24" userName="morgau_fin3" r:id="rId2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4179490-6964-4A68-9E84-E8A0D37EDA06}" dateTime="2019-12-05T14:19:05" maxSheetId="24" userName="morgau_fin3" r:id="rId228" minRId="8757" maxRId="87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2C096F6-E831-4497-A662-5354F90D055B}" dateTime="2019-12-05T14:38:35" maxSheetId="24" userName="morgau_fin5" r:id="rId229" minRId="8795" maxRId="882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2BD8F4B-1ED6-4246-B50C-9929EE5D1B54}" dateTime="2019-12-05T14:47:28" maxSheetId="24" userName="morgau_fin3" r:id="rId230" minRId="8849" maxRId="886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7C36223-960E-410B-8EE2-E453F18CCC16}" dateTime="2019-12-05T14:47:38" maxSheetId="24" userName="morgau_fin3" r:id="rId23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875277A-958E-47FE-9E72-A55085206FED}" dateTime="2019-12-05T14:51:31" maxSheetId="24" userName="morgau_fin5" r:id="rId232" minRId="8928" maxRId="89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C9EB072-F568-4A64-BDE6-7984507A6219}" dateTime="2019-12-05T14:55:59" maxSheetId="24" userName="morgau_fin5" r:id="rId2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937AE37-2D9C-4EBD-857B-7052F587EA07}" dateTime="2019-12-05T15:05:01" maxSheetId="24" userName="morgau_fin3" r:id="rId234" minRId="9009" maxRId="90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67589FD-B60A-4622-8A6D-A280D81B6094}" dateTime="2019-12-05T15:28:40" maxSheetId="24" userName="morgau_fin5" r:id="rId235" minRId="9042" maxRId="906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645FF66-627B-4530-BBD0-6368EFC81037}" dateTime="2019-12-05T15:32:04" maxSheetId="24" userName="morgau_fin3" r:id="rId236" minRId="9097" maxRId="91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B21E654-6BB1-4591-AB28-364B02AA483B}" dateTime="2019-12-05T15:32:27" maxSheetId="24" userName="morgau_fin3" r:id="rId2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07EBF3-31EF-466A-B793-96D2A9210C3D}" dateTime="2019-12-05T15:50:33" maxSheetId="24" userName="morgau_fin3" r:id="rId238" minRId="9181" maxRId="92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F9D553-4BEA-4BA3-9936-7D226D374CD4}" dateTime="2019-12-05T16:06:17" maxSheetId="24" userName="morgau_fin5" r:id="rId239" minRId="9235" maxRId="926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A68A471-E171-4788-BCD6-BA0D78FD5537}" dateTime="2019-12-05T16:16:17" maxSheetId="24" userName="morgau_fin5" r:id="rId240" minRId="9294" maxRId="93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B135D66-9B56-46B2-9C5A-C93F98A4CAFB}" dateTime="2019-12-05T16:19:17" maxSheetId="24" userName="morgau_fin3" r:id="rId241" minRId="9351" maxRId="93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0F154B6-E8EA-4BE4-A660-449007C4AD82}" dateTime="2019-12-05T16:36:22" maxSheetId="24" userName="morgau_fin3" r:id="rId242" minRId="9408" maxRId="94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D1A0DF-9EAE-40D5-B12A-6966C2D91BA0}" dateTime="2019-12-05T16:57:45" maxSheetId="24" userName="morgau_fin5" r:id="rId243" minRId="9448" maxRId="94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68ADA85-43A4-4CB7-8352-E05103E6E5C6}" dateTime="2019-12-05T16:58:59" maxSheetId="24" userName="morgau_fin3" r:id="rId244" minRId="9499" maxRId="95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E1CB7EB-9BCD-4823-BB37-B574A6F65A36}" dateTime="2019-12-05T16:59:37" maxSheetId="24" userName="morgau_fin3" r:id="rId245" minRId="9543" maxRId="954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DC3202C-5A2C-44F5-833F-72338E306DCA}" dateTime="2019-12-05T16:59:53" maxSheetId="24" userName="morgau_fin3" r:id="rId2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638280C-2371-4C7D-B134-2C04957FF720}" dateTime="2019-12-06T08:29:46" maxSheetId="24" userName="morgau_fin3" r:id="rId247" minRId="96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77A30A7-CB16-46FE-B6F1-2E4AC42DEACB}" dateTime="2019-12-06T09:15:16" maxSheetId="24" userName="morgau_fin3" r:id="rId248" minRId="9636" maxRId="96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9651FFE-10C1-4164-A304-39D102D991EE}" dateTime="2019-12-06T10:05:44" maxSheetId="24" userName="morgau_fin3" r:id="rId249" minRId="9702" maxRId="97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90E706F-56BA-4FA4-B74A-EB7548CF8803}" dateTime="2019-12-06T10:43:03" maxSheetId="24" userName="morgau_fin3" r:id="rId250" minRId="9768" maxRId="978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E6EBCF4-FF2A-4C1F-B5D6-5E8DA1704B3B}" dateTime="2019-12-06T10:44:01" maxSheetId="24" userName="morgau_fin3" r:id="rId2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0D3490E-CA1A-4F2D-8FCF-7FC343715E80}" dateTime="2019-12-06T10:49:10" maxSheetId="24" userName="morgau_fin3" r:id="rId252" minRId="98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238CA86-9955-45C5-86BB-3F6475F986BC}" dateTime="2019-12-06T11:23:53" maxSheetId="24" userName="morgau_fin3" r:id="rId253" minRId="9880" maxRId="993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C92E5F0-3F47-404D-A178-1CD9BCF1FA79}" dateTime="2019-12-06T11:57:57" maxSheetId="24" userName="morgau_fin3" r:id="rId254" minRId="9962" maxRId="100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25A687D-CBEF-4515-957C-9D79486EFA54}" dateTime="2019-12-06T12:07:56" maxSheetId="24" userName="morgau_fin3" r:id="rId255" minRId="10035" maxRId="100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4406732-84D8-4049-9402-B3C579D2C2AD}" dateTime="2019-12-06T12:10:00" maxSheetId="24" userName="morgau_fin3" r:id="rId25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B33F65A-B2CC-4BAD-90B1-96B7B3FFD4F0}" dateTime="2019-12-06T14:06:39" maxSheetId="24" userName="morgau_fin3" r:id="rId257" minRId="10104" maxRId="101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2A71182-725A-4FB1-8AFC-CCF894CE6234}" dateTime="2019-12-06T14:07:08" maxSheetId="24" userName="morgau_fin3" r:id="rId2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D5AAA26-1B90-4F06-BC7C-7F9EB1C390B5}" dateTime="2019-12-06T14:09:21" maxSheetId="24" userName="morgau_fin3" r:id="rId259" minRId="10171" maxRId="1017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957BC66-E36E-45A4-B958-5B1D90263597}" dateTime="2019-12-06T14:16:27" maxSheetId="24" userName="morgau_fin3" r:id="rId260" minRId="10203" maxRId="102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70232AE-5FE9-4F0E-937C-004760266759}" dateTime="2019-12-06T14:41:17" maxSheetId="24" userName="morgau_fin3" r:id="rId2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64321F6-1002-4070-8DFA-76E22B568C79}" dateTime="2019-12-27T16:47:50" maxSheetId="24" userName="поселение" r:id="rId2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120EA1E0_6265_45F1_AFBB_CEB5CB007D02_.wvu.PrintArea" hidden="1" oldHidden="1">
    <formula>Консол!$A$1:$K$50</formula>
  </rdn>
  <rdn rId="0" localSheetId="1" customView="1" name="Z_120EA1E0_6265_45F1_AFBB_CEB5CB007D02_.wvu.Rows" hidden="1" oldHidden="1">
    <formula>Консол!$22:$22,Консол!$43:$45</formula>
  </rdn>
  <rdn rId="0" localSheetId="2" customView="1" name="Z_120EA1E0_6265_45F1_AFBB_CEB5CB007D02_.wvu.PrintArea" hidden="1" oldHidden="1">
    <formula>Справка!$A$1:$EY$31</formula>
  </rdn>
  <rdn rId="0" localSheetId="2" customView="1" name="Z_120EA1E0_6265_45F1_AFBB_CEB5CB007D02_.wvu.Cols" hidden="1" oldHidden="1">
    <formula>Справка!$AV:$AX,Справка!$BB:$BD,Справка!$BH:$BJ,Справка!$BL:$BM,Справка!$BT:$BY,Справка!$CX:$DF</formula>
  </rdn>
  <rdn rId="0" localSheetId="3" customView="1" name="Z_120EA1E0_6265_45F1_AFBB_CEB5CB007D02_.wvu.PrintArea" hidden="1" oldHidden="1">
    <formula>район!$A$1:$F$148</formula>
  </rdn>
  <rdn rId="0" localSheetId="3" customView="1" name="Z_120EA1E0_6265_45F1_AFBB_CEB5CB007D02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</rdn>
  <rdn rId="0" localSheetId="4" customView="1" name="Z_120EA1E0_6265_45F1_AFBB_CEB5CB007D02_.wvu.PrintArea" hidden="1" oldHidden="1">
    <formula>Але!$A$1:$F$97</formula>
  </rdn>
  <rdn rId="0" localSheetId="4" customView="1" name="Z_120EA1E0_6265_45F1_AFBB_CEB5CB007D02_.wvu.Rows" hidden="1" oldHidden="1">
    <formula>Але!$19:$24,Але!$28:$28,Але!$36:$36,Але!$46:$46,Але!$55:$57,Але!$74:$75,Але!$79:$82,Але!$86:$93,Але!$142:$142</formula>
  </rdn>
  <rdn rId="0" localSheetId="5" customView="1" name="Z_120EA1E0_6265_45F1_AFBB_CEB5CB007D02_.wvu.PrintArea" hidden="1" oldHidden="1">
    <formula>Сун!$A$1:$F$104</formula>
  </rdn>
  <rdn rId="0" localSheetId="5" customView="1" name="Z_120EA1E0_6265_45F1_AFBB_CEB5CB007D02_.wvu.Rows" hidden="1" oldHidden="1">
    <formula>Сун!$19:$24,Сун!$33:$38,Сун!$45:$45,Сун!$49:$51,Сун!$58:$58,Сун!$60:$62,Сун!$68:$69,Сун!$79:$80,Сун!$82:$82,Сун!$85:$85,Сун!$87:$89,Сун!$93:$100,Сун!$142:$142</formula>
  </rdn>
  <rdn rId="0" localSheetId="6" customView="1" name="Z_120EA1E0_6265_45F1_AFBB_CEB5CB007D02_.wvu.PrintArea" hidden="1" oldHidden="1">
    <formula>Иль!$A$1:$F$104</formula>
  </rdn>
  <rdn rId="0" localSheetId="6" customView="1" name="Z_120EA1E0_6265_45F1_AFBB_CEB5CB007D02_.wvu.Rows" hidden="1" oldHidden="1">
    <formula>Иль!$19:$23,Иль!$34:$34,Иль!$39:$39,Иль!$58:$58,Иль!$60:$62,Иль!$68:$69,Иль!$78:$79,Иль!$81:$81,Иль!$86:$90,Иль!$93:$100,Иль!$143:$143</formula>
  </rdn>
  <rdn rId="0" localSheetId="7" customView="1" name="Z_120EA1E0_6265_45F1_AFBB_CEB5CB007D02_.wvu.Rows" hidden="1" oldHidden="1">
    <formula>Кад!$19:$24,Кад!$31:$35,Кад!$38:$38,Кад!$44:$44,Кад!$48:$48,Кад!$56:$56,Кад!$58:$60,Кад!$66:$67,Кад!$77:$78,Кад!$82:$86,Кад!$89:$96,Кад!$142:$142</formula>
  </rdn>
  <rdn rId="0" localSheetId="8" customView="1" name="Z_120EA1E0_6265_45F1_AFBB_CEB5CB007D02_.wvu.PrintArea" hidden="1" oldHidden="1">
    <formula>Мор!$A$1:$F$101</formula>
  </rdn>
  <rdn rId="0" localSheetId="8" customView="1" name="Z_120EA1E0_6265_45F1_AFBB_CEB5CB007D02_.wvu.Rows" hidden="1" oldHidden="1">
    <formula>Мор!$17:$24,Мор!$27:$27,Мор!$31:$33,Мор!$44:$44,Мор!$47:$47,Мор!$49:$49,Мор!$57:$57,Мор!$59:$60,Мор!$64:$65,Мор!$67:$68,Мор!$78:$79,Мор!$83:$88,Мор!$91:$97,Мор!$142:$142</formula>
  </rdn>
  <rdn rId="0" localSheetId="9" customView="1" name="Z_120EA1E0_6265_45F1_AFBB_CEB5CB007D02_.wvu.Rows" hidden="1" oldHidden="1">
    <formula>Мос!$19:$24,Мос!$29:$33,Мос!$44:$44,Мос!$50:$50,Мос!$58:$58,Мос!$60:$61,Мос!$68:$69,Мос!$79:$80,Мос!$82:$82,Мос!$85:$92,Мос!$95:$102,Мос!$143:$143</formula>
  </rdn>
  <rdn rId="0" localSheetId="10" customView="1" name="Z_120EA1E0_6265_45F1_AFBB_CEB5CB007D02_.wvu.Rows" hidden="1" oldHidden="1">
    <formula>Ори!$19:$24,Ори!$31:$35,Ори!$44:$44,Ори!$48:$50,Ори!$57:$57,Ори!$59:$60,Ори!$67:$68,Ори!$78:$79,Ори!$81:$81,Ори!$84:$88,Ори!$91:$98,Ори!$142:$142</formula>
  </rdn>
  <rdn rId="0" localSheetId="11" customView="1" name="Z_120EA1E0_6265_45F1_AFBB_CEB5CB007D02_.wvu.Rows" hidden="1" oldHidden="1">
    <formula>Сят!$19:$24,Сят!$31:$33,Сят!$38:$38,Сят!$45:$47,Сят!$57:$57,Сят!$59:$60,Сят!$67:$68,Сят!$78:$79,Сят!$83:$87,Сят!$90:$97,Сят!$143:$143</formula>
  </rdn>
  <rdn rId="0" localSheetId="12" customView="1" name="Z_120EA1E0_6265_45F1_AFBB_CEB5CB007D02_.wvu.PrintArea" hidden="1" oldHidden="1">
    <formula>Тор!$A$1:$F$101</formula>
  </rdn>
  <rdn rId="0" localSheetId="12" customView="1" name="Z_120EA1E0_6265_45F1_AFBB_CEB5CB007D02_.wvu.Rows" hidden="1" oldHidden="1">
    <formula>Тор!$19:$24,Тор!$32:$34,Тор!$39:$39,Тор!$50:$50,Тор!$57:$57,Тор!$59:$60,Тор!$67:$68,Тор!$75:$75,Тор!$79:$80,Тор!$86:$95,Тор!$142:$142</formula>
  </rdn>
  <rdn rId="0" localSheetId="13" customView="1" name="Z_120EA1E0_6265_45F1_AFBB_CEB5CB007D02_.wvu.Rows" hidden="1" oldHidden="1">
    <formula>Хор!$19:$24,Хор!$28:$35,Хор!$40:$40,Хор!$46:$48,Хор!$55:$55,Хор!$57:$59,Хор!$65:$66,Хор!$76:$77,Хор!$81:$85,Хор!$88:$95,Хор!$142:$142</formula>
  </rdn>
  <rdn rId="0" localSheetId="14" customView="1" name="Z_120EA1E0_6265_45F1_AFBB_CEB5CB007D02_.wvu.Rows" hidden="1" oldHidden="1">
    <formula>Чум!$19:$24,Чум!$31:$36,Чум!$48:$49,Чум!$57:$57,Чум!$59:$61,Чум!$67:$68,Чум!$78:$79,Чум!$83:$87,Чум!$90:$97,Чум!$142:$142</formula>
  </rdn>
  <rdn rId="0" localSheetId="15" customView="1" name="Z_120EA1E0_6265_45F1_AFBB_CEB5CB007D02_.wvu.Rows" hidden="1" oldHidden="1">
    <formula>Шать!$19:$25,Шать!$31:$33,Шать!$57:$57,Шать!$59:$60,Шать!$67:$68,Шать!$78:$79,Шать!$84:$86,Шать!$90:$97,Шать!$142:$142</formula>
  </rdn>
  <rdn rId="0" localSheetId="16" customView="1" name="Z_120EA1E0_6265_45F1_AFBB_CEB5CB007D02_.wvu.PrintArea" hidden="1" oldHidden="1">
    <formula>Юнг!$A$1:$F$100</formula>
  </rdn>
  <rdn rId="0" localSheetId="16" customView="1" name="Z_120EA1E0_6265_45F1_AFBB_CEB5CB007D02_.wvu.Rows" hidden="1" oldHidden="1">
    <formula>Юнг!$19:$24,Юнг!$38:$38,Юнг!$46:$46,Юнг!$56:$56,Юнг!$58:$60,Юнг!$66:$67,Юнг!$77:$78,Юнг!$82:$86,Юнг!$89:$96,Юнг!$142:$142</formula>
  </rdn>
  <rdn rId="0" localSheetId="17" customView="1" name="Z_120EA1E0_6265_45F1_AFBB_CEB5CB007D02_.wvu.Rows" hidden="1" oldHidden="1">
    <formula>Юсь!$19:$24,Юсь!$36:$36,Юсь!$44:$50,Юсь!$58:$58,Юсь!$60:$61,Юсь!$68:$69,Юсь!$79:$80,Юсь!$84:$88,Юсь!$91:$98,Юсь!$142:$142</formula>
  </rdn>
  <rdn rId="0" localSheetId="18" customView="1" name="Z_120EA1E0_6265_45F1_AFBB_CEB5CB007D02_.wvu.PrintArea" hidden="1" oldHidden="1">
    <formula>Яра!$A$1:$F$102</formula>
  </rdn>
  <rdn rId="0" localSheetId="18" customView="1" name="Z_120EA1E0_6265_45F1_AFBB_CEB5CB007D02_.wvu.Rows" hidden="1" oldHidden="1">
    <formula>Яра!$19:$24,Яра!$28:$29,Яра!$33:$33,Яра!$46:$50,Яра!$58:$58,Яра!$60:$61,Яра!$68:$69,Яра!$79:$80,Яра!$84:$88,Яра!$91:$98,Яра!$143:$143</formula>
  </rdn>
  <rdn rId="0" localSheetId="19" customView="1" name="Z_120EA1E0_6265_45F1_AFBB_CEB5CB007D02_.wvu.Rows" hidden="1" oldHidden="1">
    <formula>Яро!$19:$24,Яро!$28:$28,Яро!$43:$43,Яро!$46:$47,Яро!$54:$54,Яро!$56:$58,Яро!$64:$65,Яро!$75:$75,Яро!$82:$84,Яро!$87:$90,Яро!$92:$94</formula>
  </rdn>
  <rdn rId="0" localSheetId="20" customView="1" name="Z_120EA1E0_6265_45F1_AFBB_CEB5CB007D02_.wvu.Rows" hidden="1" oldHidden="1">
    <formula>Лист1!$82:$84</formula>
  </rdn>
  <rcv guid="{120EA1E0-6265-45F1-AFBB-CEB5CB007D0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605" sId="11" numFmtId="34">
    <oc r="D82">
      <v>1797.818</v>
    </oc>
    <nc r="D82">
      <v>1797.8184000000001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408" sId="11">
    <oc r="D54" t="inlineStr">
      <is>
        <t>исполнено на 01.11.2019 г.</t>
      </is>
    </oc>
    <nc r="D54" t="inlineStr">
      <is>
        <t>исполнено на 01.12.2019 г.</t>
      </is>
    </nc>
  </rcc>
  <rcc rId="9409" sId="11">
    <oc r="D3" t="inlineStr">
      <is>
        <t>исполнен на 01.11.2019 г.</t>
      </is>
    </oc>
    <nc r="D3" t="inlineStr">
      <is>
        <t>исполнен на 01.12.2019 г.</t>
      </is>
    </nc>
  </rcc>
  <rcc rId="9410" sId="11">
    <oc r="A1" t="inlineStr">
      <is>
        <t xml:space="preserve">                     Анализ исполнения бюджета Сятракасинского сельского поселения на 01.11.2019 г.</t>
      </is>
    </oc>
    <nc r="A1" t="inlineStr">
      <is>
        <t xml:space="preserve">                     Анализ исполнения бюджета Сятракасинского сельского поселения на 01.12.2019 г.</t>
      </is>
    </nc>
  </rcc>
  <rcc rId="9411" sId="11" numFmtId="4">
    <oc r="D6">
      <v>103.15573999999999</v>
    </oc>
    <nc r="D6">
      <v>106.85635000000001</v>
    </nc>
  </rcc>
  <rcc rId="9412" sId="11" numFmtId="4">
    <oc r="D8">
      <v>239.29432</v>
    </oc>
    <nc r="D8">
      <v>265.54986000000002</v>
    </nc>
  </rcc>
  <rcc rId="9413" sId="11" numFmtId="4">
    <oc r="D9">
      <v>1.78912</v>
    </oc>
    <nc r="D9">
      <v>1.9554499999999999</v>
    </nc>
  </rcc>
  <rcc rId="9414" sId="11" numFmtId="4">
    <oc r="D10">
      <v>325.35018000000002</v>
    </oc>
    <nc r="D10">
      <v>356.73541</v>
    </nc>
  </rcc>
  <rcc rId="9415" sId="11" numFmtId="4">
    <oc r="D11">
      <v>-38.415379999999999</v>
    </oc>
    <nc r="D11">
      <v>-39.992849999999997</v>
    </nc>
  </rcc>
  <rcc rId="9416" sId="11" numFmtId="4">
    <oc r="D15">
      <v>91.052310000000006</v>
    </oc>
    <nc r="D15">
      <v>131.08688000000001</v>
    </nc>
  </rcc>
  <rcc rId="9417" sId="11" numFmtId="4">
    <oc r="D16">
      <v>652.83690000000001</v>
    </oc>
    <nc r="D16">
      <v>805.86587999999995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9294" sId="15">
    <oc r="A1" t="inlineStr">
      <is>
        <t xml:space="preserve">                     Анализ исполнения бюджета Шатьмапосинского сельского поселения на 01.11.2019 г.</t>
      </is>
    </oc>
    <nc r="A1" t="inlineStr">
      <is>
        <t xml:space="preserve">                     Анализ исполнения бюджета Шатьмапосинского сельского поселения на 01.12.2019 г.</t>
      </is>
    </nc>
  </rcc>
  <rcc rId="9295" sId="15">
    <oc r="D3" t="inlineStr">
      <is>
        <t>исполнен на 01.11.2019 г.</t>
      </is>
    </oc>
    <nc r="D3" t="inlineStr">
      <is>
        <t>исполнен на 01.12.2019 г.</t>
      </is>
    </nc>
  </rcc>
  <rcc rId="9296" sId="15" numFmtId="4">
    <oc r="D8">
      <v>148.69731999999999</v>
    </oc>
    <nc r="D8">
      <v>165.01248000000001</v>
    </nc>
  </rcc>
  <rcc rId="9297" sId="15" numFmtId="4">
    <oc r="D9">
      <v>1.11175</v>
    </oc>
    <nc r="D9">
      <v>1.21509</v>
    </nc>
  </rcc>
  <rcc rId="9298" sId="15" numFmtId="4">
    <oc r="D10">
      <v>202.17232000000001</v>
    </oc>
    <nc r="D10">
      <v>221.67509999999999</v>
    </nc>
  </rcc>
  <rcc rId="9299" sId="15" numFmtId="4">
    <oc r="D11">
      <v>-23.871289999999998</v>
    </oc>
    <nc r="D11">
      <v>-24.851520000000001</v>
    </nc>
  </rcc>
  <rcc rId="9300" sId="15" numFmtId="4">
    <oc r="D13">
      <v>42.249290000000002</v>
    </oc>
    <nc r="D13">
      <v>43.005290000000002</v>
    </nc>
  </rcc>
  <rcc rId="9301" sId="15" numFmtId="4">
    <oc r="D15">
      <v>23.315670000000001</v>
    </oc>
    <nc r="D15">
      <v>31.407910000000001</v>
    </nc>
  </rcc>
  <rcc rId="9302" sId="15" numFmtId="4">
    <oc r="D18">
      <v>3.5</v>
    </oc>
    <nc r="D18">
      <v>3.9</v>
    </nc>
  </rcc>
  <rcc rId="9303" sId="15" numFmtId="4">
    <oc r="D27">
      <v>74.9268</v>
    </oc>
    <nc r="D27">
      <v>91.341800000000006</v>
    </nc>
  </rcc>
  <rcc rId="9304" sId="15" numFmtId="4">
    <oc r="D28">
      <v>21.675999999999998</v>
    </oc>
    <nc r="D28">
      <v>23.843599999999999</v>
    </nc>
  </rcc>
  <rcc rId="9305" sId="15" numFmtId="4">
    <oc r="C30">
      <v>30</v>
    </oc>
    <nc r="C30">
      <v>42</v>
    </nc>
  </rcc>
  <rcc rId="9306" sId="15" numFmtId="4">
    <oc r="D38">
      <v>16.414999999999999</v>
    </oc>
    <nc r="D38">
      <v>0</v>
    </nc>
  </rcc>
  <rcc rId="9307" sId="15" numFmtId="4">
    <oc r="D42">
      <v>1168.3969999999999</v>
    </oc>
    <nc r="D42">
      <v>1258.1569999999999</v>
    </nc>
  </rcc>
  <rcc rId="9308" sId="15" numFmtId="4">
    <oc r="D44">
      <v>439.23099999999999</v>
    </oc>
    <nc r="D44">
      <v>745.70500000000004</v>
    </nc>
  </rcc>
  <rcc rId="9309" sId="15" numFmtId="4">
    <oc r="D45">
      <v>76.462000000000003</v>
    </oc>
    <nc r="D45">
      <v>83.986999999999995</v>
    </nc>
  </rcc>
  <rcc rId="9310" sId="15" numFmtId="4">
    <oc r="C46">
      <v>175</v>
    </oc>
    <nc r="C46">
      <v>207.66300000000001</v>
    </nc>
  </rcc>
  <rcc rId="9311" sId="15" numFmtId="4">
    <oc r="D6">
      <v>34.101990000000001</v>
    </oc>
    <nc r="D6">
      <v>37.724649999999997</v>
    </nc>
  </rcc>
  <rcc rId="9312" sId="15" numFmtId="4">
    <oc r="D16">
      <v>204.48965999999999</v>
    </oc>
    <nc r="D16">
      <v>255.03052</v>
    </nc>
  </rcc>
  <rcc rId="9313" sId="15">
    <oc r="D54" t="inlineStr">
      <is>
        <t>исполнено на 01.11.2019 г.</t>
      </is>
    </oc>
    <nc r="D54" t="inlineStr">
      <is>
        <t>исполнено на 01.12.2019 г.</t>
      </is>
    </nc>
  </rcc>
  <rcc rId="9314" sId="15" numFmtId="34">
    <oc r="C58">
      <v>1078.4780000000001</v>
    </oc>
    <nc r="C58">
      <v>1111.1410000000001</v>
    </nc>
  </rcc>
  <rcc rId="9315" sId="15" numFmtId="34">
    <oc r="D58">
      <v>816.88574000000006</v>
    </oc>
    <nc r="D58">
      <v>903.56970999999999</v>
    </nc>
  </rcc>
  <rcc rId="9316" sId="15" numFmtId="34">
    <oc r="D65">
      <v>69.673630000000003</v>
    </oc>
    <nc r="D65">
      <v>77.015630000000002</v>
    </nc>
  </rcc>
  <rcc rId="9317" sId="15" numFmtId="34">
    <oc r="C74">
      <v>43.951889999999999</v>
    </oc>
    <nc r="C74">
      <v>48.611890000000002</v>
    </nc>
  </rcc>
  <rcc rId="9318" sId="15" numFmtId="34">
    <oc r="D74">
      <v>19.487760000000002</v>
    </oc>
    <nc r="D74">
      <v>36.606760000000001</v>
    </nc>
  </rcc>
  <rcc rId="9319" sId="15" numFmtId="34">
    <oc r="D75">
      <v>558.77890000000002</v>
    </oc>
    <nc r="D75">
      <v>865.25289999999995</v>
    </nc>
  </rcc>
  <rcc rId="9320" sId="15" numFmtId="34">
    <oc r="C80">
      <v>385.5</v>
    </oc>
    <nc r="C80">
      <v>392.85</v>
    </nc>
  </rcc>
  <rcc rId="9321" sId="15" numFmtId="34">
    <oc r="D80">
      <v>364.67433</v>
    </oc>
    <nc r="D80">
      <v>375.66707000000002</v>
    </nc>
  </rcc>
  <rcc rId="9322" sId="15" numFmtId="34">
    <oc r="D82">
      <v>677.3</v>
    </oc>
    <nc r="D82">
      <v>801.4</v>
    </nc>
  </rcc>
  <rfmt sheetId="15" sqref="C56">
    <dxf>
      <numFmt numFmtId="165" formatCode="_(* #,##0.00_);_(* \(#,##0.00\);_(* &quot;-&quot;??_);_(@_)"/>
    </dxf>
  </rfmt>
  <rfmt sheetId="15" sqref="C56">
    <dxf>
      <numFmt numFmtId="184" formatCode="_(* #,##0.000_);_(* \(#,##0.000\);_(* &quot;-&quot;??_);_(@_)"/>
    </dxf>
  </rfmt>
  <rcc rId="9323" sId="15" numFmtId="34">
    <oc r="C89">
      <v>1</v>
    </oc>
    <nc r="C89">
      <v>0.99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880" sId="3" numFmtId="4">
    <oc r="D89">
      <v>5.0336400000000001</v>
    </oc>
    <nc r="D89">
      <v>26.522960000000001</v>
    </nc>
  </rcc>
  <rcc rId="9881" sId="3" numFmtId="4">
    <oc r="C90">
      <v>22600.062000000002</v>
    </oc>
    <nc r="C90">
      <v>23262.037</v>
    </nc>
  </rcc>
  <rcc rId="9882" sId="3" numFmtId="4">
    <oc r="D90">
      <v>17220.24379</v>
    </oc>
    <nc r="D90">
      <v>18964.744900000002</v>
    </nc>
  </rcc>
  <rcc rId="9883" sId="3" numFmtId="4">
    <oc r="D91">
      <v>0</v>
    </oc>
    <nc r="D91">
      <v>10.5</v>
    </nc>
  </rcc>
  <rcc rId="9884" sId="3" numFmtId="4">
    <oc r="C92">
      <v>4975.7</v>
    </oc>
    <nc r="C92">
      <v>5105.0619999999999</v>
    </nc>
  </rcc>
  <rcc rId="9885" sId="3" numFmtId="4">
    <oc r="D92">
      <v>3939.9742000000001</v>
    </oc>
    <nc r="D92">
      <v>4356.3374100000001</v>
    </nc>
  </rcc>
  <rcc rId="9886" sId="3" numFmtId="4">
    <oc r="C94">
      <v>421.02695</v>
    </oc>
    <nc r="C94">
      <v>9338.8137299999999</v>
    </nc>
  </rcc>
  <rcc rId="9887" sId="3" numFmtId="4">
    <oc r="C95">
      <v>17407.758030000001</v>
    </oc>
    <nc r="C95">
      <v>18266.758030000001</v>
    </nc>
  </rcc>
  <rcc rId="9888" sId="3" numFmtId="4">
    <oc r="D95">
      <v>14552.04689</v>
    </oc>
    <nc r="D95">
      <v>16123.2562</v>
    </nc>
  </rcc>
  <rcc rId="9889" sId="3" numFmtId="4">
    <oc r="D97">
      <v>1798.2</v>
    </oc>
    <nc r="D97">
      <v>1978.8</v>
    </nc>
  </rcc>
  <rcc rId="9890" sId="3" numFmtId="4">
    <oc r="D100">
      <v>1216.7925700000001</v>
    </oc>
    <nc r="D100">
      <v>1493.96478</v>
    </nc>
  </rcc>
  <rcc rId="9891" sId="3" numFmtId="4">
    <oc r="D101">
      <v>1882.8240800000001</v>
    </oc>
    <nc r="D101">
      <v>2095.0275000000001</v>
    </nc>
  </rcc>
  <rcc rId="9892" sId="3" numFmtId="4">
    <oc r="D103">
      <v>6903.95939</v>
    </oc>
    <nc r="D103">
      <v>6911.2293900000004</v>
    </nc>
  </rcc>
  <rcc rId="9893" sId="3" numFmtId="4">
    <oc r="D105">
      <v>136.5</v>
    </oc>
    <nc r="D105">
      <v>200</v>
    </nc>
  </rcc>
  <rcc rId="9894" sId="3" numFmtId="4">
    <oc r="C109">
      <v>192105.30900000001</v>
    </oc>
    <nc r="C109">
      <v>186828.05300000001</v>
    </nc>
  </rcc>
  <rcc rId="9895" sId="3" numFmtId="4">
    <oc r="D109">
      <v>98296.289579999997</v>
    </oc>
    <nc r="D109">
      <v>170587.60286000001</v>
    </nc>
  </rcc>
  <rcc rId="9896" sId="3" numFmtId="4">
    <oc r="D110">
      <v>675.80407000000002</v>
    </oc>
    <nc r="D110">
      <v>696.80407000000002</v>
    </nc>
  </rcc>
  <rcc rId="9897" sId="3" numFmtId="4">
    <oc r="C112">
      <v>1010.6</v>
    </oc>
    <nc r="C112">
      <v>1153.3</v>
    </nc>
  </rcc>
  <rcc rId="9898" sId="3" numFmtId="4">
    <oc r="D112">
      <v>427.76965999999999</v>
    </oc>
    <nc r="D112">
      <v>463.44434999999999</v>
    </nc>
  </rcc>
  <rcc rId="9899" sId="3" numFmtId="4">
    <oc r="D113">
      <v>5715.7445699999998</v>
    </oc>
    <nc r="D113">
      <v>6033.9052499999998</v>
    </nc>
  </rcc>
  <rcc rId="9900" sId="3" numFmtId="4">
    <oc r="C114">
      <v>8790.3582800000004</v>
    </oc>
    <nc r="C114">
      <v>46243.368499999997</v>
    </nc>
  </rcc>
  <rcc rId="9901" sId="3" numFmtId="4">
    <oc r="D114">
      <v>6068.4418400000004</v>
    </oc>
    <nc r="D114">
      <v>8790.3582800000004</v>
    </nc>
  </rcc>
  <rcc rId="9902" sId="3" numFmtId="4">
    <oc r="D116">
      <v>32</v>
    </oc>
    <nc r="D116">
      <v>210.72900000000001</v>
    </nc>
  </rcc>
  <rcc rId="9903" sId="3" numFmtId="4">
    <oc r="C118">
      <v>100522.80091999999</v>
    </oc>
    <nc r="C118">
      <v>102295.23020000001</v>
    </nc>
  </rcc>
  <rcc rId="9904" sId="3" numFmtId="4">
    <oc r="D118">
      <v>80830.258329999997</v>
    </oc>
    <nc r="D118">
      <v>90112.647679999995</v>
    </nc>
  </rcc>
  <rcc rId="9905" sId="3" numFmtId="4">
    <oc r="C119">
      <v>269484.59655000002</v>
    </oc>
    <nc r="C119">
      <v>295557.77980999998</v>
    </nc>
  </rcc>
  <rcc rId="9906" sId="3" numFmtId="4">
    <oc r="D119">
      <v>220296.64291</v>
    </oc>
    <nc r="D119">
      <v>242446.54784000001</v>
    </nc>
  </rcc>
  <rcc rId="9907" sId="3" numFmtId="4">
    <oc r="C120">
      <v>21775.9</v>
    </oc>
    <nc r="C120">
      <v>21726.278620000001</v>
    </nc>
  </rcc>
  <rcc rId="9908" sId="3" numFmtId="4">
    <oc r="D120">
      <v>16245.661029999999</v>
    </oc>
    <nc r="D120">
      <v>18569.787219999998</v>
    </nc>
  </rcc>
  <rcc rId="9909" sId="3" numFmtId="4">
    <oc r="C121">
      <v>4955.5529999999999</v>
    </oc>
    <nc r="C121">
      <v>4789.5529999999999</v>
    </nc>
  </rcc>
  <rcc rId="9910" sId="3" numFmtId="4">
    <oc r="D121">
      <v>4681.7755500000003</v>
    </oc>
    <nc r="D121">
      <v>4712.5125500000004</v>
    </nc>
  </rcc>
  <rcc rId="9911" sId="3" numFmtId="4">
    <oc r="C122">
      <v>2568.3000000000002</v>
    </oc>
    <nc r="C122">
      <v>2583.3000000000002</v>
    </nc>
  </rcc>
  <rcc rId="9912" sId="3" numFmtId="4">
    <oc r="D122">
      <v>1644.92309</v>
    </oc>
    <nc r="D122">
      <v>2041.29566</v>
    </nc>
  </rcc>
  <rcc rId="9913" sId="3" numFmtId="4">
    <oc r="C124">
      <v>52667.525309999997</v>
    </oc>
    <nc r="C124">
      <v>52360.284160000003</v>
    </nc>
  </rcc>
  <rcc rId="9914" sId="3" numFmtId="4">
    <oc r="D124">
      <v>37865.037300000004</v>
    </oc>
    <nc r="D124">
      <v>41420.28024</v>
    </nc>
  </rcc>
  <rcc rId="9915" sId="3" numFmtId="4">
    <oc r="C125">
      <v>1140</v>
    </oc>
    <nc r="C125">
      <v>1308.6980000000001</v>
    </nc>
  </rcc>
  <rcc rId="9916" sId="3" numFmtId="4">
    <oc r="D125">
      <v>1089.8975800000001</v>
    </oc>
    <nc r="D125">
      <v>1104.1938</v>
    </nc>
  </rcc>
  <rcc rId="9917" sId="3" numFmtId="4">
    <oc r="D127">
      <v>44.069130000000001</v>
    </oc>
    <nc r="D127">
      <v>48.965699999999998</v>
    </nc>
  </rcc>
  <rcc rId="9918" sId="3" numFmtId="4">
    <oc r="C128">
      <v>16741.66732</v>
    </oc>
    <nc r="C128">
      <v>15472.56732</v>
    </nc>
  </rcc>
  <rcc rId="9919" sId="3" numFmtId="4">
    <oc r="D128">
      <v>13603.42842</v>
    </oc>
    <nc r="D128">
      <v>14001.690919999999</v>
    </nc>
  </rcc>
  <rcc rId="9920" sId="3" numFmtId="4">
    <oc r="C129">
      <v>26895.29883</v>
    </oc>
    <nc r="C129">
      <v>26746.686679999999</v>
    </nc>
  </rcc>
  <rcc rId="9921" sId="3" numFmtId="4">
    <oc r="D129">
      <v>25491.106230000001</v>
    </oc>
    <nc r="D129">
      <v>26555.606950000001</v>
    </nc>
  </rcc>
  <rcc rId="9922" sId="3" numFmtId="4">
    <oc r="C130">
      <v>184.4</v>
    </oc>
    <nc r="C130">
      <v>209.4</v>
    </nc>
  </rcc>
  <rcc rId="9923" sId="3" numFmtId="4">
    <oc r="D130">
      <v>151.52179000000001</v>
    </oc>
    <nc r="D130">
      <v>162.80506</v>
    </nc>
  </rcc>
  <rcc rId="9924" sId="3" numFmtId="4">
    <oc r="C132">
      <v>450</v>
    </oc>
    <nc r="C132">
      <v>494.86</v>
    </nc>
  </rcc>
  <rcc rId="9925" sId="3" numFmtId="4">
    <oc r="D132">
      <v>422.89695</v>
    </oc>
    <nc r="D132">
      <v>428.80694999999997</v>
    </nc>
  </rcc>
  <rcc rId="9926" sId="3" numFmtId="4">
    <oc r="C133">
      <v>14177.5</v>
    </oc>
    <nc r="C133">
      <v>6614.0052100000003</v>
    </nc>
  </rcc>
  <rcc rId="9927" sId="3" numFmtId="4">
    <oc r="D142">
      <v>24672.31</v>
    </oc>
    <nc r="D142">
      <v>26483.152999999998</v>
    </nc>
  </rcc>
  <rcc rId="9928" sId="3" numFmtId="4">
    <oc r="C143">
      <v>7646.808</v>
    </oc>
    <nc r="C143">
      <v>7816.308</v>
    </nc>
  </rcc>
  <rcc rId="9929" sId="3" numFmtId="4">
    <oc r="D143">
      <v>5827.6927999999998</v>
    </oc>
    <nc r="D143">
      <v>6027.6927999999998</v>
    </nc>
  </rcc>
  <rcc rId="9930" sId="3" numFmtId="4">
    <oc r="C144">
      <v>12312.217570000001</v>
    </oc>
    <nc r="C144">
      <v>13487.880569999999</v>
    </nc>
  </rcc>
  <rcc rId="9931" sId="3" numFmtId="4">
    <oc r="D144">
      <v>8910.4699299999993</v>
    </oc>
    <nc r="D144">
      <v>9819.4699299999993</v>
    </nc>
  </rcc>
  <rfmt sheetId="3" sqref="D145">
    <dxf>
      <numFmt numFmtId="2" formatCode="0.00"/>
    </dxf>
  </rfmt>
  <rfmt sheetId="3" sqref="D145">
    <dxf>
      <numFmt numFmtId="183" formatCode="0.000"/>
    </dxf>
  </rfmt>
  <rfmt sheetId="3" sqref="D145">
    <dxf>
      <numFmt numFmtId="174" formatCode="0.0000"/>
    </dxf>
  </rfmt>
  <rfmt sheetId="3" sqref="D145">
    <dxf>
      <numFmt numFmtId="168" formatCode="0.00000"/>
    </dxf>
  </rfmt>
  <rfmt sheetId="3" sqref="D145">
    <dxf>
      <numFmt numFmtId="173" formatCode="0.00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cc rId="9636" sId="12">
    <oc r="D54" t="inlineStr">
      <is>
        <t>исполнено на 01.11.2019 г.</t>
      </is>
    </oc>
    <nc r="D54" t="inlineStr">
      <is>
        <t>исполнено на 01.12.2019 г.</t>
      </is>
    </nc>
  </rcc>
  <rcc rId="9637" sId="12" numFmtId="4">
    <oc r="D6">
      <v>94.189350000000005</v>
    </oc>
    <nc r="D6">
      <v>102.46398000000001</v>
    </nc>
  </rcc>
  <rcc rId="9638" sId="12" numFmtId="4">
    <oc r="D8">
      <v>331.86088000000001</v>
    </oc>
    <nc r="D8">
      <v>368.27287999999999</v>
    </nc>
  </rcc>
  <rcc rId="9639" sId="12" numFmtId="4">
    <oc r="D9">
      <v>2.4811899999999998</v>
    </oc>
    <nc r="D9">
      <v>2.7118600000000002</v>
    </nc>
  </rcc>
  <rcc rId="9640" sId="12" numFmtId="4">
    <oc r="D10">
      <v>451.20578999999998</v>
    </oc>
    <nc r="D10">
      <v>494.73182000000003</v>
    </nc>
  </rcc>
  <rcc rId="9641" sId="12" numFmtId="4">
    <oc r="D11">
      <v>-53.275649999999999</v>
    </oc>
    <nc r="D11">
      <v>-55.463340000000002</v>
    </nc>
  </rcc>
  <rcc rId="9642" sId="12" numFmtId="4">
    <oc r="D15">
      <v>35.316850000000002</v>
    </oc>
    <nc r="D15">
      <v>142.34155000000001</v>
    </nc>
  </rcc>
  <rcc rId="9643" sId="12" numFmtId="4">
    <oc r="D16">
      <v>95.255319999999998</v>
    </oc>
    <nc r="D16">
      <v>168.53980000000001</v>
    </nc>
  </rcc>
  <rcc rId="9644" sId="12" numFmtId="4">
    <oc r="D18">
      <v>6.3</v>
    </oc>
    <nc r="D18">
      <v>7</v>
    </nc>
  </rcc>
  <rcc rId="9645" sId="12" numFmtId="4">
    <oc r="D27">
      <v>430.87484999999998</v>
    </oc>
    <nc r="D27">
      <v>475.40485000000001</v>
    </nc>
  </rcc>
  <rcc rId="9646" sId="12" numFmtId="4">
    <oc r="D28">
      <v>58.322629999999997</v>
    </oc>
    <nc r="D28">
      <v>58.86598</v>
    </nc>
  </rcc>
  <rcc rId="9647" sId="12" numFmtId="4">
    <oc r="D42">
      <v>1234.886</v>
    </oc>
    <nc r="D42">
      <v>1329.7539999999999</v>
    </nc>
  </rcc>
  <rcc rId="9648" sId="12" numFmtId="4">
    <oc r="C43">
      <v>280</v>
    </oc>
    <nc r="C43">
      <v>399.5</v>
    </nc>
  </rcc>
  <rcc rId="9649" sId="12" numFmtId="4">
    <oc r="D44">
      <v>377.03199999999998</v>
    </oc>
    <nc r="D44">
      <v>1772.1179999999999</v>
    </nc>
  </rcc>
  <rcc rId="9650" sId="12" numFmtId="4">
    <oc r="D45">
      <v>149.84899999999999</v>
    </oc>
    <nc r="D45">
      <v>164.899</v>
    </nc>
  </rcc>
  <rcc rId="9651" sId="12" numFmtId="4">
    <oc r="C46">
      <v>1422.056</v>
    </oc>
    <nc r="C46">
      <v>1456.61</v>
    </nc>
  </rcc>
  <rcc rId="9652" sId="12" numFmtId="4">
    <oc r="D46">
      <v>1263.0554099999999</v>
    </oc>
    <nc r="D46">
      <v>1422.0554099999999</v>
    </nc>
  </rcc>
  <rcc rId="9653" sId="12" numFmtId="34">
    <oc r="C58">
      <v>1079.2149999999999</v>
    </oc>
    <nc r="C58">
      <v>1113.769</v>
    </nc>
  </rcc>
  <rcc rId="9654" sId="12" numFmtId="34">
    <oc r="D58">
      <v>794.69168000000002</v>
    </oc>
    <nc r="D58">
      <v>926.54079999999999</v>
    </nc>
  </rcc>
  <rcc rId="9655" sId="12" numFmtId="34">
    <oc r="C63">
      <v>28.193999999999999</v>
    </oc>
    <nc r="C63">
      <v>8.1940000000000008</v>
    </nc>
  </rcc>
  <rcc rId="9656" sId="12" numFmtId="34">
    <oc r="D65">
      <v>139.72048000000001</v>
    </oc>
    <nc r="D65">
      <v>155.00704999999999</v>
    </nc>
  </rcc>
  <rcc rId="9657" sId="12" numFmtId="34">
    <oc r="C69">
      <v>0.2</v>
    </oc>
    <nc r="C69">
      <v>0</v>
    </nc>
  </rcc>
  <rcc rId="9658" sId="12" numFmtId="34">
    <oc r="C71">
      <v>2</v>
    </oc>
    <nc r="C71">
      <v>0</v>
    </nc>
  </rcc>
  <rcc rId="9659" sId="12" numFmtId="34">
    <oc r="C74">
      <v>958.06264999999996</v>
    </oc>
    <nc r="C74">
      <v>1023.71648</v>
    </nc>
  </rcc>
  <rcc rId="9660" sId="12" numFmtId="34">
    <oc r="D74">
      <v>905.53210000000001</v>
    </oc>
    <nc r="D74">
      <v>907.03210000000001</v>
    </nc>
  </rcc>
  <rcc rId="9661" sId="12" numFmtId="34">
    <oc r="D76">
      <v>785.84783000000004</v>
    </oc>
    <nc r="D76">
      <v>2198.5338299999999</v>
    </nc>
  </rcc>
  <rcc rId="9662" sId="12" numFmtId="34">
    <oc r="C77">
      <v>160</v>
    </oc>
    <nc r="C77">
      <v>217.952</v>
    </nc>
  </rcc>
  <rcc rId="9663" sId="12" numFmtId="34">
    <oc r="C81">
      <v>858.72850000000005</v>
    </oc>
    <nc r="C81">
      <v>924.37266999999997</v>
    </nc>
  </rcc>
  <rcc rId="9664" sId="12" numFmtId="34">
    <oc r="D81">
      <v>556.35766999999998</v>
    </oc>
    <nc r="D81">
      <v>704.01549</v>
    </nc>
  </rcc>
  <rcc rId="9665" sId="12" numFmtId="34">
    <oc r="C83">
      <v>1297.0999999999999</v>
    </oc>
    <nc r="C83">
      <v>1259.55</v>
    </nc>
  </rcc>
  <rcc rId="9666" sId="12" numFmtId="34">
    <oc r="D83">
      <v>1133.3620000000001</v>
    </oc>
    <nc r="D83">
      <v>1232.45</v>
    </nc>
  </rcc>
  <rcc rId="9667" sId="12" numFmtId="34">
    <oc r="C98">
      <v>25</v>
    </oc>
    <nc r="C98">
      <v>15</v>
    </nc>
  </rcc>
  <rcc rId="9668" sId="12" numFmtId="34">
    <oc r="D98">
      <v>0</v>
    </oc>
    <nc r="D98">
      <v>15</v>
    </nc>
  </rcc>
  <rrc rId="9669" sId="12" ref="A89:XFD89" action="deleteRow">
    <undo index="22" exp="area" ref3D="1" dr="$A$143:$XFD$143" dn="Z_61528DAC_5C4C_48F4_ADE2_8A724B05A086_.wvu.Rows" sId="12"/>
    <undo index="20" exp="area" ref3D="1" dr="$A$90:$XFD$96" dn="Z_61528DAC_5C4C_48F4_ADE2_8A724B05A086_.wvu.Rows" sId="12"/>
    <undo index="14" exp="area" ref3D="1" dr="$A$84:$XFD$96" dn="Z_B31C8DB7_3E78_4144_A6B5_8DE36DE63F0E_.wvu.Rows" sId="12"/>
    <undo index="22" exp="area" ref3D="1" dr="$A$143:$XFD$143" dn="Z_B30CE22D_C12F_4E12_8BB9_3AAE0A6991CC_.wvu.Rows" sId="12"/>
    <undo index="20" exp="area" ref3D="1" dr="$A$89:$XFD$96" dn="Z_B30CE22D_C12F_4E12_8BB9_3AAE0A6991CC_.wvu.Rows" sId="12"/>
    <undo index="22" exp="area" ref3D="1" dr="$A$143:$XFD$143" dn="Z_A54C432C_6C68_4B53_A75C_446EB3A61B2B_.wvu.Rows" sId="12"/>
    <undo index="20" exp="area" ref3D="1" dr="$A$84:$XFD$96" dn="Z_A54C432C_6C68_4B53_A75C_446EB3A61B2B_.wvu.Rows" sId="12"/>
    <undo index="14" exp="area" ref3D="1" dr="$A$83:$XFD$94" dn="Z_5BFCA170_DEAE_4D2C_98A0_1E68B427AC01_.wvu.Rows" sId="12"/>
    <undo index="18" exp="area" ref3D="1" dr="$A$84:$XFD$96" dn="Z_42584DC0_1D41_4C93_9B38_C388E7B8DAC4_.wvu.Rows" sId="12"/>
    <undo index="14" exp="area" ref3D="1" dr="$A$83:$XFD$94" dn="Z_3DCB9AAA_F09C_4EA6_B992_F93E466D374A_.wvu.Rows" sId="12"/>
    <undo index="18" exp="area" ref3D="1" dr="$A$84:$XFD$96" dn="Z_1A52382B_3765_4E8C_903F_6B8919B7242E_.wvu.Rows" sId="12"/>
    <undo index="22" exp="area" ref3D="1" dr="$A$143:$XFD$143" dn="Z_1718F1EE_9F48_4DBE_9531_3B70F9C4A5DD_.wvu.Rows" sId="12"/>
    <undo index="20" exp="area" ref3D="1" dr="$A$84:$XFD$96" dn="Z_1718F1EE_9F48_4DBE_9531_3B70F9C4A5DD_.wvu.Rows" sId="12"/>
    <rfmt sheetId="12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12" dxf="1">
      <nc r="A89" t="inlineStr">
        <is>
          <t>1100</t>
        </is>
      </nc>
      <ndxf>
        <font>
          <b/>
          <sz val="12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B89" t="inlineStr">
        <is>
          <t>ФИЗИЧЕСКАЯ КУЛЬТУРА И СПОРТ</t>
        </is>
      </nc>
      <ndxf>
        <font>
          <b/>
          <sz val="12"/>
          <name val="Times New Roman"/>
          <scheme val="none"/>
        </font>
        <fill>
          <patternFill patternType="solid"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C89" start="0" length="0">
      <dxf>
        <font>
          <b/>
          <sz val="12"/>
          <name val="Times New Roman"/>
          <scheme val="none"/>
        </font>
        <numFmt numFmtId="169" formatCode="_(* #,##0.0_);_(* \(#,##0.0\);_(* &quot;-&quot;??_);_(@_)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>
      <nc r="D89">
        <f>D90+D91+D92+D93+D94</f>
      </nc>
      <ndxf>
        <font>
          <b/>
          <sz val="12"/>
          <name val="Times New Roman"/>
          <scheme val="none"/>
        </font>
        <numFmt numFmtId="169" formatCode="_(* #,##0.0_);_(* \(#,##0.0\);_(* &quot;-&quot;??_);_(@_)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s="1" dxf="1">
      <nc r="E89">
        <f>SUM(D89/C89*100)</f>
      </nc>
      <ndxf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F89">
        <f>F90+F91+F92+F93+F94</f>
      </nc>
      <ndxf>
        <font>
          <b/>
          <sz val="12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670" sId="12">
    <oc r="D3" t="inlineStr">
      <is>
        <t>исполнен на 01.11.2019 г.</t>
      </is>
    </oc>
    <nc r="D3" t="inlineStr">
      <is>
        <t>исполнен на 01.12.2019 г.</t>
      </is>
    </nc>
  </rcc>
  <rcc rId="9671" sId="12">
    <oc r="A1" t="inlineStr">
      <is>
        <t xml:space="preserve">                     Анализ исполнения бюджета Тораевского сельского поселения на 01.11.2019 г.</t>
      </is>
    </oc>
    <nc r="A1" t="inlineStr">
      <is>
        <t xml:space="preserve">                     Анализ исполнения бюджета Тораевского сельского поселения на 01.12.2019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Тор!$19:$24,Тор!$32:$34,Тор!$39:$39,Тор!$50:$50,Тор!$57:$57,Тор!$59:$60,Тор!$67:$68,Тор!$75:$75,Тор!$79:$80,Тор!$86:$87,Тор!$89:$95,Тор!$142:$142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5.xml><?xml version="1.0" encoding="utf-8"?>
<revisions xmlns="http://schemas.openxmlformats.org/spreadsheetml/2006/main" xmlns:r="http://schemas.openxmlformats.org/officeDocument/2006/relationships">
  <rcc rId="9768" sId="2" numFmtId="4">
    <oc r="DG32">
      <v>148900.42715</v>
    </oc>
    <nc r="DG32">
      <v>187871.60037</v>
    </nc>
  </rcc>
  <rcc rId="9769" sId="2" numFmtId="4">
    <oc r="DH32">
      <v>108423.28846</v>
    </oc>
    <nc r="DH32">
      <v>122846.84868</v>
    </nc>
  </rcc>
  <rcc rId="9770" sId="2" numFmtId="4">
    <oc r="DJ32">
      <v>22444.489890000001</v>
    </oc>
    <nc r="DJ32">
      <v>23810.77289</v>
    </nc>
  </rcc>
  <rcc rId="9771" sId="2" numFmtId="4">
    <oc r="DK32">
      <v>17394.113120000002</v>
    </oc>
    <nc r="DK32">
      <v>19393.65683</v>
    </nc>
  </rcc>
  <rfmt sheetId="2" sqref="DK31">
    <dxf>
      <numFmt numFmtId="4" formatCode="#,##0.00"/>
    </dxf>
  </rfmt>
  <rfmt sheetId="2" sqref="DK31">
    <dxf>
      <numFmt numFmtId="186" formatCode="#,##0.000"/>
    </dxf>
  </rfmt>
  <rfmt sheetId="2" sqref="DK31">
    <dxf>
      <numFmt numFmtId="187" formatCode="#,##0.0000"/>
    </dxf>
  </rfmt>
  <rfmt sheetId="2" sqref="DK31">
    <dxf>
      <numFmt numFmtId="172" formatCode="#,##0.00000"/>
    </dxf>
  </rfmt>
  <rfmt sheetId="2" sqref="DK31">
    <dxf>
      <numFmt numFmtId="179" formatCode="#,##0.000000"/>
    </dxf>
  </rfmt>
  <rcc rId="9772" sId="2" numFmtId="4">
    <oc r="DM32">
      <v>21847.43289</v>
    </oc>
    <nc r="DM32">
      <v>23153.015889999999</v>
    </nc>
  </rcc>
  <rcc rId="9773" sId="2" numFmtId="4">
    <oc r="DN32">
      <v>17040.847549999999</v>
    </oc>
    <nc r="DN32">
      <v>19020.39126</v>
    </nc>
  </rcc>
  <rfmt sheetId="2" sqref="DN31">
    <dxf>
      <numFmt numFmtId="4" formatCode="#,##0.00"/>
    </dxf>
  </rfmt>
  <rfmt sheetId="2" sqref="DN31">
    <dxf>
      <numFmt numFmtId="186" formatCode="#,##0.000"/>
    </dxf>
  </rfmt>
  <rfmt sheetId="2" sqref="DN31">
    <dxf>
      <numFmt numFmtId="187" formatCode="#,##0.0000"/>
    </dxf>
  </rfmt>
  <rfmt sheetId="2" sqref="DN31">
    <dxf>
      <numFmt numFmtId="172" formatCode="#,##0.00000"/>
    </dxf>
  </rfmt>
  <rcc rId="9774" sId="2" numFmtId="4">
    <oc r="DV32">
      <v>496.92700000000002</v>
    </oc>
    <nc r="DV32">
      <v>557.62699999999995</v>
    </nc>
  </rcc>
  <rcc rId="9775" sId="2" numFmtId="4">
    <oc r="DW32">
      <v>333.13556999999997</v>
    </oc>
    <nc r="DW32">
      <v>353.13556999999997</v>
    </nc>
  </rcc>
  <rcc rId="9776" sId="2" numFmtId="4">
    <oc r="DZ32">
      <v>1599.09592</v>
    </oc>
    <nc r="DZ32">
      <v>1767.7563</v>
    </nc>
  </rcc>
  <rcc rId="9777" sId="2" numFmtId="4">
    <oc r="EB32">
      <v>447.06688000000003</v>
    </oc>
    <nc r="EB32">
      <v>405.80288000000002</v>
    </nc>
  </rcc>
  <rcc rId="9778" sId="2" numFmtId="4">
    <oc r="EC32">
      <v>245.01472999999999</v>
    </oc>
    <nc r="EC32">
      <v>345.04673000000003</v>
    </nc>
  </rcc>
  <rcc rId="9779" sId="2" numFmtId="4">
    <oc r="EE32">
      <v>60189.97539</v>
    </oc>
    <nc r="EE32">
      <v>60416.424220000001</v>
    </nc>
  </rcc>
  <rcc rId="9780" sId="2" numFmtId="4">
    <oc r="EF32">
      <v>45251.740760000001</v>
    </oc>
    <nc r="EF32">
      <v>49467.642099999997</v>
    </nc>
  </rcc>
  <rcc rId="9781" sId="2" numFmtId="4">
    <oc r="EH32">
      <v>23672.96775</v>
    </oc>
    <nc r="EH32">
      <v>61146.035640000002</v>
    </nc>
  </rcc>
  <rcc rId="9782" sId="2" numFmtId="4">
    <oc r="EI32">
      <v>17711.737840000002</v>
    </oc>
    <nc r="EI32">
      <v>21203.696950000001</v>
    </nc>
  </rcc>
  <rcc rId="9783" sId="2" numFmtId="4">
    <oc r="EK32">
      <v>39715.136310000002</v>
    </oc>
    <nc r="EK32">
      <v>39672.783810000001</v>
    </nc>
  </rcc>
  <rcc rId="9784" sId="2" numFmtId="4">
    <oc r="EL32">
      <v>26093.59809</v>
    </oc>
    <nc r="EL32">
      <v>30511.411769999999</v>
    </nc>
  </rcc>
  <rcc rId="9785" sId="2" numFmtId="4">
    <oc r="EQ32">
      <v>272.09093000000001</v>
    </oc>
    <nc r="EQ32">
      <v>261.08093000000002</v>
    </nc>
  </rcc>
  <rcc rId="9786" sId="2" numFmtId="4">
    <oc r="ER32">
      <v>127.988</v>
    </oc>
    <nc r="ER32">
      <v>157.63800000000001</v>
    </nc>
  </rcc>
  <rcc rId="9787" sId="2" numFmtId="4">
    <oc r="EX32">
      <v>1173.7893799999999</v>
    </oc>
    <nc r="EX32">
      <v>2017.0855100000001</v>
    </nc>
  </rcc>
  <rfmt sheetId="2" sqref="DN14:DN29">
    <dxf>
      <numFmt numFmtId="4" formatCode="#,##0.00"/>
    </dxf>
  </rfmt>
  <rfmt sheetId="2" sqref="DN14:DN29">
    <dxf>
      <numFmt numFmtId="186" formatCode="#,##0.000"/>
    </dxf>
  </rfmt>
  <rfmt sheetId="2" sqref="DN14:DN29">
    <dxf>
      <numFmt numFmtId="187" formatCode="#,##0.0000"/>
    </dxf>
  </rfmt>
  <rfmt sheetId="2" sqref="DN14:DN29">
    <dxf>
      <numFmt numFmtId="172" formatCode="#,##0.00000"/>
    </dxf>
  </rfmt>
  <rfmt sheetId="2" sqref="DN14:DN29">
    <dxf>
      <numFmt numFmtId="179" formatCode="#,##0.000000"/>
    </dxf>
  </rfmt>
  <rfmt sheetId="2" sqref="DN14:DN29">
    <dxf>
      <numFmt numFmtId="172" formatCode="#,##0.00000"/>
    </dxf>
  </rfmt>
  <rcc rId="9788" sId="7" numFmtId="34">
    <oc r="D57">
      <v>1336.5039999999999</v>
    </oc>
    <nc r="D57">
      <v>1336.5042000000001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8670" sId="6">
    <oc r="D55" t="inlineStr">
      <is>
        <t>исполнено на 01.11.2019 г.</t>
      </is>
    </oc>
    <nc r="D55" t="inlineStr">
      <is>
        <t>исполнено на 01.12.2019 г.</t>
      </is>
    </nc>
  </rcc>
  <rcc rId="8671" sId="6">
    <oc r="D3" t="inlineStr">
      <is>
        <t>исполнен на 01.11.2019 г.</t>
      </is>
    </oc>
    <nc r="D3" t="inlineStr">
      <is>
        <t>исполнен на 01.12.2019 г.</t>
      </is>
    </nc>
  </rcc>
  <rcc rId="8672" sId="6">
    <oc r="A1" t="inlineStr">
      <is>
        <t xml:space="preserve">                     Анализ исполнения бюджета Ильинского сельского поселения на 01.11.2019 г.</t>
      </is>
    </oc>
    <nc r="A1" t="inlineStr">
      <is>
        <t xml:space="preserve">                     Анализ исполнения бюджета Ильинского сельского поселения на 01.12.2019 г.</t>
      </is>
    </nc>
  </rcc>
  <rcc rId="8673" sId="6" numFmtId="4">
    <oc r="D6">
      <v>55.559289999999997</v>
    </oc>
    <nc r="D6">
      <v>60.072470000000003</v>
    </nc>
  </rcc>
  <rcc rId="8674" sId="6" numFmtId="4">
    <oc r="D8">
      <v>274.74538999999999</v>
    </oc>
    <nc r="D8">
      <v>304.89062000000001</v>
    </nc>
  </rcc>
  <rcc rId="8675" sId="6" numFmtId="4">
    <oc r="D9">
      <v>2.0541499999999999</v>
    </oc>
    <nc r="D9">
      <v>2.2451099999999999</v>
    </nc>
  </rcc>
  <rcc rId="8676" sId="6" numFmtId="4">
    <oc r="D10">
      <v>373.55018000000001</v>
    </oc>
    <nc r="D10">
      <v>409.58508999999998</v>
    </nc>
  </rcc>
  <rcc rId="8677" sId="6" numFmtId="4">
    <oc r="D11">
      <v>-44.106560000000002</v>
    </oc>
    <nc r="D11">
      <v>-45.91771</v>
    </nc>
  </rcc>
  <rcc rId="8678" sId="6" numFmtId="4">
    <oc r="D15">
      <v>147.49602999999999</v>
    </oc>
    <nc r="D15">
      <v>280.11565999999999</v>
    </nc>
  </rcc>
  <rcc rId="8679" sId="6" numFmtId="4">
    <oc r="D16">
      <v>489.57425999999998</v>
    </oc>
    <nc r="D16">
      <v>635.03006000000005</v>
    </nc>
  </rcc>
  <rcc rId="8680" sId="6" numFmtId="4">
    <oc r="D18">
      <v>3.61</v>
    </oc>
    <nc r="D18">
      <v>4.41</v>
    </nc>
  </rcc>
  <rcc rId="8681" sId="6" numFmtId="4">
    <oc r="D28">
      <v>150.94166999999999</v>
    </oc>
    <nc r="D28">
      <v>159.10266999999999</v>
    </nc>
  </rcc>
  <rcc rId="8682" sId="6" numFmtId="4">
    <oc r="D29">
      <v>36.541499999999999</v>
    </oc>
    <nc r="D29">
      <v>39.091650000000001</v>
    </nc>
  </rcc>
  <rcc rId="8683" sId="6" numFmtId="4">
    <oc r="D42">
      <v>1524.8389999999999</v>
    </oc>
    <nc r="D42">
      <v>1641.982</v>
    </nc>
  </rcc>
  <rcc rId="8684" sId="6" numFmtId="4">
    <oc r="D44">
      <v>2560.9401499999999</v>
    </oc>
    <nc r="D44">
      <v>3526.84015</v>
    </nc>
  </rcc>
  <rcc rId="8685" sId="6" numFmtId="4">
    <oc r="D46">
      <v>149.84899999999999</v>
    </oc>
    <nc r="D46">
      <v>164.899</v>
    </nc>
  </rcc>
  <rcc rId="8686" sId="6" numFmtId="4">
    <oc r="C47">
      <v>1286.21828</v>
    </oc>
    <nc r="C47">
      <v>1372.8612800000001</v>
    </nc>
  </rcc>
  <rcc rId="8687" sId="6" numFmtId="4">
    <oc r="D51">
      <v>306.55900000000003</v>
    </oc>
    <nc r="D51">
      <v>333.55900000000003</v>
    </nc>
  </rcc>
  <rcc rId="8688" sId="6" numFmtId="4">
    <oc r="C59">
      <v>1247.4000000000001</v>
    </oc>
    <nc r="C59">
      <v>1334.0429999999999</v>
    </nc>
  </rcc>
  <rcc rId="8689" sId="6" numFmtId="4">
    <oc r="D59">
      <v>958.00202999999999</v>
    </oc>
    <nc r="D59">
      <v>1061.83809</v>
    </nc>
  </rcc>
  <rcc rId="8690" sId="6" numFmtId="4">
    <oc r="C64">
      <v>9.3510000000000009</v>
    </oc>
    <nc r="C64">
      <v>16.550999999999998</v>
    </nc>
  </rcc>
  <rcc rId="8691" sId="6" numFmtId="4">
    <oc r="D66">
      <v>138.21468999999999</v>
    </oc>
    <nc r="D66">
      <v>152.90369000000001</v>
    </nc>
  </rcc>
  <rcc rId="8692" sId="6" numFmtId="4">
    <oc r="C75">
      <v>528.84329000000002</v>
    </oc>
    <nc r="C75">
      <v>521.64328999999998</v>
    </nc>
  </rcc>
  <rcc rId="8693" sId="6" numFmtId="4">
    <oc r="D75">
      <v>461.70292000000001</v>
    </oc>
    <nc r="D75">
      <v>481.70292000000001</v>
    </nc>
  </rcc>
  <rcc rId="8694" sId="6" numFmtId="4">
    <oc r="D76">
      <v>3767.0823099999998</v>
    </oc>
    <nc r="D76">
      <v>4739.57593</v>
    </nc>
  </rcc>
  <rcc rId="8695" sId="6" numFmtId="4">
    <oc r="D83">
      <v>796.13678000000004</v>
    </oc>
    <nc r="D83">
      <v>858.42899</v>
    </nc>
  </rcc>
  <rcc rId="8696" sId="6" numFmtId="4">
    <oc r="D85">
      <v>1537.7902099999999</v>
    </oc>
    <nc r="D85">
      <v>1760.09744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8795" sId="19">
    <oc r="A1" t="inlineStr">
      <is>
        <t xml:space="preserve">                     Анализ исполнения бюджета Ярославского сельского поселения на 01.11.2019 г.</t>
      </is>
    </oc>
    <nc r="A1" t="inlineStr">
      <is>
        <t xml:space="preserve">                     Анализ исполнения бюджета Ярославского сельского поселения на 01.12.2019 г.</t>
      </is>
    </nc>
  </rcc>
  <rcc rId="8796" sId="19">
    <oc r="D3" t="inlineStr">
      <is>
        <t>исполнен на 01.11.2019 г.</t>
      </is>
    </oc>
    <nc r="D3" t="inlineStr">
      <is>
        <t>исполнен на 01.12.2019 г.</t>
      </is>
    </nc>
  </rcc>
  <rcc rId="8797" sId="19">
    <oc r="D51" t="inlineStr">
      <is>
        <t>исполнено на 01.11.2019 г.</t>
      </is>
    </oc>
    <nc r="D51" t="inlineStr">
      <is>
        <t>исполнено на 01.12.2019 г.</t>
      </is>
    </nc>
  </rcc>
  <rcc rId="8798" sId="19" numFmtId="4">
    <oc r="D6">
      <v>88.759280000000004</v>
    </oc>
    <nc r="D6">
      <v>99.479140000000001</v>
    </nc>
  </rcc>
  <rcc rId="8799" sId="19" numFmtId="4">
    <oc r="D8">
      <v>193.01107999999999</v>
    </oc>
    <nc r="D8">
      <v>214.18839</v>
    </nc>
  </rcc>
  <rcc rId="8800" sId="19" numFmtId="4">
    <oc r="D9">
      <v>1.44306</v>
    </oc>
    <nc r="D9">
      <v>1.57721</v>
    </nc>
  </rcc>
  <rcc rId="8801" sId="19" numFmtId="4">
    <oc r="D10">
      <v>262.42234000000002</v>
    </oc>
    <nc r="D10">
      <v>287.73719999999997</v>
    </nc>
  </rcc>
  <rcc rId="8802" sId="19" numFmtId="4">
    <oc r="D11">
      <v>-30.985230000000001</v>
    </oc>
    <nc r="D11">
      <v>-32.257599999999996</v>
    </nc>
  </rcc>
  <rcc rId="8803" sId="19" numFmtId="4">
    <oc r="D15">
      <v>159.99181999999999</v>
    </oc>
    <nc r="D15">
      <v>179.36788000000001</v>
    </nc>
  </rcc>
  <rcc rId="8804" sId="19" numFmtId="4">
    <oc r="D16">
      <v>673.79475000000002</v>
    </oc>
    <nc r="D16">
      <v>823.37207000000001</v>
    </nc>
  </rcc>
  <rcc rId="8805" sId="19" numFmtId="4">
    <oc r="D27">
      <v>153.65816000000001</v>
    </oc>
    <nc r="D27">
      <v>220.10954000000001</v>
    </nc>
  </rcc>
  <rcc rId="8806" sId="19" numFmtId="4">
    <oc r="D39">
      <v>477.36399999999998</v>
    </oc>
    <nc r="D39">
      <v>514.03599999999994</v>
    </nc>
  </rcc>
  <rcc rId="8807" sId="19" numFmtId="4">
    <oc r="C40">
      <v>2145</v>
    </oc>
    <nc r="C40">
      <v>2195</v>
    </nc>
  </rcc>
  <rcc rId="8808" sId="19" numFmtId="4">
    <oc r="D41">
      <v>1667.7349999999999</v>
    </oc>
    <nc r="D41">
      <v>1723.192</v>
    </nc>
  </rcc>
  <rcc rId="8809" sId="19" numFmtId="4">
    <oc r="D42">
      <v>77.318600000000004</v>
    </oc>
    <nc r="D42">
      <v>84.843599999999995</v>
    </nc>
  </rcc>
  <rcc rId="8810" sId="19" numFmtId="4">
    <oc r="C44">
      <v>5389.3578200000002</v>
    </oc>
    <nc r="C44">
      <v>5435.2018200000002</v>
    </nc>
  </rcc>
  <rcc rId="8811" sId="19" numFmtId="34">
    <oc r="C55">
      <v>1286.5719999999999</v>
    </oc>
    <nc r="C55">
      <v>1332.4159999999999</v>
    </nc>
  </rcc>
  <rcc rId="8812" sId="19" numFmtId="34">
    <oc r="D55">
      <v>1003.91439</v>
    </oc>
    <nc r="D55">
      <v>1106.2855999999999</v>
    </nc>
  </rcc>
  <rcc rId="8813" sId="19" numFmtId="34">
    <oc r="C60">
      <v>3.09</v>
    </oc>
    <nc r="C60">
      <v>6.09</v>
    </nc>
  </rcc>
  <rcc rId="8814" sId="19" numFmtId="34">
    <oc r="D62">
      <v>51.404539999999997</v>
    </oc>
    <nc r="D62">
      <v>56.83222</v>
    </nc>
  </rcc>
  <rcc rId="8815" sId="19" numFmtId="34">
    <oc r="C66">
      <v>2.4</v>
    </oc>
    <nc r="C66">
      <v>0</v>
    </nc>
  </rcc>
  <rcc rId="8816" sId="19" numFmtId="34">
    <oc r="C71">
      <v>1231.0358699999999</v>
    </oc>
    <nc r="C71">
      <v>1281.0358699999999</v>
    </nc>
  </rcc>
  <rcc rId="8817" sId="19" numFmtId="34">
    <oc r="D72">
      <v>2292.9511200000002</v>
    </oc>
    <nc r="D72">
      <v>2348.4081200000001</v>
    </nc>
  </rcc>
  <rcc rId="8818" sId="19" numFmtId="34">
    <oc r="C77">
      <v>448.59332999999998</v>
    </oc>
    <nc r="C77">
      <v>448.79333000000003</v>
    </nc>
  </rcc>
  <rcc rId="8819" sId="19" numFmtId="34">
    <oc r="D77">
      <v>362.4393</v>
    </oc>
    <nc r="D77">
      <v>381.47750000000002</v>
    </nc>
  </rcc>
  <rcc rId="8820" sId="19" numFmtId="34">
    <oc r="C79">
      <v>6384.80062</v>
    </oc>
    <nc r="C79">
      <v>6384.0006199999998</v>
    </nc>
  </rcc>
  <rcc rId="8821" sId="19" numFmtId="34">
    <oc r="D79">
      <v>5716.1048000000001</v>
    </oc>
    <nc r="D79">
      <v>5801.1048000000001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8556" sId="4">
    <oc r="A1" t="inlineStr">
      <is>
        <t xml:space="preserve">                     Анализ исполнения бюджета Александровского сельского поселения на 01.11.2019 г.</t>
      </is>
    </oc>
    <nc r="A1" t="inlineStr">
      <is>
        <t xml:space="preserve">                     Анализ исполнения бюджета Александровского сельского поселения на 01.12.2019 г.</t>
      </is>
    </nc>
  </rcc>
  <rcc rId="8557" sId="4">
    <oc r="D3" t="inlineStr">
      <is>
        <t>исполнен на 01.11.2019 г.</t>
      </is>
    </oc>
    <nc r="D3" t="inlineStr">
      <is>
        <t>исполнен на 01.12.2019 г.</t>
      </is>
    </nc>
  </rcc>
  <rcc rId="8558" sId="4">
    <oc r="D50" t="inlineStr">
      <is>
        <t>исполнено на 01.11.2019 г.</t>
      </is>
    </oc>
    <nc r="D50" t="inlineStr">
      <is>
        <t>исполнено на 01.12.2019 г.</t>
      </is>
    </nc>
  </rcc>
  <rcc rId="8559" sId="4" numFmtId="4">
    <oc r="C6">
      <v>68.849999999999994</v>
    </oc>
    <nc r="C6">
      <v>83.85</v>
    </nc>
  </rcc>
  <rcc rId="8560" sId="4" numFmtId="4">
    <oc r="D6">
      <v>63.651440000000001</v>
    </oc>
    <nc r="D6">
      <v>64.770740000000004</v>
    </nc>
  </rcc>
  <rcc rId="8561" sId="4" numFmtId="4">
    <oc r="D8">
      <v>101.42928999999999</v>
    </oc>
    <nc r="D8">
      <v>112.55817999999999</v>
    </nc>
  </rcc>
  <rcc rId="8562" sId="4" numFmtId="4">
    <oc r="D9">
      <v>0.75834000000000001</v>
    </oc>
    <nc r="D9">
      <v>0.82882999999999996</v>
    </nc>
  </rcc>
  <rcc rId="8563" sId="4" numFmtId="4">
    <oc r="D10">
      <v>137.90562</v>
    </oc>
    <nc r="D10">
      <v>151.20884000000001</v>
    </nc>
  </rcc>
  <rcc rId="8564" sId="4" numFmtId="4">
    <oc r="D11">
      <v>-16.283059999999999</v>
    </oc>
    <nc r="D11">
      <v>-16.951699999999999</v>
    </nc>
  </rcc>
  <rcc rId="8565" sId="4" numFmtId="4">
    <oc r="C13">
      <v>2</v>
    </oc>
    <nc r="C13">
      <v>42</v>
    </nc>
  </rcc>
  <rcc rId="8566" sId="4" numFmtId="4">
    <oc r="D15">
      <v>29.304269999999999</v>
    </oc>
    <nc r="D15">
      <v>45.584150000000001</v>
    </nc>
  </rcc>
  <rcc rId="8567" sId="4" numFmtId="4">
    <oc r="D16">
      <v>148.39063999999999</v>
    </oc>
    <nc r="D16">
      <v>184.50138999999999</v>
    </nc>
  </rcc>
  <rcc rId="8568" sId="4" numFmtId="4">
    <oc r="C30">
      <v>0</v>
    </oc>
    <nc r="C30">
      <v>6</v>
    </nc>
  </rcc>
  <rcc rId="8569" sId="4" numFmtId="4">
    <oc r="D39">
      <v>1040.749</v>
    </oc>
    <nc r="D39">
      <v>1120.7059999999999</v>
    </nc>
  </rcc>
  <rcc rId="8570" sId="4" numFmtId="4">
    <oc r="D42">
      <v>74.926000000000002</v>
    </oc>
    <nc r="D42">
      <v>82.450999999999993</v>
    </nc>
  </rcc>
  <rcc rId="8571" sId="4" numFmtId="34">
    <oc r="C44">
      <v>30.504000000000001</v>
    </oc>
    <nc r="C44">
      <v>58.457999999999998</v>
    </nc>
  </rcc>
  <rfmt sheetId="4" sqref="D47">
    <dxf>
      <numFmt numFmtId="2" formatCode="0.00"/>
    </dxf>
  </rfmt>
  <rfmt sheetId="4" sqref="D47">
    <dxf>
      <numFmt numFmtId="183" formatCode="0.000"/>
    </dxf>
  </rfmt>
  <rfmt sheetId="4" sqref="D47">
    <dxf>
      <numFmt numFmtId="174" formatCode="0.0000"/>
    </dxf>
  </rfmt>
  <rcc rId="8572" sId="4" numFmtId="4">
    <oc r="C54">
      <v>1076.0999999999999</v>
    </oc>
    <nc r="C54">
      <v>1104.0540000000001</v>
    </nc>
  </rcc>
  <rcc rId="8573" sId="4" numFmtId="4">
    <oc r="D54">
      <v>813.54948000000002</v>
    </oc>
    <nc r="D54">
      <v>898.13157999999999</v>
    </nc>
  </rcc>
  <rcc rId="8574" sId="4" numFmtId="4">
    <oc r="D61">
      <v>68.816209999999998</v>
    </oc>
    <nc r="D61">
      <v>76.161209999999997</v>
    </nc>
  </rcc>
  <rcc rId="8575" sId="4" numFmtId="4">
    <oc r="C66">
      <v>9.6</v>
    </oc>
    <nc r="C66">
      <v>11.332000000000001</v>
    </nc>
  </rcc>
  <rcc rId="8576" sId="4" numFmtId="4">
    <oc r="D66">
      <v>4.7399800000000001</v>
    </oc>
    <nc r="D66">
      <v>4.7719800000000001</v>
    </nc>
  </rcc>
  <rcc rId="8577" sId="4" numFmtId="4">
    <oc r="C72">
      <v>67.712000000000003</v>
    </oc>
    <nc r="C72">
      <v>107.712</v>
    </nc>
  </rcc>
  <rcc rId="8578" sId="4" numFmtId="4">
    <oc r="C76">
      <v>563.81949999999995</v>
    </oc>
    <nc r="C76">
      <v>588.04650000000004</v>
    </nc>
  </rcc>
  <rcc rId="8579" sId="4" numFmtId="4">
    <oc r="D76">
      <v>487.84706</v>
    </oc>
    <nc r="D76">
      <v>491.60194999999999</v>
    </nc>
  </rcc>
  <rfmt sheetId="4" sqref="D94">
    <dxf>
      <numFmt numFmtId="2" formatCode="0.00"/>
    </dxf>
  </rfmt>
  <rfmt sheetId="4" sqref="D94">
    <dxf>
      <numFmt numFmtId="183" formatCode="0.000"/>
    </dxf>
  </rfmt>
  <rfmt sheetId="4" sqref="D94">
    <dxf>
      <numFmt numFmtId="174" formatCode="0.0000"/>
    </dxf>
  </rfmt>
  <rfmt sheetId="4" sqref="D94">
    <dxf>
      <numFmt numFmtId="168" formatCode="0.00000"/>
    </dxf>
  </rfmt>
  <rfmt sheetId="4" sqref="D94">
    <dxf>
      <numFmt numFmtId="173" formatCode="0.000000"/>
    </dxf>
  </rfmt>
  <rfmt sheetId="4" sqref="D94">
    <dxf>
      <numFmt numFmtId="168" formatCode="0.00000"/>
    </dxf>
  </rfmt>
  <rfmt sheetId="4" sqref="C94">
    <dxf>
      <numFmt numFmtId="168" formatCode="0.00000"/>
    </dxf>
  </rfmt>
  <rfmt sheetId="4" sqref="C62">
    <dxf>
      <numFmt numFmtId="2" formatCode="0.00"/>
    </dxf>
  </rfmt>
  <rfmt sheetId="4" sqref="C62">
    <dxf>
      <numFmt numFmtId="183" formatCode="0.000"/>
    </dxf>
  </rfmt>
  <rfmt sheetId="4" sqref="C62">
    <dxf>
      <numFmt numFmtId="174" formatCode="0.0000"/>
    </dxf>
  </rfmt>
  <rfmt sheetId="4" sqref="C62">
    <dxf>
      <numFmt numFmtId="168" formatCode="0.00000"/>
    </dxf>
  </rfmt>
  <rfmt sheetId="4" sqref="D62">
    <dxf>
      <numFmt numFmtId="2" formatCode="0.00"/>
    </dxf>
  </rfmt>
  <rfmt sheetId="4" sqref="D62">
    <dxf>
      <numFmt numFmtId="183" formatCode="0.000"/>
    </dxf>
  </rfmt>
  <rfmt sheetId="4" sqref="D62">
    <dxf>
      <numFmt numFmtId="174" formatCode="0.0000"/>
    </dxf>
  </rfmt>
  <rfmt sheetId="4" sqref="D62">
    <dxf>
      <numFmt numFmtId="168" formatCode="0.00000"/>
    </dxf>
  </rfmt>
  <rfmt sheetId="4" sqref="C68">
    <dxf>
      <numFmt numFmtId="2" formatCode="0.00"/>
    </dxf>
  </rfmt>
  <rfmt sheetId="4" sqref="C68">
    <dxf>
      <numFmt numFmtId="183" formatCode="0.000"/>
    </dxf>
  </rfmt>
  <rfmt sheetId="4" sqref="C68">
    <dxf>
      <numFmt numFmtId="174" formatCode="0.0000"/>
    </dxf>
  </rfmt>
  <rfmt sheetId="4" sqref="C68">
    <dxf>
      <numFmt numFmtId="168" formatCode="0.00000"/>
    </dxf>
  </rfmt>
  <rfmt sheetId="4" sqref="C68">
    <dxf>
      <numFmt numFmtId="173" formatCode="0.000000"/>
    </dxf>
  </rfmt>
  <rfmt sheetId="4" sqref="C68">
    <dxf>
      <numFmt numFmtId="168" formatCode="0.00000"/>
    </dxf>
  </rfmt>
  <rfmt sheetId="4" sqref="C68">
    <dxf>
      <numFmt numFmtId="174" formatCode="0.0000"/>
    </dxf>
  </rfmt>
  <rfmt sheetId="4" sqref="C68">
    <dxf>
      <numFmt numFmtId="183" formatCode="0.000"/>
    </dxf>
  </rfmt>
  <rfmt sheetId="4" sqref="C68">
    <dxf>
      <numFmt numFmtId="2" formatCode="0.00"/>
    </dxf>
  </rfmt>
  <rfmt sheetId="4" sqref="C68">
    <dxf>
      <numFmt numFmtId="166" formatCode="0.0"/>
    </dxf>
  </rfmt>
  <rcc rId="8580" sId="4" numFmtId="4">
    <oc r="C70">
      <v>24.959890000000001</v>
    </oc>
    <nc r="C70">
      <v>20.000889999999998</v>
    </nc>
  </rcc>
  <rcc rId="8581" sId="4" numFmtId="4">
    <oc r="D85">
      <v>6.9</v>
    </oc>
    <nc r="D85">
      <v>13.95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9702" sId="2">
    <oc r="B5" t="inlineStr">
      <is>
        <t>об исполнении бюджетов поселений  Моргаушского района  на 1 ноября 2019 г.</t>
      </is>
    </oc>
    <nc r="B5" t="inlineStr">
      <is>
        <t>об исполнении бюджетов поселений  Моргаушского района  на 1 декабря 2019 г.</t>
      </is>
    </nc>
  </rcc>
  <rcc rId="9703" sId="2" numFmtId="4">
    <oc r="C32">
      <v>141304.12938999999</v>
    </oc>
    <nc r="C32">
      <v>180275.30261000001</v>
    </nc>
  </rcc>
  <rcc rId="9704" sId="2" numFmtId="4">
    <oc r="D32">
      <v>109597.07784</v>
    </oc>
    <nc r="D32">
      <v>124863.93419</v>
    </nc>
  </rcc>
  <rcc rId="9705" sId="2" numFmtId="4">
    <oc r="F32">
      <v>39662.968569999997</v>
    </oc>
    <nc r="F32">
      <v>39835.968569999997</v>
    </nc>
  </rcc>
  <rcc rId="9706" sId="2" numFmtId="4">
    <oc r="G32">
      <v>30831.13076</v>
    </oc>
    <nc r="G32">
      <v>36369.786670000001</v>
    </nc>
  </rcc>
  <rcc rId="9707" sId="2" numFmtId="4">
    <oc r="I32">
      <v>5296.7</v>
    </oc>
    <nc r="I32">
      <v>5311.7</v>
    </nc>
  </rcc>
  <rcc rId="9708" sId="2" numFmtId="4">
    <oc r="J32">
      <v>4258.2103699999998</v>
    </oc>
    <nc r="J32">
      <v>4739.6949800000002</v>
    </nc>
  </rcc>
  <rcc rId="9709" sId="2" numFmtId="4">
    <oc r="M32">
      <v>3735.15805</v>
    </oc>
    <nc r="M32">
      <v>4144.9820900000004</v>
    </nc>
  </rcc>
  <rcc rId="9710" sId="2" numFmtId="4">
    <oc r="P32">
      <v>27.92632</v>
    </oc>
    <nc r="P32">
      <v>30.52244</v>
    </nc>
  </rcc>
  <rcc rId="9711" sId="2" numFmtId="4">
    <oc r="S32">
      <v>5078.4081500000002</v>
    </oc>
    <nc r="S32">
      <v>5568.3021099999996</v>
    </nc>
  </rcc>
  <rcc rId="9712" sId="2" numFmtId="4">
    <oc r="V32">
      <v>-599.62777000000006</v>
    </oc>
    <nc r="V32">
      <v>-624.25054</v>
    </nc>
  </rcc>
  <rcc rId="9713" sId="2" numFmtId="4">
    <oc r="X32">
      <v>474.2</v>
    </oc>
    <nc r="X32">
      <v>514.20000000000005</v>
    </nc>
  </rcc>
  <rcc rId="9714" sId="2" numFmtId="4">
    <oc r="Y32">
      <v>582.31446000000005</v>
    </oc>
    <nc r="Y32">
      <v>583.22735999999998</v>
    </nc>
  </rcc>
  <rcc rId="9715" sId="2" numFmtId="4">
    <oc r="AA32">
      <v>4631</v>
    </oc>
    <nc r="AA32">
      <v>4671</v>
    </nc>
  </rcc>
  <rcc rId="9716" sId="2" numFmtId="4">
    <oc r="AB32">
      <v>2849.5903699999999</v>
    </oc>
    <nc r="AB32">
      <v>3854.9261700000002</v>
    </nc>
  </rcc>
  <rcc rId="9717" sId="2" numFmtId="4">
    <oc r="AE32">
      <v>11792.346600000001</v>
    </oc>
    <nc r="AE32">
      <v>14695.27304</v>
    </nc>
  </rcc>
  <rcc rId="9718" sId="2" numFmtId="4">
    <oc r="AH32">
      <v>103.16500000000001</v>
    </oc>
    <nc r="AH32">
      <v>116.265</v>
    </nc>
  </rcc>
  <rcc rId="9719" sId="2" numFmtId="4">
    <oc r="AQ32">
      <v>1484.8720699999999</v>
    </oc>
    <nc r="AQ32">
      <v>1695.73946</v>
    </nc>
  </rcc>
  <rcc rId="9720" sId="2" numFmtId="4">
    <oc r="AT32">
      <v>330.48140000000001</v>
    </oc>
    <nc r="AT32">
      <v>350.82873000000001</v>
    </nc>
  </rcc>
  <rcc rId="9721" sId="2" numFmtId="4">
    <oc r="AY32">
      <v>765</v>
    </oc>
    <nc r="AY32">
      <v>843</v>
    </nc>
  </rcc>
  <rcc rId="9722" sId="2" numFmtId="4">
    <oc r="AZ32">
      <v>907.76385000000005</v>
    </oc>
    <nc r="AZ32">
      <v>916.37234999999998</v>
    </nc>
  </rcc>
  <rcc rId="9723" sId="2" numFmtId="4">
    <oc r="BO32">
      <v>242.43199999999999</v>
    </oc>
    <nc r="BO32">
      <v>291.99648000000002</v>
    </nc>
  </rcc>
  <rcc rId="9724" sId="2" numFmtId="4">
    <oc r="BR32">
      <v>27.532889999999998</v>
    </oc>
    <nc r="BR32">
      <v>-4.6500000000000004</v>
    </nc>
  </rcc>
  <rcc rId="9725" sId="2" numFmtId="4">
    <oc r="BZ32">
      <v>101641.16082</v>
    </oc>
    <nc r="BZ32">
      <v>140439.33403999999</v>
    </nc>
  </rcc>
  <rcc rId="9726" sId="2" numFmtId="4">
    <oc r="CA32">
      <v>78765.947079999998</v>
    </oc>
    <nc r="CA32">
      <v>88494.147519999999</v>
    </nc>
  </rcc>
  <rcc rId="9727" sId="2" numFmtId="4">
    <oc r="CD32">
      <v>24672.31</v>
    </oc>
    <nc r="CD32">
      <v>26483.152999999998</v>
    </nc>
  </rcc>
  <rcc rId="9728" sId="2" numFmtId="4">
    <oc r="CF32">
      <v>7646.808</v>
    </oc>
    <nc r="CF32">
      <v>7816.308</v>
    </nc>
  </rcc>
  <rcc rId="9729" sId="2" numFmtId="4">
    <oc r="CG32">
      <v>5827.6927999999998</v>
    </oc>
    <nc r="CG32">
      <v>6027.6927999999998</v>
    </nc>
  </rcc>
  <rcc rId="9730" sId="2" numFmtId="4">
    <oc r="CI32">
      <v>45810.773789999999</v>
    </oc>
    <nc r="CI32">
      <v>83138.873789999998</v>
    </nc>
  </rcc>
  <rcc rId="9731" sId="2" numFmtId="4">
    <oc r="CJ32">
      <v>32183.52922</v>
    </oc>
    <nc r="CJ32">
      <v>38739.836660000001</v>
    </nc>
  </rcc>
  <rcc rId="9732" sId="2" numFmtId="4">
    <oc r="CM32">
      <v>1816.8219999999999</v>
    </oc>
    <nc r="CM32">
      <v>1997.422</v>
    </nc>
  </rcc>
  <rcc rId="9733" sId="2" numFmtId="4">
    <oc r="CO32">
      <v>14138.460950000001</v>
    </oc>
    <nc r="CO32">
      <v>15439.034170000001</v>
    </nc>
  </rcc>
  <rcc rId="9734" sId="2" numFmtId="4">
    <oc r="CP32">
      <v>11094.79927</v>
    </oc>
    <nc r="CP32">
      <v>12003.79927</v>
    </nc>
  </rcc>
  <rcc rId="9735" sId="2" numFmtId="4">
    <oc r="CS32">
      <v>3170.7937900000002</v>
    </oc>
    <nc r="CS32">
      <v>3242.24379</v>
    </nc>
  </rcc>
  <rcc rId="9736" sId="2" numFmtId="4">
    <oc r="BR25">
      <v>16.414999999999999</v>
    </oc>
    <nc r="BR25">
      <v>0</v>
    </nc>
  </rcc>
  <rcc rId="9737" sId="2" numFmtId="4">
    <oc r="CA17">
      <v>4213.1992899999996</v>
    </oc>
    <nc r="CA17">
      <v>4418.8522899999998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211.xml><?xml version="1.0" encoding="utf-8"?>
<revisions xmlns="http://schemas.openxmlformats.org/spreadsheetml/2006/main" xmlns:r="http://schemas.openxmlformats.org/officeDocument/2006/relationships">
  <rcc rId="9009" sId="8">
    <oc r="D54" t="inlineStr">
      <is>
        <t>исполнено на 01.11.2019 г.</t>
      </is>
    </oc>
    <nc r="D54" t="inlineStr">
      <is>
        <t>исполнено на 01.12.2019 г.</t>
      </is>
    </nc>
  </rcc>
  <rcc rId="9010" sId="8">
    <oc r="D3" t="inlineStr">
      <is>
        <t>исполнен на 01.11.2019 г.</t>
      </is>
    </oc>
    <nc r="D3" t="inlineStr">
      <is>
        <t>исполнен на 01.12.2019 г.</t>
      </is>
    </nc>
  </rcc>
  <rcc rId="9011" sId="8">
    <oc r="A1" t="inlineStr">
      <is>
        <t xml:space="preserve">                     Анализ исполнения бюджета Моргаушского сельского поселения на 01.11.2019 г.</t>
      </is>
    </oc>
    <nc r="A1" t="inlineStr">
      <is>
        <t xml:space="preserve">                     Анализ исполнения бюджета Моргаушского сельского поселения на 01.12.2019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8928" sId="18">
    <oc r="A1" t="inlineStr">
      <is>
        <t xml:space="preserve">                     Анализ исполнения бюджета Ярабайкасинского сельского поселения на 01.11.2019 г.</t>
      </is>
    </oc>
    <nc r="A1" t="inlineStr">
      <is>
        <t xml:space="preserve">                     Анализ исполнения бюджета Ярабайкасинского сельского поселения на 01.12.2019 г.</t>
      </is>
    </nc>
  </rcc>
  <rcc rId="8929" sId="18">
    <oc r="D3" t="inlineStr">
      <is>
        <t>исполнен на 01.11.2019 г.</t>
      </is>
    </oc>
    <nc r="D3" t="inlineStr">
      <is>
        <t>исполнен на 01.12.2019 г.</t>
      </is>
    </nc>
  </rcc>
  <rcc rId="8930" sId="18">
    <oc r="D55" t="inlineStr">
      <is>
        <t>исполнено на 01.11.2019 г.</t>
      </is>
    </oc>
    <nc r="D55" t="inlineStr">
      <is>
        <t>исполнено на 01.12.2019 г.</t>
      </is>
    </nc>
  </rcc>
  <rcc rId="8931" sId="18" numFmtId="4">
    <oc r="D8">
      <v>336.78464000000002</v>
    </oc>
    <nc r="D8">
      <v>373.73687999999999</v>
    </nc>
  </rcc>
  <rcc rId="8932" sId="18" numFmtId="4">
    <oc r="D9">
      <v>2.5180099999999999</v>
    </oc>
    <nc r="D9">
      <v>2.7520899999999999</v>
    </nc>
  </rcc>
  <rcc rId="8933" sId="18" numFmtId="4">
    <oc r="D10">
      <v>457.90025000000003</v>
    </oc>
    <nc r="D10">
      <v>502.07206000000002</v>
    </nc>
  </rcc>
  <rcc rId="8934" sId="18" numFmtId="4">
    <oc r="D11">
      <v>-54.066099999999999</v>
    </oc>
    <nc r="D11">
      <v>-56.286230000000003</v>
    </nc>
  </rcc>
  <rcc rId="8935" sId="18" numFmtId="4">
    <oc r="D13">
      <v>18.725100000000001</v>
    </oc>
    <nc r="D13">
      <v>18.882000000000001</v>
    </nc>
  </rcc>
  <rcc rId="8936" sId="18" numFmtId="4">
    <oc r="D15">
      <v>110.58237</v>
    </oc>
    <nc r="D15">
      <v>166.17935</v>
    </nc>
  </rcc>
  <rcc rId="8937" sId="18" numFmtId="4">
    <oc r="D16">
      <v>790.52669000000003</v>
    </oc>
    <nc r="D16">
      <v>1033.2504200000001</v>
    </nc>
  </rcc>
  <rcc rId="8938" sId="18" numFmtId="4">
    <oc r="D18">
      <v>18.274999999999999</v>
    </oc>
    <nc r="D18">
      <v>19.875</v>
    </nc>
  </rcc>
  <rcc rId="8939" sId="18" numFmtId="4">
    <oc r="D27">
      <v>28.262509999999999</v>
    </oc>
    <nc r="D27">
      <v>44.082520000000002</v>
    </nc>
  </rcc>
  <rcc rId="8940" sId="18" numFmtId="4">
    <oc r="D38">
      <v>15.296010000000001</v>
    </oc>
    <nc r="D38">
      <v>0</v>
    </nc>
  </rcc>
  <rcc rId="8941" sId="18" numFmtId="4">
    <oc r="D42">
      <v>1606.058</v>
    </oc>
    <nc r="D42">
      <v>1729.441</v>
    </nc>
  </rcc>
  <rcc rId="8942" sId="18" numFmtId="4">
    <oc r="D45">
      <v>150.44640000000001</v>
    </oc>
    <nc r="D45">
      <v>165.49639999999999</v>
    </nc>
  </rcc>
  <rcc rId="8943" sId="18" numFmtId="4">
    <oc r="C47">
      <v>2893.76</v>
    </oc>
    <nc r="C47">
      <v>3050.0250000000001</v>
    </nc>
  </rcc>
  <rcc rId="8944" sId="18" numFmtId="4">
    <oc r="D47">
      <v>583.03216999999995</v>
    </oc>
    <nc r="D47">
      <v>1333.03217</v>
    </nc>
  </rcc>
  <rfmt sheetId="18" sqref="D7">
    <dxf>
      <numFmt numFmtId="2" formatCode="0.00"/>
    </dxf>
  </rfmt>
  <rfmt sheetId="18" sqref="D7">
    <dxf>
      <numFmt numFmtId="183" formatCode="0.000"/>
    </dxf>
  </rfmt>
  <rfmt sheetId="18" sqref="D7">
    <dxf>
      <numFmt numFmtId="174" formatCode="0.0000"/>
    </dxf>
  </rfmt>
  <rfmt sheetId="18" sqref="D7">
    <dxf>
      <numFmt numFmtId="168" formatCode="0.00000"/>
    </dxf>
  </rfmt>
  <rfmt sheetId="18" sqref="D7">
    <dxf>
      <numFmt numFmtId="174" formatCode="0.0000"/>
    </dxf>
  </rfmt>
  <rfmt sheetId="18" sqref="D7">
    <dxf>
      <numFmt numFmtId="183" formatCode="0.000"/>
    </dxf>
  </rfmt>
  <rfmt sheetId="18" sqref="D7">
    <dxf>
      <numFmt numFmtId="2" formatCode="0.00"/>
    </dxf>
  </rfmt>
  <rfmt sheetId="18" sqref="D7">
    <dxf>
      <numFmt numFmtId="166" formatCode="0.0"/>
    </dxf>
  </rfmt>
  <rcc rId="8945" sId="18" numFmtId="4">
    <oc r="D6">
      <v>86.120109999999997</v>
    </oc>
    <nc r="D6">
      <v>93.87921</v>
    </nc>
  </rcc>
  <rcc rId="8946" sId="18" numFmtId="34">
    <oc r="C59">
      <v>1307.0999999999999</v>
    </oc>
    <nc r="C59">
      <v>1504.0650000000001</v>
    </nc>
  </rcc>
  <rcc rId="8947" sId="18" numFmtId="34">
    <oc r="D59">
      <v>1187.12851</v>
    </oc>
    <nc r="D59">
      <v>1272.2499</v>
    </nc>
  </rcc>
  <rcc rId="8948" sId="18" numFmtId="34">
    <oc r="D66">
      <v>139.10964999999999</v>
    </oc>
    <nc r="D66">
      <v>153.79621</v>
    </nc>
  </rcc>
  <rcc rId="8949" sId="18" numFmtId="34">
    <oc r="D76">
      <v>1178.2553</v>
    </oc>
    <nc r="D76">
      <v>1213.7019</v>
    </nc>
  </rcc>
  <rcc rId="8950" sId="18" numFmtId="34">
    <oc r="D77">
      <v>39</v>
    </oc>
    <nc r="D77">
      <v>59.7209</v>
    </nc>
  </rcc>
  <rcc rId="8951" sId="18" numFmtId="34">
    <oc r="D81">
      <v>612.49309000000005</v>
    </oc>
    <nc r="D81">
      <v>684.11188000000004</v>
    </nc>
  </rcc>
  <rcc rId="8952" sId="18" numFmtId="34">
    <oc r="C83">
      <v>6565.6698399999996</v>
    </oc>
    <nc r="C83">
      <v>6480.9698399999997</v>
    </nc>
  </rcc>
  <rcc rId="8953" sId="18" numFmtId="34">
    <oc r="D83">
      <v>2096.2447299999999</v>
    </oc>
    <nc r="D83">
      <v>2827.18156</v>
    </nc>
  </rcc>
  <rcc rId="8954" sId="18" numFmtId="34">
    <oc r="C75">
      <v>220</v>
    </oc>
    <nc r="C75">
      <v>264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8849" sId="7" numFmtId="34">
    <oc r="D15">
      <v>182.34214</v>
    </oc>
    <nc r="D15">
      <v>277.7629</v>
    </nc>
  </rcc>
  <rcc rId="8850" sId="7" numFmtId="34">
    <oc r="D16">
      <v>1820.4389900000001</v>
    </oc>
    <nc r="D16">
      <v>2376.1019900000001</v>
    </nc>
  </rcc>
  <rcc rId="8851" sId="7" numFmtId="34">
    <oc r="D18">
      <v>16.3</v>
    </oc>
    <nc r="D18">
      <v>18</v>
    </nc>
  </rcc>
  <rcc rId="8852" sId="7" numFmtId="4">
    <oc r="D30">
      <v>51.077629999999999</v>
    </oc>
    <nc r="D30">
      <v>52.254750000000001</v>
    </nc>
  </rcc>
  <rcc rId="8853" sId="7" numFmtId="34">
    <oc r="D43">
      <v>2599.1074899999999</v>
    </oc>
    <nc r="D43">
      <v>2789.7104899999999</v>
    </nc>
  </rcc>
  <rcc rId="8854" sId="7" numFmtId="34">
    <oc r="D45">
      <v>151.0438</v>
    </oc>
    <nc r="D45">
      <v>166.09379999999999</v>
    </nc>
  </rcc>
  <rcc rId="8855" sId="7" numFmtId="34">
    <oc r="C46">
      <v>338.8</v>
    </oc>
    <nc r="C46">
      <v>414.22500000000002</v>
    </nc>
  </rcc>
  <rcc rId="8856" sId="7" numFmtId="34">
    <oc r="C57">
      <v>1582.0709999999999</v>
    </oc>
    <nc r="C57">
      <v>1657.4960000000001</v>
    </nc>
  </rcc>
  <rcc rId="8857" sId="7" numFmtId="34">
    <oc r="D57">
      <v>1213.7561800000001</v>
    </oc>
    <nc r="D57">
      <v>1336.5039999999999</v>
    </nc>
  </rcc>
  <rcc rId="8858" sId="7" numFmtId="34">
    <oc r="C62">
      <v>75.05</v>
    </oc>
    <nc r="C62">
      <v>55.05</v>
    </nc>
  </rcc>
  <rcc rId="8859" sId="7" numFmtId="34">
    <oc r="D64">
      <v>137.52681999999999</v>
    </oc>
    <nc r="D64">
      <v>152.49338</v>
    </nc>
  </rcc>
  <rcc rId="8860" sId="7" numFmtId="34">
    <oc r="D73">
      <v>421.02026000000001</v>
    </oc>
    <nc r="D73">
      <v>485.72026</v>
    </nc>
  </rcc>
  <rcc rId="8861" sId="7" numFmtId="34">
    <oc r="D74">
      <v>3556.3790800000002</v>
    </oc>
    <nc r="D74">
      <v>3746.9820800000002</v>
    </nc>
  </rcc>
  <rcc rId="8862" sId="7" numFmtId="34">
    <oc r="C75">
      <v>198.2</v>
    </oc>
    <nc r="C75">
      <v>213.2</v>
    </nc>
  </rcc>
  <rcc rId="8863" sId="7" numFmtId="34">
    <oc r="D75">
      <v>157.5</v>
    </oc>
    <nc r="D75">
      <v>162.5</v>
    </nc>
  </rcc>
  <rcc rId="8864" sId="7" numFmtId="34">
    <oc r="C79">
      <v>1201.95389</v>
    </oc>
    <nc r="C79">
      <v>1207.95389</v>
    </nc>
  </rcc>
  <rcc rId="8865" sId="7" numFmtId="34">
    <oc r="D79">
      <v>948.20542999999998</v>
    </oc>
    <nc r="D79">
      <v>1056.0819200000001</v>
    </nc>
  </rcc>
  <rcc rId="8866" sId="7" numFmtId="34">
    <oc r="D81">
      <v>1027</v>
    </oc>
    <nc r="D81">
      <v>1227</v>
    </nc>
  </rcc>
  <rcc rId="8867" sId="7" numFmtId="34">
    <oc r="C88">
      <v>1</v>
    </oc>
    <nc r="C88"/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c rId="9962" sId="3">
    <oc r="D3" t="inlineStr">
      <is>
        <t>исполнено на 01.11.2019 г.</t>
      </is>
    </oc>
    <nc r="D3" t="inlineStr">
      <is>
        <t>исполнено на 01.12.2019 г.</t>
      </is>
    </nc>
  </rcc>
  <rcc rId="9963" sId="3">
    <oc r="A2" t="inlineStr">
      <is>
        <t xml:space="preserve">                                                        Моргаушского района на 01.11.2019 г. </t>
      </is>
    </oc>
    <nc r="A2" t="inlineStr">
      <is>
        <t xml:space="preserve">                                                        Моргаушского района на 01.12.2019 г. </t>
      </is>
    </nc>
  </rcc>
  <rcc rId="9964" sId="3">
    <oc r="D86" t="inlineStr">
      <is>
        <t xml:space="preserve">исполнено на 01.11.2019 г. </t>
      </is>
    </oc>
    <nc r="D86" t="inlineStr">
      <is>
        <t xml:space="preserve">исполнено на 01.12.2019 г. </t>
      </is>
    </nc>
  </rcc>
  <rcc rId="9965" sId="3" numFmtId="4">
    <oc r="C6">
      <v>118707.3</v>
    </oc>
    <nc r="C6">
      <v>115207.3</v>
    </nc>
  </rcc>
  <rcc rId="9966" sId="3" numFmtId="4">
    <oc r="D6">
      <v>87924.11004</v>
    </oc>
    <nc r="D6">
      <v>97855.622820000004</v>
    </nc>
  </rcc>
  <rcc rId="9967" sId="3" numFmtId="4">
    <oc r="D8">
      <v>2006.92127</v>
    </oc>
    <nc r="D8">
      <v>2227.12201</v>
    </nc>
  </rcc>
  <rcc rId="9968" sId="3" numFmtId="4">
    <oc r="D9">
      <v>15.00507</v>
    </oc>
    <nc r="D9">
      <v>16.400020000000001</v>
    </nc>
  </rcc>
  <rcc rId="9969" sId="3" numFmtId="4">
    <oc r="D10">
      <v>2728.65699</v>
    </oc>
    <nc r="D10">
      <v>2991.8796900000002</v>
    </nc>
  </rcc>
  <rcc rId="9970" sId="3" numFmtId="4">
    <oc r="D11">
      <v>-322.18340000000001</v>
    </oc>
    <nc r="D11">
      <v>-335.41334000000001</v>
    </nc>
  </rcc>
  <rcc rId="9971" sId="3" numFmtId="4">
    <oc r="D13">
      <v>10441.43075</v>
    </oc>
    <nc r="D13">
      <v>10489.395329999999</v>
    </nc>
  </rcc>
  <rcc rId="9972" sId="3" numFmtId="4">
    <oc r="D14">
      <v>1358.73377</v>
    </oc>
    <nc r="D14">
      <v>1360.8638699999999</v>
    </nc>
  </rcc>
  <rcc rId="9973" sId="3" numFmtId="4">
    <oc r="C15">
      <v>300</v>
    </oc>
    <nc r="C15">
      <v>200</v>
    </nc>
  </rcc>
  <rcc rId="9974" sId="3" numFmtId="4">
    <oc r="C19">
      <v>2050</v>
    </oc>
    <nc r="C19">
      <v>2150</v>
    </nc>
  </rcc>
  <rcc rId="9975" sId="3" numFmtId="4">
    <oc r="D19">
      <v>1453.9574600000001</v>
    </oc>
    <nc r="D19">
      <v>2030.06996</v>
    </nc>
  </rcc>
  <rcc rId="9976" sId="3" numFmtId="4">
    <oc r="C22">
      <v>1000</v>
    </oc>
    <nc r="C22">
      <v>1400</v>
    </nc>
  </rcc>
  <rcc rId="9977" sId="3" numFmtId="4">
    <oc r="D22">
      <v>1418.32329</v>
    </oc>
    <nc r="D22">
      <v>1533.67929</v>
    </nc>
  </rcc>
  <rfmt sheetId="3" sqref="D22">
    <dxf>
      <numFmt numFmtId="174" formatCode="0.0000"/>
    </dxf>
  </rfmt>
  <rfmt sheetId="3" sqref="D22">
    <dxf>
      <numFmt numFmtId="183" formatCode="0.000"/>
    </dxf>
  </rfmt>
  <rfmt sheetId="3" sqref="D22">
    <dxf>
      <numFmt numFmtId="2" formatCode="0.00"/>
    </dxf>
  </rfmt>
  <rfmt sheetId="3" sqref="D22">
    <dxf>
      <numFmt numFmtId="166" formatCode="0.0"/>
    </dxf>
  </rfmt>
  <rcc rId="9978" sId="3" numFmtId="4">
    <oc r="D24">
      <v>1580.7614699999999</v>
    </oc>
    <nc r="D24">
      <v>1791.74657</v>
    </nc>
  </rcc>
  <rcc rId="9979" sId="3" numFmtId="4">
    <oc r="D26">
      <v>611.505</v>
    </oc>
    <nc r="D26">
      <v>695.13025000000005</v>
    </nc>
  </rcc>
  <rcc rId="9980" sId="3" numFmtId="4">
    <oc r="C36">
      <v>10636.6</v>
    </oc>
    <nc r="C36">
      <v>8636.6</v>
    </nc>
  </rcc>
  <rcc rId="9981" sId="3" numFmtId="4">
    <oc r="D36">
      <v>7713.8233</v>
    </oc>
    <nc r="D36">
      <v>8672.4217700000008</v>
    </nc>
  </rcc>
  <rcc rId="9982" sId="3" numFmtId="4">
    <oc r="C37">
      <v>350</v>
    </oc>
    <nc r="C37">
      <v>230</v>
    </nc>
  </rcc>
  <rcc rId="9983" sId="3" numFmtId="4">
    <oc r="D37">
      <v>232.25932</v>
    </oc>
    <nc r="D37">
      <v>249.23247000000001</v>
    </nc>
  </rcc>
  <rcc rId="9984" sId="3" numFmtId="4">
    <oc r="D41">
      <v>584.06209000000001</v>
    </oc>
    <nc r="D41">
      <v>659.30996000000005</v>
    </nc>
  </rcc>
  <rfmt sheetId="3" sqref="D45">
    <dxf>
      <numFmt numFmtId="168" formatCode="0.00000"/>
    </dxf>
  </rfmt>
  <rcc rId="9985" sId="3" numFmtId="4">
    <oc r="D48">
      <v>232.55359999999999</v>
    </oc>
    <nc r="D48">
      <v>305.55360000000002</v>
    </nc>
  </rcc>
  <rcc rId="9986" sId="3" numFmtId="4">
    <oc r="D49">
      <v>3746.4851100000001</v>
    </oc>
    <nc r="D49">
      <v>3826.60223</v>
    </nc>
  </rcc>
  <rcc rId="9987" sId="3" numFmtId="4">
    <oc r="D53">
      <v>7.6204999999999998</v>
    </oc>
    <nc r="D53">
      <v>7.6829999999999998</v>
    </nc>
  </rcc>
  <rcc rId="9988" sId="3" numFmtId="4">
    <oc r="D54">
      <v>11.721270000000001</v>
    </oc>
    <nc r="D54">
      <v>13.721270000000001</v>
    </nc>
  </rcc>
  <rcc rId="9989" sId="3" numFmtId="4">
    <oc r="C56">
      <v>700</v>
    </oc>
    <nc r="C56">
      <v>50</v>
    </nc>
  </rcc>
  <rcc rId="9990" sId="3" numFmtId="4">
    <oc r="D56">
      <v>30</v>
    </oc>
    <nc r="D56">
      <v>31.5</v>
    </nc>
  </rcc>
  <rcc rId="9991" sId="3" numFmtId="4">
    <oc r="C58">
      <v>200</v>
    </oc>
    <nc r="C58">
      <v>250</v>
    </nc>
  </rcc>
  <rcc rId="9992" sId="3" numFmtId="4">
    <oc r="D58">
      <v>250.86412999999999</v>
    </oc>
    <nc r="D58">
      <v>315.26315</v>
    </nc>
  </rcc>
  <rcc rId="9993" sId="3" numFmtId="4">
    <oc r="C59">
      <v>90</v>
    </oc>
    <nc r="C59">
      <v>10</v>
    </nc>
  </rcc>
  <rcc rId="9994" sId="3" numFmtId="4">
    <oc r="D59">
      <v>10</v>
    </oc>
    <nc r="D59">
      <v>50</v>
    </nc>
  </rcc>
  <rcc rId="9995" sId="3" numFmtId="4">
    <oc r="C61">
      <v>70</v>
    </oc>
    <nc r="C61">
      <v>170</v>
    </nc>
  </rcc>
  <rcc rId="9996" sId="3" numFmtId="4">
    <oc r="D61">
      <v>147.227</v>
    </oc>
    <nc r="D61">
      <v>166.81963999999999</v>
    </nc>
  </rcc>
  <rcc rId="9997" sId="3" numFmtId="4">
    <oc r="D63">
      <v>424.47644000000003</v>
    </oc>
    <nc r="D63">
      <v>445.50945999999999</v>
    </nc>
  </rcc>
  <rcc rId="9998" sId="3" numFmtId="4">
    <oc r="C64">
      <v>400</v>
    </oc>
    <nc r="C64">
      <v>500</v>
    </nc>
  </rcc>
  <rcc rId="9999" sId="3" numFmtId="4">
    <oc r="D64">
      <v>439</v>
    </oc>
    <nc r="D64">
      <v>441.5</v>
    </nc>
  </rcc>
  <rcc rId="10000" sId="3" numFmtId="4">
    <oc r="C65">
      <v>320</v>
    </oc>
    <nc r="C65">
      <v>520</v>
    </nc>
  </rcc>
  <rcc rId="10001" sId="3" numFmtId="4">
    <oc r="D65">
      <v>526.33123999999998</v>
    </oc>
    <nc r="D65">
      <v>564.92634999999996</v>
    </nc>
  </rcc>
  <rcc rId="10002" sId="3" numFmtId="4">
    <oc r="D68">
      <v>2014.9296899999999</v>
    </oc>
    <nc r="D68">
      <v>2292.0145600000001</v>
    </nc>
  </rcc>
  <rcc rId="10003" sId="3" numFmtId="4">
    <oc r="C66">
      <v>0</v>
    </oc>
    <nc r="C66">
      <v>70</v>
    </nc>
  </rcc>
  <rcc rId="10004" sId="3" numFmtId="4">
    <oc r="D66">
      <v>65.541039999999995</v>
    </oc>
    <nc r="D66">
      <v>104.11462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311.xml><?xml version="1.0" encoding="utf-8"?>
<revisions xmlns="http://schemas.openxmlformats.org/spreadsheetml/2006/main" xmlns:r="http://schemas.openxmlformats.org/officeDocument/2006/relationships">
  <rcc rId="9235" sId="16">
    <oc r="A1" t="inlineStr">
      <is>
        <t xml:space="preserve">                     Анализ исполнения бюджета Юнгинского сельского поселения на 01.11.2019 г.</t>
      </is>
    </oc>
    <nc r="A1" t="inlineStr">
      <is>
        <t xml:space="preserve">                     Анализ исполнения бюджета Юнгинского сельского поселения на 01.12.2019 г.</t>
      </is>
    </nc>
  </rcc>
  <rcc rId="9236" sId="16">
    <oc r="D3" t="inlineStr">
      <is>
        <t>исполнен на 01.11.2019 г.</t>
      </is>
    </oc>
    <nc r="D3" t="inlineStr">
      <is>
        <t>исполнен на 01.12.2019 г.</t>
      </is>
    </nc>
  </rcc>
  <rcc rId="9237" sId="16">
    <oc r="D53" t="inlineStr">
      <is>
        <t>исполнено на 01.11.2019 г.</t>
      </is>
    </oc>
    <nc r="D53" t="inlineStr">
      <is>
        <t>исполнено на 01.12.2019 г.</t>
      </is>
    </nc>
  </rcc>
  <rcc rId="9238" sId="16" numFmtId="4">
    <oc r="D6">
      <v>83.385599999999997</v>
    </oc>
    <nc r="D6">
      <v>93.734849999999994</v>
    </nc>
  </rcc>
  <rcc rId="9239" sId="16" numFmtId="4">
    <oc r="D8">
      <v>228.46207999999999</v>
    </oc>
    <nc r="D8">
      <v>253.52909</v>
    </nc>
  </rcc>
  <rcc rId="9240" sId="16" numFmtId="4">
    <oc r="D9">
      <v>1.7081200000000001</v>
    </oc>
    <nc r="D9">
      <v>1.8669100000000001</v>
    </nc>
  </rcc>
  <rcc rId="9241" sId="16" numFmtId="4">
    <oc r="D10">
      <v>310.62238000000002</v>
    </oc>
    <nc r="D10">
      <v>340.58690000000001</v>
    </nc>
  </rcc>
  <rcc rId="9242" sId="16" numFmtId="4">
    <oc r="D11">
      <v>-36.67642</v>
    </oc>
    <nc r="D11">
      <v>-38.182490000000001</v>
    </nc>
  </rcc>
  <rcc rId="9243" sId="16" numFmtId="4">
    <oc r="D15">
      <v>107.28766</v>
    </oc>
    <nc r="D15">
      <v>148.93655999999999</v>
    </nc>
  </rcc>
  <rcc rId="9244" sId="16" numFmtId="4">
    <oc r="D16">
      <v>1521.64553</v>
    </oc>
    <nc r="D16">
      <v>1813.38752</v>
    </nc>
  </rcc>
  <rcc rId="9245" sId="16" numFmtId="4">
    <oc r="D18">
      <v>8.15</v>
    </oc>
    <nc r="D18">
      <v>8.4499999999999993</v>
    </nc>
  </rcc>
  <rcc rId="9246" sId="16" numFmtId="4">
    <oc r="D27">
      <v>243.45848000000001</v>
    </oc>
    <nc r="D27">
      <v>265.57848000000001</v>
    </nc>
  </rcc>
  <rcc rId="9247" sId="16" numFmtId="4">
    <oc r="D28">
      <v>60.196469999999998</v>
    </oc>
    <nc r="D28">
      <v>61.551220000000001</v>
    </nc>
  </rcc>
  <rcc rId="9248" sId="16" numFmtId="4">
    <oc r="D41">
      <v>665.548</v>
    </oc>
    <nc r="D41">
      <v>716.678</v>
    </nc>
  </rcc>
  <rcc rId="9249" sId="16" numFmtId="4">
    <oc r="D43">
      <v>1710.48288</v>
    </oc>
    <nc r="D43">
      <v>1736.59988</v>
    </nc>
  </rcc>
  <rcc rId="9250" sId="16" numFmtId="4">
    <oc r="D44">
      <v>74.926000000000002</v>
    </oc>
    <nc r="D44">
      <v>82.450999999999993</v>
    </nc>
  </rcc>
  <rcc rId="9251" sId="16" numFmtId="4">
    <oc r="C45">
      <v>248.50200000000001</v>
    </oc>
    <nc r="C45">
      <v>403.26621999999998</v>
    </nc>
  </rcc>
  <rcc rId="9252" sId="16" numFmtId="34">
    <oc r="C57">
      <v>1425.6</v>
    </oc>
    <nc r="C57">
      <v>1463.8869999999999</v>
    </nc>
  </rcc>
  <rcc rId="9253" sId="16" numFmtId="34">
    <oc r="D57">
      <v>1087.2608299999999</v>
    </oc>
    <nc r="D57">
      <v>1194.2392199999999</v>
    </nc>
  </rcc>
  <rcc rId="9254" sId="16" numFmtId="34">
    <oc r="D62">
      <v>3.6819999999999999</v>
    </oc>
    <nc r="D62">
      <v>23.681999999999999</v>
    </nc>
  </rcc>
  <rcc rId="9255" sId="16" numFmtId="34">
    <oc r="D64">
      <v>67.349050000000005</v>
    </oc>
    <nc r="D64">
      <v>74.892340000000004</v>
    </nc>
  </rcc>
  <rcc rId="9256" sId="16" numFmtId="34">
    <oc r="C69">
      <v>27.777000000000001</v>
    </oc>
    <nc r="C69">
      <v>26.777000000000001</v>
    </nc>
  </rcc>
  <rcc rId="9257" sId="16" numFmtId="34">
    <oc r="C73">
      <v>1046.33529</v>
    </oc>
    <nc r="C73">
      <v>1048.33529</v>
    </nc>
  </rcc>
  <rcc rId="9258" sId="16" numFmtId="34">
    <oc r="D73">
      <v>997.11919</v>
    </oc>
    <nc r="D73">
      <v>1003.22923</v>
    </nc>
  </rcc>
  <rcc rId="9259" sId="16" numFmtId="34">
    <oc r="D74">
      <v>1845.8584000000001</v>
    </oc>
    <nc r="D74">
      <v>1871.9754</v>
    </nc>
  </rcc>
  <rcc rId="9260" sId="16" numFmtId="34">
    <oc r="C75">
      <v>184.20400000000001</v>
    </oc>
    <nc r="C75">
      <v>185.804</v>
    </nc>
  </rcc>
  <rcc rId="9261" sId="16" numFmtId="34">
    <oc r="D75">
      <v>175.304</v>
    </oc>
    <nc r="D75">
      <v>181.304</v>
    </nc>
  </rcc>
  <rcc rId="9262" sId="16" numFmtId="34">
    <oc r="C79">
      <v>417.22430000000003</v>
    </oc>
    <nc r="C79">
      <v>533.59951999999998</v>
    </nc>
  </rcc>
  <rcc rId="9263" sId="16" numFmtId="34">
    <oc r="D79">
      <v>238.8125</v>
    </oc>
    <nc r="D79">
      <v>256.30013000000002</v>
    </nc>
  </rcc>
  <rcc rId="9264" sId="16" numFmtId="34">
    <oc r="C81">
      <v>1680.2</v>
    </oc>
    <nc r="C81">
      <v>1677.702</v>
    </nc>
  </rcc>
  <rcc rId="9265" sId="16" numFmtId="34">
    <oc r="D81">
      <v>1367.8991699999999</v>
    </oc>
    <nc r="D81">
      <v>1592.79917</v>
    </nc>
  </rcc>
  <rcc rId="9266" sId="16" numFmtId="34">
    <oc r="D88">
      <v>15.733000000000001</v>
    </oc>
    <nc r="D88">
      <v>20.332999999999998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9543" sId="11" numFmtId="34">
    <oc r="C82">
      <v>2028.6880000000001</v>
    </oc>
    <nc r="C82">
      <v>2026.9880000000001</v>
    </nc>
  </rcc>
  <rcc rId="9544" sId="11" numFmtId="34">
    <oc r="D82">
      <v>1642.8881699999999</v>
    </oc>
    <nc r="D82">
      <v>1797.818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9042" sId="17">
    <oc r="A1" t="inlineStr">
      <is>
        <t xml:space="preserve">                     Анализ исполнения бюджета Юськасинского сельского поселения на 01.11.2019 г.</t>
      </is>
    </oc>
    <nc r="A1" t="inlineStr">
      <is>
        <t xml:space="preserve">                     Анализ исполнения бюджета Юськасинского сельского поселения на 01.12.2019 г.</t>
      </is>
    </nc>
  </rcc>
  <rcc rId="9043" sId="17">
    <oc r="D3" t="inlineStr">
      <is>
        <t>исполнен на 01.11.2019 г.</t>
      </is>
    </oc>
    <nc r="D3" t="inlineStr">
      <is>
        <t>исполнен на 01.12.2019 г.</t>
      </is>
    </nc>
  </rcc>
  <rcc rId="9044" sId="17">
    <oc r="D55" t="inlineStr">
      <is>
        <t>исполнено на 01.11.2019г.</t>
      </is>
    </oc>
    <nc r="D55" t="inlineStr">
      <is>
        <t>исполнено на 01.12.2019г.</t>
      </is>
    </nc>
  </rcc>
  <rcc rId="9045" sId="17" numFmtId="4">
    <oc r="D6">
      <v>112.48796</v>
    </oc>
    <nc r="D6">
      <v>125.35448</v>
    </nc>
  </rcc>
  <rcc rId="9046" sId="17" numFmtId="4">
    <oc r="D8">
      <v>307.24209000000002</v>
    </oc>
    <nc r="D8">
      <v>340.9529</v>
    </nc>
  </rcc>
  <rcc rId="9047" sId="17" numFmtId="4">
    <oc r="D9">
      <v>2.2971300000000001</v>
    </oc>
    <nc r="D9">
      <v>2.5106899999999999</v>
    </nc>
  </rcc>
  <rcc rId="9048" sId="17" numFmtId="4">
    <oc r="D10">
      <v>417.73354999999998</v>
    </oc>
    <nc r="D10">
      <v>458.03064999999998</v>
    </nc>
  </rcc>
  <rcc rId="9049" sId="17" numFmtId="4">
    <oc r="D11">
      <v>-49.323450000000001</v>
    </oc>
    <nc r="D11">
      <v>-51.348849999999999</v>
    </nc>
  </rcc>
  <rcc rId="9050" sId="17" numFmtId="4">
    <oc r="D15">
      <v>52.765700000000002</v>
    </oc>
    <nc r="D15">
      <v>101.43239</v>
    </nc>
  </rcc>
  <rcc rId="9051" sId="17" numFmtId="4">
    <oc r="D16">
      <v>233.45087000000001</v>
    </oc>
    <nc r="D16">
      <v>284.72457000000003</v>
    </nc>
  </rcc>
  <rcc rId="9052" sId="17" numFmtId="4">
    <oc r="D18">
      <v>8.6999999999999993</v>
    </oc>
    <nc r="D18">
      <v>9.3000000000000007</v>
    </nc>
  </rcc>
  <rcc rId="9053" sId="17" numFmtId="4">
    <oc r="D28">
      <v>57</v>
    </oc>
    <nc r="D28">
      <v>61.5</v>
    </nc>
  </rcc>
  <rcc rId="9054" sId="17" numFmtId="4">
    <oc r="C30">
      <v>300</v>
    </oc>
    <nc r="C30">
      <v>360</v>
    </nc>
  </rcc>
  <rcc rId="9055" sId="17" numFmtId="4">
    <oc r="D30">
      <v>319.88454999999999</v>
    </oc>
    <nc r="D30">
      <v>325.90424999999999</v>
    </nc>
  </rcc>
  <rcc rId="9056" sId="17" numFmtId="4">
    <oc r="D39">
      <v>2625.623</v>
    </oc>
    <nc r="D39">
      <v>2827.3319999999999</v>
    </nc>
  </rcc>
  <rcc rId="9057" sId="17" numFmtId="4">
    <oc r="D42">
      <v>1181.0119999999999</v>
    </oc>
    <nc r="D42">
      <v>1199.5450000000001</v>
    </nc>
  </rcc>
  <rcc rId="9058" sId="17" numFmtId="4">
    <oc r="D43">
      <v>150.44640000000001</v>
    </oc>
    <nc r="D43">
      <v>165.49639999999999</v>
    </nc>
  </rcc>
  <rcc rId="9059" sId="17" numFmtId="4">
    <oc r="C50">
      <v>60</v>
    </oc>
    <nc r="C50">
      <v>248.79</v>
    </nc>
  </rcc>
  <rcc rId="9060" sId="17" numFmtId="34">
    <oc r="C59">
      <v>1225.2919999999999</v>
    </oc>
    <nc r="C59">
      <v>1350.0820000000001</v>
    </nc>
  </rcc>
  <rcc rId="9061" sId="17" numFmtId="34">
    <oc r="D59">
      <v>994.80154000000005</v>
    </oc>
    <nc r="D59">
      <v>1108.8062299999999</v>
    </nc>
  </rcc>
  <rcc rId="9062" sId="17" numFmtId="34">
    <oc r="D66">
      <v>137.16127</v>
    </oc>
    <nc r="D66">
      <v>151.84827000000001</v>
    </nc>
  </rcc>
  <rcc rId="9063" sId="17" numFmtId="34">
    <oc r="D75">
      <v>309.41699999999997</v>
    </oc>
    <nc r="D75">
      <v>315.43700000000001</v>
    </nc>
  </rcc>
  <rcc rId="9064" sId="17" numFmtId="34">
    <oc r="D76">
      <v>1887.7882999999999</v>
    </oc>
    <nc r="D76">
      <v>1906.3213000000001</v>
    </nc>
  </rcc>
  <rcc rId="9065" sId="17" numFmtId="34">
    <oc r="C77">
      <v>2</v>
    </oc>
    <nc r="C77">
      <v>66</v>
    </nc>
  </rcc>
  <rcc rId="9066" sId="17" numFmtId="34">
    <oc r="D81">
      <v>443.55509999999998</v>
    </oc>
    <nc r="D81">
      <v>460.01364999999998</v>
    </nc>
  </rcc>
  <rcc rId="9067" sId="17" numFmtId="34">
    <oc r="C83">
      <v>2695.18289</v>
    </oc>
    <nc r="C83">
      <v>2755.18289</v>
    </nc>
  </rcc>
  <rcc rId="9068" sId="17" numFmtId="34">
    <oc r="D83">
      <v>2285.1107400000001</v>
    </oc>
    <nc r="D83">
      <v>2608.51845</v>
    </nc>
  </rcc>
  <rcc rId="9069" sId="17" numFmtId="34">
    <oc r="D90">
      <v>18</v>
    </oc>
    <nc r="D90">
      <v>21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2" sqref="CP14:CP29">
    <dxf>
      <numFmt numFmtId="4" formatCode="#,##0.00"/>
    </dxf>
  </rfmt>
  <rfmt sheetId="2" sqref="CP14:CP29">
    <dxf>
      <numFmt numFmtId="186" formatCode="#,##0.000"/>
    </dxf>
  </rfmt>
  <rfmt sheetId="2" sqref="CP14:CP29">
    <dxf>
      <numFmt numFmtId="187" formatCode="#,##0.0000"/>
    </dxf>
  </rfmt>
  <rfmt sheetId="2" sqref="CP14:CP29">
    <dxf>
      <numFmt numFmtId="172" formatCode="#,##0.00000"/>
    </dxf>
  </rfmt>
  <rfmt sheetId="2" sqref="CP14:CP29">
    <dxf>
      <numFmt numFmtId="179" formatCode="#,##0.000000"/>
    </dxf>
  </rfmt>
  <rfmt sheetId="2" sqref="CP14:CP29">
    <dxf>
      <numFmt numFmtId="172" formatCode="#,##0.00000"/>
    </dxf>
  </rfmt>
  <rfmt sheetId="2" sqref="CP31">
    <dxf>
      <numFmt numFmtId="4" formatCode="#,##0.00"/>
    </dxf>
  </rfmt>
  <rfmt sheetId="2" sqref="CP31">
    <dxf>
      <numFmt numFmtId="186" formatCode="#,##0.000"/>
    </dxf>
  </rfmt>
  <rfmt sheetId="2" sqref="CP31">
    <dxf>
      <numFmt numFmtId="187" formatCode="#,##0.0000"/>
    </dxf>
  </rfmt>
  <rfmt sheetId="2" sqref="CP31">
    <dxf>
      <numFmt numFmtId="172" formatCode="#,##0.00000"/>
    </dxf>
  </rfmt>
  <rfmt sheetId="2" sqref="CP31">
    <dxf>
      <numFmt numFmtId="179" formatCode="#,##0.000000"/>
    </dxf>
  </rfmt>
  <rcc rId="9849" sId="2" numFmtId="4">
    <oc r="CP17">
      <v>203.49</v>
    </oc>
    <nc r="CP17">
      <v>311.94799999999998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8474" sId="14">
    <oc r="A1" t="inlineStr">
      <is>
        <t xml:space="preserve">                     Анализ исполнения бюджета Чуманкасинского сельского поселения на 01.11.2019 г.</t>
      </is>
    </oc>
    <nc r="A1" t="inlineStr">
      <is>
        <t xml:space="preserve">                     Анализ исполнения бюджета Чуманкасинского сельского поселения на 01.12.2019 г.</t>
      </is>
    </nc>
  </rcc>
  <rcc rId="8475" sId="14">
    <oc r="D3" t="inlineStr">
      <is>
        <t>исполнен на 01.11.2019 г.</t>
      </is>
    </oc>
    <nc r="D3" t="inlineStr">
      <is>
        <t>исполнен на 01.12.2019 г.</t>
      </is>
    </nc>
  </rcc>
  <rcc rId="8476" sId="14">
    <oc r="D54" t="inlineStr">
      <is>
        <t>исполнено на 01.11.2019 г.</t>
      </is>
    </oc>
    <nc r="D54" t="inlineStr">
      <is>
        <t>исполнено на 01.12.2019 г.</t>
      </is>
    </nc>
  </rcc>
  <rcc rId="8477" sId="14" numFmtId="4">
    <oc r="D6">
      <v>84.06523</v>
    </oc>
    <nc r="D6">
      <v>91.036119999999997</v>
    </nc>
  </rcc>
  <rcc rId="8478" sId="14" numFmtId="4">
    <oc r="D8">
      <v>144.75830999999999</v>
    </oc>
    <nc r="D8">
      <v>160.6413</v>
    </nc>
  </rcc>
  <rcc rId="8479" sId="14" numFmtId="4">
    <oc r="D9">
      <v>1.0823100000000001</v>
    </oc>
    <nc r="D9">
      <v>1.18292</v>
    </nc>
  </rcc>
  <rcc rId="8480" sId="14" numFmtId="4">
    <oc r="D10">
      <v>196.81679</v>
    </oc>
    <nc r="D10">
      <v>215.80292</v>
    </nc>
  </rcc>
  <rcc rId="8481" sId="14" numFmtId="4">
    <oc r="D11">
      <v>-23.238939999999999</v>
    </oc>
    <nc r="D11">
      <v>-24.193210000000001</v>
    </nc>
  </rcc>
  <rcc rId="8482" sId="14" numFmtId="4">
    <oc r="D15">
      <v>65.25685</v>
    </oc>
    <nc r="D15">
      <v>82.722800000000007</v>
    </nc>
  </rcc>
  <rcc rId="8483" sId="14" numFmtId="4">
    <oc r="D16">
      <v>324.33503000000002</v>
    </oc>
    <nc r="D16">
      <v>394.89416999999997</v>
    </nc>
  </rcc>
  <rcc rId="8484" sId="14" numFmtId="4">
    <oc r="D18">
      <v>4.4000000000000004</v>
    </oc>
    <nc r="D18">
      <v>4.5999999999999996</v>
    </nc>
  </rcc>
  <rcc rId="8485" sId="14" numFmtId="4">
    <oc r="D42">
      <v>1707.5609999999999</v>
    </oc>
    <nc r="D42">
      <v>1838.741</v>
    </nc>
  </rcc>
  <rcc rId="8486" sId="14" numFmtId="4">
    <oc r="D45">
      <v>76.718199999999996</v>
    </oc>
    <nc r="D45">
      <v>84.243200000000002</v>
    </nc>
  </rcc>
  <rcc rId="8487" sId="14" numFmtId="4">
    <oc r="C46">
      <v>125.26285</v>
    </oc>
    <nc r="C46">
      <v>160.21485000000001</v>
    </nc>
  </rcc>
  <rcc rId="8488" sId="14" numFmtId="34">
    <oc r="C58">
      <v>1275.14689</v>
    </oc>
    <nc r="C58">
      <v>1310.09889</v>
    </nc>
  </rcc>
  <rcc rId="8489" sId="14" numFmtId="34">
    <oc r="D58">
      <v>985.98568</v>
    </oc>
    <nc r="D58">
      <v>1083.7944199999999</v>
    </nc>
  </rcc>
  <rcc rId="8490" sId="14" numFmtId="34">
    <oc r="D65">
      <v>68.605519999999999</v>
    </oc>
    <nc r="D65">
      <v>75.948800000000006</v>
    </nc>
  </rcc>
  <rcc rId="8491" sId="14" numFmtId="34">
    <oc r="C74">
      <v>143.71</v>
    </oc>
    <nc r="C74">
      <v>150.98500000000001</v>
    </nc>
  </rcc>
  <rcc rId="8492" sId="14" numFmtId="34">
    <oc r="D74">
      <v>93.212969999999999</v>
    </oc>
    <nc r="D74">
      <v>97.435980000000001</v>
    </nc>
  </rcc>
  <rcc rId="8493" sId="14" numFmtId="34">
    <oc r="C80">
      <v>673.87699999999995</v>
    </oc>
    <nc r="C80">
      <v>666.60199999999998</v>
    </nc>
  </rcc>
  <rcc rId="8494" sId="14" numFmtId="34">
    <oc r="D80">
      <v>567.32096999999999</v>
    </oc>
    <nc r="D80">
      <v>591.82213999999999</v>
    </nc>
  </rcc>
  <rcc rId="8495" sId="14" numFmtId="34">
    <oc r="D82">
      <v>1454.25622</v>
    </oc>
    <nc r="D82">
      <v>1534.0562199999999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9448" sId="13">
    <oc r="A1" t="inlineStr">
      <is>
        <t xml:space="preserve">                     Анализ исполнения бюджета Хорнойского сельского поселения на 01.11.2019 г.</t>
      </is>
    </oc>
    <nc r="A1" t="inlineStr">
      <is>
        <t xml:space="preserve">                     Анализ исполнения бюджета Хорнойского сельского поселения на 01.12.2019 г.</t>
      </is>
    </nc>
  </rcc>
  <rcc rId="9449" sId="13">
    <oc r="D3" t="inlineStr">
      <is>
        <t>исполнен на 01.11.2019 г.</t>
      </is>
    </oc>
    <nc r="D3" t="inlineStr">
      <is>
        <t>исполнен на 01.12.2019 г.</t>
      </is>
    </nc>
  </rcc>
  <rcc rId="9450" sId="13" numFmtId="4">
    <oc r="D6">
      <v>53.556759999999997</v>
    </oc>
    <nc r="D6">
      <v>56.023359999999997</v>
    </nc>
  </rcc>
  <rcc rId="9451" sId="13" numFmtId="4">
    <oc r="D8">
      <v>151.65154999999999</v>
    </oc>
    <nc r="D8">
      <v>168.29087000000001</v>
    </nc>
  </rcc>
  <rcc rId="9452" sId="13" numFmtId="4">
    <oc r="D9">
      <v>1.1338299999999999</v>
    </oc>
    <nc r="D9">
      <v>1.2392399999999999</v>
    </nc>
  </rcc>
  <rcc rId="9453" sId="13" numFmtId="4">
    <oc r="D10">
      <v>206.18898999999999</v>
    </oc>
    <nc r="D10">
      <v>226.07924</v>
    </nc>
  </rcc>
  <rcc rId="9454" sId="13" numFmtId="4">
    <oc r="D11">
      <v>-24.34554</v>
    </oc>
    <nc r="D11">
      <v>-25.345279999999999</v>
    </nc>
  </rcc>
  <rcc rId="9455" sId="13" numFmtId="4">
    <oc r="C15">
      <v>179</v>
    </oc>
    <nc r="C15">
      <v>219</v>
    </nc>
  </rcc>
  <rcc rId="9456" sId="13" numFmtId="4">
    <oc r="D15">
      <v>280.96185000000003</v>
    </oc>
    <nc r="D15">
      <v>287.23077999999998</v>
    </nc>
  </rcc>
  <rcc rId="9457" sId="13" numFmtId="4">
    <oc r="D16">
      <v>282.29171000000002</v>
    </oc>
    <nc r="D16">
      <v>350.41957000000002</v>
    </nc>
  </rcc>
  <rcc rId="9458" sId="13" numFmtId="4">
    <oc r="D39">
      <v>1105.55</v>
    </oc>
    <nc r="D39">
      <v>1190.482</v>
    </nc>
  </rcc>
  <rcc rId="9459" sId="13" numFmtId="4">
    <oc r="D43">
      <v>75.523399999999995</v>
    </oc>
    <nc r="D43">
      <v>83.048400000000001</v>
    </nc>
  </rcc>
  <rcc rId="9460" sId="13" numFmtId="4">
    <oc r="C44">
      <v>1030</v>
    </oc>
    <nc r="C44">
      <v>1164.279</v>
    </nc>
  </rcc>
  <rcc rId="9461" sId="13">
    <oc r="D52" t="inlineStr">
      <is>
        <t>исполнено на 01.11.2019 г.</t>
      </is>
    </oc>
    <nc r="D52" t="inlineStr">
      <is>
        <t>исполнено на 01.12.2019 г.</t>
      </is>
    </nc>
  </rcc>
  <rcc rId="9462" sId="13" numFmtId="34">
    <oc r="C56">
      <v>984.4</v>
    </oc>
    <nc r="C56">
      <v>1118.6790000000001</v>
    </nc>
  </rcc>
  <rcc rId="9463" sId="13" numFmtId="34">
    <oc r="D56">
      <v>818.33290999999997</v>
    </oc>
    <nc r="D56">
      <v>916.35690999999997</v>
    </nc>
  </rcc>
  <rcc rId="9464" sId="13" numFmtId="34">
    <oc r="C61">
      <v>2.6909999999999998</v>
    </oc>
    <nc r="C61">
      <v>6.1909999999999998</v>
    </nc>
  </rcc>
  <rcc rId="9465" sId="13" numFmtId="34">
    <oc r="D63">
      <v>61.864400000000003</v>
    </oc>
    <nc r="D63">
      <v>66.755080000000007</v>
    </nc>
  </rcc>
  <rcc rId="9466" sId="13" numFmtId="34">
    <oc r="D71">
      <v>0</v>
    </oc>
    <nc r="D71">
      <v>1.3405</v>
    </nc>
  </rcc>
  <rcc rId="9467" sId="13" numFmtId="34">
    <oc r="C74">
      <v>40</v>
    </oc>
    <nc r="C74">
      <v>36.5</v>
    </nc>
  </rcc>
  <rcc rId="9468" sId="13" numFmtId="34">
    <oc r="D74">
      <v>26.835000000000001</v>
    </oc>
    <nc r="D74">
      <v>28.305</v>
    </nc>
  </rcc>
  <rcc rId="9469" sId="13" numFmtId="34">
    <oc r="D78">
      <v>173.61615</v>
    </oc>
    <nc r="D78">
      <v>176.36528000000001</v>
    </nc>
  </rcc>
  <rcc rId="9470" sId="13" numFmtId="34">
    <oc r="C80">
      <v>1928.7</v>
    </oc>
    <nc r="C80">
      <v>1968.7</v>
    </nc>
  </rcc>
  <rcc rId="9471" sId="13" numFmtId="34">
    <oc r="D80">
      <v>1595.5950800000001</v>
    </oc>
    <nc r="D80">
      <v>1596.5950800000001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Иль!$A$1:$F$104</formula>
    <oldFormula>Иль!$A$1:$F$104</oldFormula>
  </rdn>
  <rdn rId="0" localSheetId="6" customView="1" name="Z_B31C8DB7_3E78_4144_A6B5_8DE36DE63F0E_.wvu.Rows" hidden="1" oldHidden="1">
    <formula>Иль!$19:$24,Иль!$33:$33,Иль!$45:$45,Иль!$50:$50,Иль!$60:$61,Иль!$68:$69,Иль!$78:$79,Иль!$81:$81,Иль!$93:$97</formula>
    <oldFormula>Иль!$19:$24,Иль!$33:$33,Иль!$45:$45,Иль!$50:$50,Иль!$60:$61,Иль!$68:$69,Иль!$78:$79,Иль!$81:$81,Иль!$93:$97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Тор!$A$1:$F$102</formula>
    <oldFormula>Тор!$A$1:$F$102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Тор!$19:$19,Тор!$50:$50,Тор!$57:$57,Тор!$59:$60,Тор!$67:$68,Тор!$75:$75,Тор!$79:$80,Тор!$84:$96</formula>
    <oldFormula>Тор!$19:$19,Тор!$50:$50,Тор!$57:$57,Тор!$59:$60,Тор!$67:$68,Тор!$75:$75,Тор!$79:$80,Тор!$84:$96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Яро!$19:$24,Яро!$29:$30,Яро!$43:$43,Яро!$54:$54,Яро!$56:$57,Яро!$64:$65,Яро!$75:$76,Яро!$80:$85,Яро!$87:$94</formula>
    <oldFormula>Яро!$19:$24,Яро!$29:$30,Яро!$43:$43,Яро!$54:$54,Яро!$56:$57,Яро!$64:$65,Яро!$75:$76,Яро!$80:$85,Яро!$87:$94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8612" sId="5">
    <oc r="D55" t="inlineStr">
      <is>
        <t>исполнено на 01.11.2019 г</t>
      </is>
    </oc>
    <nc r="D55" t="inlineStr">
      <is>
        <t>исполнено на 01.12.2019 г</t>
      </is>
    </nc>
  </rcc>
  <rcc rId="8613" sId="5">
    <oc r="D3" t="inlineStr">
      <is>
        <t>исполнен на 01.11.2019 г.</t>
      </is>
    </oc>
    <nc r="D3" t="inlineStr">
      <is>
        <t>исполнен на 01.12.2019 г.</t>
      </is>
    </nc>
  </rcc>
  <rcc rId="8614" sId="5">
    <oc r="A1" t="inlineStr">
      <is>
        <t xml:space="preserve">                     Анализ исполнения бюджета Большесундырского сельского поселения на 01.11.2019 г.</t>
      </is>
    </oc>
    <nc r="A1" t="inlineStr">
      <is>
        <t xml:space="preserve">                     Анализ исполнения бюджета Большесундырского сельского поселения на 01.12.2019 г.</t>
      </is>
    </nc>
  </rcc>
  <rcc rId="8615" sId="5" numFmtId="4">
    <oc r="D6">
      <v>291.72275999999999</v>
    </oc>
    <nc r="D6">
      <v>322.68468000000001</v>
    </nc>
  </rcc>
  <rcc rId="8616" sId="5" numFmtId="4">
    <oc r="D8">
      <v>290.50137000000001</v>
    </oc>
    <nc r="D8">
      <v>322.37538000000001</v>
    </nc>
  </rcc>
  <rcc rId="8617" sId="5" numFmtId="4">
    <oc r="D9">
      <v>2.17197</v>
    </oc>
    <nc r="D9">
      <v>2.3738600000000001</v>
    </nc>
  </rcc>
  <rcc rId="8618" sId="5" numFmtId="4">
    <oc r="D10">
      <v>394.97242999999997</v>
    </oc>
    <nc r="D10">
      <v>433.07387</v>
    </nc>
  </rcc>
  <rcc rId="8619" sId="5" numFmtId="4">
    <oc r="D11">
      <v>-46.63599</v>
    </oc>
    <nc r="D11">
      <v>-48.551009999999998</v>
    </nc>
  </rcc>
  <rcc rId="8620" sId="5" numFmtId="4">
    <oc r="D15">
      <v>853.98108999999999</v>
    </oc>
    <nc r="D15">
      <v>921.35293999999999</v>
    </nc>
  </rcc>
  <rcc rId="8621" sId="5" numFmtId="4">
    <oc r="D16">
      <v>876.84010000000001</v>
    </oc>
    <nc r="D16">
      <v>1089.4389200000001</v>
    </nc>
  </rcc>
  <rcc rId="8622" sId="5" numFmtId="4">
    <oc r="D18">
      <v>10.050000000000001</v>
    </oc>
    <nc r="D18">
      <v>15.45</v>
    </nc>
  </rcc>
  <rcc rId="8623" sId="5" numFmtId="4">
    <oc r="D29">
      <v>41.6</v>
    </oc>
    <nc r="D29">
      <v>45.767000000000003</v>
    </nc>
  </rcc>
  <rcc rId="8624" sId="5" numFmtId="4">
    <oc r="D31">
      <v>179.98498000000001</v>
    </oc>
    <nc r="D31">
      <v>180.67498000000001</v>
    </nc>
  </rcc>
  <rcc rId="8625" sId="5" numFmtId="4">
    <oc r="D42">
      <v>2602.7829999999999</v>
    </oc>
    <nc r="D42">
      <v>2802.76</v>
    </nc>
  </rcc>
  <rcc rId="8626" sId="5" numFmtId="4">
    <oc r="C43">
      <v>96.5</v>
    </oc>
    <nc r="C43">
      <v>296.5</v>
    </nc>
  </rcc>
  <rcc rId="8627" sId="5" numFmtId="4">
    <oc r="D44">
      <v>4355.9012300000004</v>
    </oc>
    <nc r="D44">
      <v>4494.13483</v>
    </nc>
  </rcc>
  <rcc rId="8628" sId="5" numFmtId="4">
    <oc r="D46">
      <v>149.84899999999999</v>
    </oc>
    <nc r="D46">
      <v>164.899</v>
    </nc>
  </rcc>
  <rcc rId="8629" sId="5" numFmtId="4">
    <oc r="C47">
      <v>622</v>
    </oc>
    <nc r="C47">
      <v>668.37300000000005</v>
    </nc>
  </rcc>
  <rcc rId="8630" sId="5" numFmtId="4">
    <oc r="D48">
      <v>479.09088000000003</v>
    </oc>
    <nc r="D48">
      <v>523.54088000000002</v>
    </nc>
  </rcc>
  <rcc rId="8631" sId="5" numFmtId="4">
    <oc r="C59">
      <v>1746.6</v>
    </oc>
    <nc r="C59">
      <v>1792.973</v>
    </nc>
  </rcc>
  <rcc rId="8632" sId="5" numFmtId="4">
    <oc r="D59">
      <v>1303.6408300000001</v>
    </oc>
    <nc r="D59">
      <v>1435.1765800000001</v>
    </nc>
  </rcc>
  <rcc rId="8633" sId="5" numFmtId="4">
    <oc r="D66">
      <v>134.2901</v>
    </oc>
    <nc r="D66">
      <v>149.67910000000001</v>
    </nc>
  </rcc>
  <rcc rId="8634" sId="5" numFmtId="4">
    <oc r="C75">
      <v>1300</v>
    </oc>
    <nc r="C75">
      <v>1304.8150000000001</v>
    </nc>
  </rcc>
  <rcc rId="8635" sId="5" numFmtId="4">
    <oc r="D75">
      <v>1073.1252300000001</v>
    </oc>
    <nc r="D75">
      <v>1109.8752300000001</v>
    </nc>
  </rcc>
  <rcc rId="8636" sId="5" numFmtId="4">
    <oc r="C81">
      <v>4000.1012000000001</v>
    </oc>
    <nc r="C81">
      <v>4203.3906999999999</v>
    </nc>
  </rcc>
  <rcc rId="8637" sId="5" numFmtId="4">
    <oc r="D81">
      <v>3690.3337099999999</v>
    </oc>
    <nc r="D81">
      <v>3918.1269600000001</v>
    </nc>
  </rcc>
  <rcc rId="8638" sId="5" numFmtId="4">
    <oc r="C84">
      <v>3158.3795599999999</v>
    </oc>
    <nc r="C84">
      <v>3150.2750599999999</v>
    </nc>
  </rcc>
  <rcc rId="8639" sId="5" numFmtId="4">
    <oc r="D84">
      <v>1695.4119700000001</v>
    </oc>
    <nc r="D84">
      <v>2830.5056500000001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9181" sId="9">
    <oc r="A1" t="inlineStr">
      <is>
        <t xml:space="preserve">                     Анализ исполнения бюджета Москакасинского сельского поселения на 01.11.2019 г.</t>
      </is>
    </oc>
    <nc r="A1" t="inlineStr">
      <is>
        <t xml:space="preserve">                     Анализ исполнения бюджета Москакасинского сельского поселения на 01.12.2019 г.</t>
      </is>
    </nc>
  </rcc>
  <rcc rId="9182" sId="9">
    <oc r="D3" t="inlineStr">
      <is>
        <t>исполнен на 01.11.2019 г.</t>
      </is>
    </oc>
    <nc r="D3" t="inlineStr">
      <is>
        <t>исполнен на 01.12.2019 г.</t>
      </is>
    </nc>
  </rcc>
  <rcc rId="9183" sId="9">
    <oc r="D55" t="inlineStr">
      <is>
        <t>исполнено на 01.11.2019 г.</t>
      </is>
    </oc>
    <nc r="D55" t="inlineStr">
      <is>
        <t>исполнено на 01.12.2019 г.</t>
      </is>
    </nc>
  </rcc>
  <rcc rId="9184" sId="9" numFmtId="4">
    <oc r="D6">
      <v>1146.3597500000001</v>
    </oc>
    <nc r="D6">
      <v>1307.9622899999999</v>
    </nc>
  </rcc>
  <rcc rId="9185" sId="9" numFmtId="4">
    <oc r="D8">
      <v>304.28786000000002</v>
    </oc>
    <nc r="D8">
      <v>337.67451</v>
    </nc>
  </rcc>
  <rcc rId="9186" sId="9" numFmtId="4">
    <oc r="D9">
      <v>2.2750400000000002</v>
    </oc>
    <nc r="D9">
      <v>2.4865200000000001</v>
    </nc>
  </rcc>
  <rcc rId="9187" sId="9" numFmtId="4">
    <oc r="D10">
      <v>413.71686999999997</v>
    </oc>
    <nc r="D10">
      <v>453.62650000000002</v>
    </nc>
  </rcc>
  <rcc rId="9188" sId="9" numFmtId="4">
    <oc r="D11">
      <v>-48.84919</v>
    </oc>
    <nc r="D11">
      <v>-50.855080000000001</v>
    </nc>
  </rcc>
  <rcc rId="9189" sId="9" numFmtId="4">
    <oc r="D15">
      <v>98.41037</v>
    </oc>
    <nc r="D15">
      <v>207.44311999999999</v>
    </nc>
  </rcc>
  <rcc rId="9190" sId="9" numFmtId="4">
    <oc r="D16">
      <v>1733.8785700000001</v>
    </oc>
    <nc r="D16">
      <v>2038.8528799999999</v>
    </nc>
  </rcc>
  <rcc rId="9191" sId="9" numFmtId="4">
    <oc r="D18">
      <v>5.5</v>
    </oc>
    <nc r="D18">
      <v>6.2</v>
    </nc>
  </rcc>
  <rcc rId="9192" sId="9" numFmtId="4">
    <oc r="D35">
      <v>38.81174</v>
    </oc>
    <nc r="D35">
      <v>45.381860000000003</v>
    </nc>
  </rcc>
  <rcc rId="9193" sId="9" numFmtId="4">
    <oc r="C42">
      <v>500</v>
    </oc>
    <nc r="C42">
      <v>300</v>
    </nc>
  </rcc>
  <rcc rId="9194" sId="9" numFmtId="4">
    <oc r="D43">
      <v>3529.1947100000002</v>
    </oc>
    <nc r="D43">
      <v>4000.3487100000002</v>
    </nc>
  </rcc>
  <rcc rId="9195" sId="9" numFmtId="4">
    <oc r="D45">
      <v>150.44640000000001</v>
    </oc>
    <nc r="D45">
      <v>165.49639999999999</v>
    </nc>
  </rcc>
  <rcc rId="9196" sId="9" numFmtId="34">
    <oc r="D59">
      <v>1473.1151199999999</v>
    </oc>
    <nc r="D59">
      <v>1696.9136699999999</v>
    </nc>
  </rcc>
  <rcc rId="9197" sId="9" numFmtId="34">
    <oc r="D66">
      <v>123.94698</v>
    </oc>
    <nc r="D66">
      <v>133.63618</v>
    </nc>
  </rcc>
  <rcc rId="9198" sId="9" numFmtId="34">
    <oc r="C70">
      <v>2</v>
    </oc>
    <nc r="C70">
      <v>0</v>
    </nc>
  </rcc>
  <rcc rId="9199" sId="9" numFmtId="34">
    <oc r="D75">
      <v>330.41298</v>
    </oc>
    <nc r="D75">
      <v>437.07157999999998</v>
    </nc>
  </rcc>
  <rcc rId="9200" sId="9" numFmtId="34">
    <oc r="D76">
      <v>5540.3003600000002</v>
    </oc>
    <nc r="D76">
      <v>6015.9624299999996</v>
    </nc>
  </rcc>
  <rcc rId="9201" sId="9" numFmtId="34">
    <oc r="D77">
      <v>18</v>
    </oc>
    <nc r="D77">
      <v>21</v>
    </nc>
  </rcc>
  <rcc rId="9202" sId="9" numFmtId="34">
    <oc r="C81">
      <v>857.45691999999997</v>
    </oc>
    <nc r="C81">
      <v>659.45691999999997</v>
    </nc>
  </rcc>
  <rcc rId="9203" sId="9" numFmtId="34">
    <oc r="D81">
      <v>534.71087</v>
    </oc>
    <nc r="D81">
      <v>599.44431999999995</v>
    </nc>
  </rcc>
  <rcc rId="9204" sId="9" numFmtId="34">
    <oc r="D84">
      <v>235.28399999999999</v>
    </oc>
    <nc r="D84">
      <v>515.28399999999999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9351" sId="10">
    <oc r="D54" t="inlineStr">
      <is>
        <t>исполнено на 01.11.2019 г.</t>
      </is>
    </oc>
    <nc r="D54" t="inlineStr">
      <is>
        <t>исполнено на 01.12.2019 г.</t>
      </is>
    </nc>
  </rcc>
  <rcc rId="9352" sId="10">
    <oc r="D3" t="inlineStr">
      <is>
        <t>исполнен на 01.11.2019 г.</t>
      </is>
    </oc>
    <nc r="D3" t="inlineStr">
      <is>
        <t>исполнен на 01.12.2019 г.</t>
      </is>
    </nc>
  </rcc>
  <rcc rId="9353" sId="10">
    <oc r="A1" t="inlineStr">
      <is>
        <t xml:space="preserve">                     Анализ исполнения бюджета Орининского сельского поселения на 01.11.2019 г.</t>
      </is>
    </oc>
    <nc r="A1" t="inlineStr">
      <is>
        <t xml:space="preserve">                     Анализ исполнения бюджета Орининского сельского поселения на 01.12.2019 г.</t>
      </is>
    </nc>
  </rcc>
  <rcc rId="9354" sId="10" numFmtId="4">
    <oc r="D6">
      <v>143.45169000000001</v>
    </oc>
    <nc r="D6">
      <v>162.17382000000001</v>
    </nc>
  </rcc>
  <rcc rId="9355" sId="10" numFmtId="4">
    <oc r="D8">
      <v>193.99582000000001</v>
    </oc>
    <nc r="D8">
      <v>215.28117</v>
    </nc>
  </rcc>
  <rcc rId="9356" sId="10" numFmtId="4">
    <oc r="D9">
      <v>1.45044</v>
    </oc>
    <nc r="D9">
      <v>1.58528</v>
    </nc>
  </rcc>
  <rcc rId="9357" sId="10" numFmtId="4">
    <oc r="D10">
      <v>263.76125999999999</v>
    </oc>
    <nc r="D10">
      <v>289.20524999999998</v>
    </nc>
  </rcc>
  <rcc rId="9358" sId="10" numFmtId="4">
    <oc r="D11">
      <v>-31.143339999999998</v>
    </oc>
    <nc r="D11">
      <v>-32.422179999999997</v>
    </nc>
  </rcc>
  <rcc rId="9359" sId="10" numFmtId="4">
    <oc r="D16">
      <v>891.49775</v>
    </oc>
    <nc r="D16">
      <v>1241.64356</v>
    </nc>
  </rcc>
  <rcc rId="9360" sId="10" numFmtId="4">
    <oc r="D18">
      <v>5.38</v>
    </oc>
    <nc r="D18">
      <v>6.08</v>
    </nc>
  </rcc>
  <rcc rId="9361" sId="10" numFmtId="4">
    <oc r="D27">
      <v>11.0816</v>
    </oc>
    <nc r="D27">
      <v>48.451599999999999</v>
    </nc>
  </rcc>
  <rcc rId="9362" sId="10" numFmtId="4">
    <oc r="D28">
      <v>40.5</v>
    </oc>
    <nc r="D28">
      <v>45</v>
    </nc>
  </rcc>
  <rcc rId="9363" sId="10" numFmtId="4">
    <oc r="D30">
      <v>33.461860000000001</v>
    </oc>
    <nc r="D30">
      <v>34.183540000000001</v>
    </nc>
  </rcc>
  <rcc rId="9364" sId="10" numFmtId="4">
    <oc r="D41">
      <v>1267.7370000000001</v>
    </oc>
    <nc r="D41">
      <v>1365.1289999999999</v>
    </nc>
  </rcc>
  <rcc rId="9365" sId="10" numFmtId="4">
    <oc r="D42">
      <v>210</v>
    </oc>
    <nc r="D42">
      <v>410</v>
    </nc>
  </rcc>
  <rcc rId="9366" sId="10" numFmtId="4">
    <oc r="D45">
      <v>151.0438</v>
    </oc>
    <nc r="D45">
      <v>166.09379999999999</v>
    </nc>
  </rcc>
  <rcc rId="9367" sId="10" numFmtId="4">
    <oc r="C46">
      <v>250</v>
    </oc>
    <nc r="C46">
      <v>436.61399999999998</v>
    </nc>
  </rcc>
  <rcc rId="9368" sId="10" numFmtId="4">
    <oc r="D15">
      <v>157.45998</v>
    </oc>
    <nc r="D15">
      <v>222.48514</v>
    </nc>
  </rcc>
  <rcc rId="9369" sId="10" numFmtId="34">
    <oc r="C58">
      <v>1295.0350000000001</v>
    </oc>
    <nc r="C58">
      <v>1481.6489999999999</v>
    </nc>
  </rcc>
  <rcc rId="9370" sId="10" numFmtId="34">
    <oc r="D58">
      <v>1035.23261</v>
    </oc>
    <nc r="D58">
      <v>1248.56061</v>
    </nc>
  </rcc>
  <rcc rId="9371" sId="10" numFmtId="34">
    <oc r="C63">
      <v>24.2</v>
    </oc>
    <nc r="C63">
      <v>31.2</v>
    </nc>
  </rcc>
  <rcc rId="9372" sId="10" numFmtId="34">
    <oc r="D65">
      <v>123.23358</v>
    </oc>
    <nc r="D65">
      <v>137.92158000000001</v>
    </nc>
  </rcc>
  <rcc rId="9373" sId="10" numFmtId="34">
    <oc r="D70">
      <v>8.15</v>
    </oc>
    <nc r="D70">
      <v>108.15</v>
    </nc>
  </rcc>
  <rcc rId="9374" sId="10" numFmtId="34">
    <oc r="D74">
      <v>90.861999999999995</v>
    </oc>
    <nc r="D74">
      <v>97.712000000000003</v>
    </nc>
  </rcc>
  <rcc rId="9375" sId="10" numFmtId="34">
    <oc r="D80">
      <v>941.95992999999999</v>
    </oc>
    <nc r="D80">
      <v>979.41004999999996</v>
    </nc>
  </rcc>
  <rcc rId="9376" sId="10" numFmtId="34">
    <oc r="C83">
      <v>1639.1</v>
    </oc>
    <nc r="C83">
      <v>1632.1</v>
    </nc>
  </rcc>
  <rcc rId="9377" sId="10" numFmtId="34">
    <oc r="D83">
      <v>676.94600000000003</v>
    </oc>
    <nc r="D83">
      <v>1122.9459999999999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10171" sId="1" numFmtId="4">
    <oc r="C24">
      <v>673985.15133999998</v>
    </oc>
    <nc r="C24">
      <v>699475.63326000003</v>
    </nc>
  </rcc>
  <rcc rId="10172" sId="1" numFmtId="4">
    <oc r="D24">
      <v>541325.32415999996</v>
    </oc>
    <nc r="D24">
      <v>567213.96137000003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c rId="10104" sId="3" numFmtId="4">
    <oc r="D75">
      <v>0</v>
    </oc>
    <nc r="D75" t="inlineStr">
      <is>
  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  </is>
    </nc>
  </rcc>
  <rcc rId="10105" sId="1">
    <oc r="A1" t="inlineStr">
      <is>
        <t>Анализ исполнения консолидированного бюджета Моргаушского районана 01.11.2019 г.</t>
      </is>
    </oc>
    <nc r="A1" t="inlineStr">
      <is>
        <t>Анализ исполнения консолидированного бюджета Моргаушского районана 01.12.2019 г.</t>
      </is>
    </nc>
  </rcc>
  <rcc rId="10106" sId="1">
    <oc r="D3" t="inlineStr">
      <is>
        <t>исполнено на 01.11.2019 г.</t>
      </is>
    </oc>
    <nc r="D3" t="inlineStr">
      <is>
        <t>исполнено на 01.12.2019 г.</t>
      </is>
    </nc>
  </rcc>
  <rcc rId="10107" sId="1">
    <oc r="G3" t="inlineStr">
      <is>
        <t>исполнено на 01.11.2019 г.</t>
      </is>
    </oc>
    <nc r="G3" t="inlineStr">
      <is>
        <t>исполнено на 01.12.2019 г.</t>
      </is>
    </nc>
  </rcc>
  <rcc rId="10108" sId="1">
    <oc r="J3" t="inlineStr">
      <is>
        <t>исполнено на 01.11.2019 г.</t>
      </is>
    </oc>
    <nc r="J3" t="inlineStr">
      <is>
        <t>исполнено на 01.12.2019 г.</t>
      </is>
    </nc>
  </rcc>
  <rcc rId="10109" sId="1" numFmtId="4">
    <oc r="C24">
      <v>631218.79119000002</v>
    </oc>
    <nc r="C24">
      <v>673985.15133999998</v>
    </nc>
  </rcc>
  <rcc rId="10110" sId="1" numFmtId="4">
    <oc r="D24">
      <v>463172.04554999998</v>
    </oc>
    <nc r="D24">
      <v>541325.32415999996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c rId="8757" sId="7">
    <oc r="D3" t="inlineStr">
      <is>
        <t>исполнен на 01.11.2019 г.</t>
      </is>
    </oc>
    <nc r="D3" t="inlineStr">
      <is>
        <t>исполнен на 01.12.2019 г.</t>
      </is>
    </nc>
  </rcc>
  <rcc rId="8758" sId="7">
    <oc r="A1" t="inlineStr">
      <is>
        <t xml:space="preserve">                     Анализ исполнения бюджета Кадикасинского сельского поселения на 01.11.2019 г.</t>
      </is>
    </oc>
    <nc r="A1" t="inlineStr">
      <is>
        <t xml:space="preserve">                     Анализ исполнения бюджета Кадикасинского сельского поселения на 01.12.2019 г.</t>
      </is>
    </nc>
  </rcc>
  <rcc rId="8759" sId="7">
    <oc r="D53" t="inlineStr">
      <is>
        <t>исполнено на 01.11.2019 г.</t>
      </is>
    </oc>
    <nc r="D53" t="inlineStr">
      <is>
        <t>исполнено на 01.12.2019 г.</t>
      </is>
    </nc>
  </rcc>
  <rcc rId="8760" sId="7" numFmtId="34">
    <oc r="D6">
      <v>369.06364000000002</v>
    </oc>
    <nc r="D6">
      <v>406.738</v>
    </nc>
  </rcc>
  <rcc rId="8761" sId="7" numFmtId="34">
    <oc r="D8">
      <v>326.93702000000002</v>
    </oc>
    <nc r="D8">
      <v>362.80876999999998</v>
    </nc>
  </rcc>
  <rcc rId="8762" sId="7" numFmtId="34">
    <oc r="D9">
      <v>2.4443899999999998</v>
    </oc>
    <nc r="D9">
      <v>2.6716500000000001</v>
    </nc>
  </rcc>
  <rcc rId="8763" sId="7" numFmtId="34">
    <oc r="D10">
      <v>444.51132999999999</v>
    </oc>
    <nc r="D10">
      <v>487.39157</v>
    </nc>
  </rcc>
  <rcc rId="8764" sId="7" numFmtId="4">
    <oc r="D11">
      <v>-52.485219999999998</v>
    </oc>
    <nc r="D11">
      <v>-54.640439999999998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.xml><?xml version="1.0" encoding="utf-8"?>
<revisions xmlns="http://schemas.openxmlformats.org/spreadsheetml/2006/main" xmlns:r="http://schemas.openxmlformats.org/officeDocument/2006/relationships">
  <rcc rId="9097" sId="8" numFmtId="4">
    <oc r="D6">
      <v>1448.57978</v>
    </oc>
    <nc r="D6">
      <v>1608.7408399999999</v>
    </nc>
  </rcc>
  <rcc rId="9098" sId="8" numFmtId="4">
    <oc r="D8">
      <v>161.49903</v>
    </oc>
    <nc r="D8">
      <v>179.21880999999999</v>
    </nc>
  </rcc>
  <rcc rId="9099" sId="8" numFmtId="4">
    <oc r="D9">
      <v>1.20747</v>
    </oc>
    <nc r="D9">
      <v>1.3197300000000001</v>
    </nc>
  </rcc>
  <rcc rId="9100" sId="8" numFmtId="4">
    <oc r="D10">
      <v>219.57786999999999</v>
    </oc>
    <nc r="D10">
      <v>240.75969000000001</v>
    </nc>
  </rcc>
  <rcc rId="9101" sId="8" numFmtId="4">
    <oc r="D11">
      <v>-25.926410000000001</v>
    </oc>
    <nc r="D11">
      <v>-26.991050000000001</v>
    </nc>
  </rcc>
  <rcc rId="9102" sId="8" numFmtId="4">
    <oc r="D15">
      <v>454.06540999999999</v>
    </oc>
    <nc r="D15">
      <v>629.47616000000005</v>
    </nc>
  </rcc>
  <rcc rId="9103" sId="8" numFmtId="4">
    <oc r="D16">
      <v>1053.0998300000001</v>
    </oc>
    <nc r="D16">
      <v>1200.2197200000001</v>
    </nc>
  </rcc>
  <rcc rId="9104" sId="8" numFmtId="4">
    <oc r="D35">
      <v>40.617159999999998</v>
    </oc>
    <nc r="D35">
      <v>83.611519999999999</v>
    </nc>
  </rcc>
  <rcc rId="9105" sId="8" numFmtId="4">
    <oc r="D37">
      <v>0.47188000000000002</v>
    </oc>
    <nc r="D37"/>
  </rcc>
  <rcc rId="9106" sId="8" numFmtId="4">
    <oc r="D41">
      <v>4063.2539999999999</v>
    </oc>
    <nc r="D41">
      <v>4375.4059999999999</v>
    </nc>
  </rcc>
  <rcc rId="9107" sId="8" numFmtId="4">
    <oc r="C43">
      <v>8982.5952799999995</v>
    </oc>
    <nc r="C43">
      <v>46310.69528</v>
    </nc>
  </rcc>
  <rcc rId="9108" sId="8" numFmtId="4">
    <oc r="D43">
      <v>5892.0989200000004</v>
    </oc>
    <nc r="D43">
      <v>8880.8487600000008</v>
    </nc>
  </rcc>
  <rfmt sheetId="8" sqref="C51">
    <dxf>
      <numFmt numFmtId="4" formatCode="#,##0.00"/>
    </dxf>
  </rfmt>
  <rfmt sheetId="8" sqref="C51">
    <dxf>
      <numFmt numFmtId="186" formatCode="#,##0.000"/>
    </dxf>
  </rfmt>
  <rfmt sheetId="8" sqref="C51">
    <dxf>
      <numFmt numFmtId="187" formatCode="#,##0.0000"/>
    </dxf>
  </rfmt>
  <rfmt sheetId="8" sqref="C51">
    <dxf>
      <numFmt numFmtId="172" formatCode="#,##0.00000"/>
    </dxf>
  </rfmt>
  <rfmt sheetId="8" sqref="C51">
    <dxf>
      <numFmt numFmtId="179" formatCode="#,##0.000000"/>
    </dxf>
  </rfmt>
  <rcc rId="9109" sId="8" numFmtId="4">
    <oc r="C46">
      <v>0</v>
    </oc>
    <nc r="C46">
      <v>76.400000000000006</v>
    </nc>
  </rcc>
  <rcc rId="9110" sId="8" numFmtId="34">
    <oc r="C58">
      <v>1775.1</v>
    </oc>
    <nc r="C58">
      <v>1996.287</v>
    </nc>
  </rcc>
  <rcc rId="9111" sId="8" numFmtId="34">
    <oc r="D58">
      <v>1513.6860200000001</v>
    </oc>
    <nc r="D58">
      <v>1704.8454899999999</v>
    </nc>
  </rcc>
  <rcc rId="9112" sId="8" numFmtId="34">
    <oc r="C63">
      <v>162.92699999999999</v>
    </oc>
    <nc r="C63">
      <v>142.92699999999999</v>
    </nc>
  </rcc>
  <rcc rId="9113" sId="8" numFmtId="34">
    <oc r="C69">
      <v>2.4</v>
    </oc>
    <nc r="C69">
      <v>0</v>
    </nc>
  </rcc>
  <rcc rId="9114" sId="8" numFmtId="34">
    <oc r="C70">
      <v>32</v>
    </oc>
    <nc r="C70">
      <v>2</v>
    </nc>
  </rcc>
  <rcc rId="9115" sId="8" numFmtId="34">
    <oc r="C74">
      <v>296.8</v>
    </oc>
    <nc r="C74">
      <v>441.8</v>
    </nc>
  </rcc>
  <rcc rId="9116" sId="8" numFmtId="34">
    <oc r="D75">
      <v>2657.39408</v>
    </oc>
    <nc r="D75">
      <v>3072.3610800000001</v>
    </nc>
  </rcc>
  <rcc rId="9117" sId="8" numFmtId="34">
    <oc r="C76">
      <v>315.536</v>
    </oc>
    <nc r="C76">
      <v>165.536</v>
    </nc>
  </rcc>
  <rcc rId="9118" sId="8" numFmtId="34">
    <oc r="C80">
      <v>9850.4578999999994</v>
    </oc>
    <nc r="C80">
      <v>47091.170899999997</v>
    </nc>
  </rcc>
  <rcc rId="9119" sId="8" numFmtId="34">
    <oc r="D80">
      <v>6437.2532099999999</v>
    </oc>
    <nc r="D80">
      <v>9103.6318100000008</v>
    </nc>
  </rcc>
  <rcc rId="9120" sId="8" numFmtId="34">
    <oc r="D82">
      <v>2678.75</v>
    </oc>
    <nc r="D82">
      <v>2990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.xml><?xml version="1.0" encoding="utf-8"?>
<revisions xmlns="http://schemas.openxmlformats.org/spreadsheetml/2006/main" xmlns:r="http://schemas.openxmlformats.org/officeDocument/2006/relationships">
  <rcc rId="9499" sId="11" numFmtId="4">
    <oc r="D28">
      <v>5.6448</v>
    </oc>
    <nc r="D28">
      <v>6.2092799999999997</v>
    </nc>
  </rcc>
  <rcc rId="9500" sId="11" numFmtId="4">
    <oc r="D41">
      <v>2480.8609999999999</v>
    </oc>
    <nc r="D41">
      <v>2671.4490000000001</v>
    </nc>
  </rcc>
  <rcc rId="9501" sId="11" numFmtId="4">
    <oc r="D44">
      <v>152</v>
    </oc>
    <nc r="D44">
      <v>167.05</v>
    </nc>
  </rcc>
  <rcc rId="9502" sId="11" numFmtId="4">
    <oc r="C48">
      <v>267</v>
    </oc>
    <nc r="C48">
      <v>286.053</v>
    </nc>
  </rcc>
  <rcc rId="9503" sId="11" numFmtId="34">
    <oc r="C58">
      <v>1348</v>
    </oc>
    <nc r="C58">
      <v>1367.0530000000001</v>
    </nc>
  </rcc>
  <rcc rId="9504" sId="11" numFmtId="34">
    <oc r="D58">
      <v>1040.864</v>
    </oc>
    <nc r="D58">
      <v>1126.57825</v>
    </nc>
  </rcc>
  <rcc rId="9505" sId="11" numFmtId="34">
    <oc r="C63">
      <v>33.506</v>
    </oc>
    <nc r="C63">
      <v>133.506</v>
    </nc>
  </rcc>
  <rcc rId="9506" sId="11" numFmtId="34">
    <oc r="D65">
      <v>138.179</v>
    </oc>
    <nc r="D65">
      <v>152.86555999999999</v>
    </nc>
  </rcc>
  <rcc rId="9507" sId="11" numFmtId="34">
    <oc r="C69">
      <v>5.7</v>
    </oc>
    <nc r="C69">
      <v>2.7040000000000002</v>
    </nc>
  </rcc>
  <rcc rId="9508" sId="11" numFmtId="34">
    <nc r="D71">
      <v>0</v>
    </nc>
  </rcc>
  <rcc rId="9509" sId="11" numFmtId="34">
    <oc r="C74">
      <v>250</v>
    </oc>
    <nc r="C74">
      <v>163.43299999999999</v>
    </nc>
  </rcc>
  <rcc rId="9510" sId="11" numFmtId="34">
    <oc r="C76">
      <v>250</v>
    </oc>
    <nc r="C76">
      <v>226.71899999999999</v>
    </nc>
  </rcc>
  <rcc rId="9511" sId="11" numFmtId="34">
    <oc r="C80">
      <v>728.46900000000005</v>
    </oc>
    <nc r="C80">
      <v>743.01300000000003</v>
    </nc>
  </rcc>
  <rcc rId="9512" sId="11" numFmtId="34">
    <oc r="D80">
      <v>556.02174000000002</v>
    </oc>
    <nc r="D80">
      <v>567.19781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Тор!$19:$24,Тор!$32:$34,Тор!$39:$39,Тор!$50:$50,Тор!$57:$57,Тор!$59:$60,Тор!$67:$68,Тор!$75:$75,Тор!$79:$80,Тор!$86:$87,Тор!$90:$96,Тор!$143:$143</formula>
    <oldFormula>Тор!$19:$24,Тор!$32:$34,Тор!$39:$39,Тор!$50:$50,Тор!$57:$57,Тор!$59:$60,Тор!$67:$68,Тор!$75:$75,Тор!$79:$80,Тор!$86:$87,Тор!$90:$96,Тор!$143:$143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.xml><?xml version="1.0" encoding="utf-8"?>
<revisions xmlns="http://schemas.openxmlformats.org/spreadsheetml/2006/main" xmlns:r="http://schemas.openxmlformats.org/officeDocument/2006/relationships">
  <rcc rId="10203" sId="1" numFmtId="4">
    <oc r="C32">
      <v>219593.68439000001</v>
    </oc>
    <nc r="C32">
      <v>214542.87721999999</v>
    </nc>
  </rcc>
  <rcc rId="10204" sId="1" numFmtId="4">
    <oc r="D32">
      <v>119828.82551</v>
    </oc>
    <nc r="D32">
      <v>192586.14913000001</v>
    </nc>
  </rcc>
  <rcc rId="10205" sId="1" numFmtId="4">
    <oc r="C33">
      <v>31361.46775</v>
    </oc>
    <nc r="C33">
      <v>68977.235639999999</v>
    </nc>
  </rcc>
  <rcc rId="10206" sId="1" numFmtId="4">
    <oc r="D33">
      <v>23855.252069999999</v>
    </oc>
    <nc r="D33">
      <v>27701.046549999999</v>
    </nc>
  </rcc>
  <rcc rId="10207" sId="1" numFmtId="4">
    <oc r="C36">
      <v>64547.202729999997</v>
    </oc>
    <nc r="C36">
      <v>64366.307079999999</v>
    </nc>
  </rcc>
  <rcc rId="10208" sId="1" numFmtId="4">
    <oc r="D36">
      <v>45857.955150000002</v>
    </oc>
    <nc r="D36">
      <v>50027.493990000003</v>
    </nc>
  </rcc>
  <rcc rId="10209" sId="1" numFmtId="4">
    <oc r="C37">
      <v>43881.366150000002</v>
    </oc>
    <nc r="C37">
      <v>42488.654000000002</v>
    </nc>
  </rcc>
  <rcc rId="10210" sId="1" numFmtId="4">
    <oc r="D37">
      <v>39290.125569999997</v>
    </oc>
    <nc r="D37">
      <v>40769.068630000002</v>
    </nc>
  </rcc>
  <rcc rId="10211" sId="1" numFmtId="4">
    <oc r="C38">
      <v>14899.59093</v>
    </oc>
    <nc r="C38">
      <v>7369.94614</v>
    </nc>
  </rcc>
  <rcc rId="10212" sId="1" numFmtId="4">
    <oc r="D38">
      <v>5638.2849500000002</v>
    </oc>
    <nc r="D38">
      <v>5673.8449499999997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1.xml><?xml version="1.0" encoding="utf-8"?>
<revisions xmlns="http://schemas.openxmlformats.org/spreadsheetml/2006/main" xmlns:r="http://schemas.openxmlformats.org/officeDocument/2006/relationships">
  <rcc rId="10035" sId="3" numFmtId="4">
    <oc r="D70">
      <v>11.5</v>
    </oc>
    <nc r="D70">
      <v>0</v>
    </nc>
  </rcc>
  <rcc rId="10036" sId="3" numFmtId="4">
    <oc r="D81">
      <v>-29113.691999999999</v>
    </oc>
    <nc r="D81">
      <v>-29130.881000000001</v>
    </nc>
  </rcc>
  <rcc rId="10037" sId="3" numFmtId="4">
    <oc r="C77">
      <v>181280.18410000001</v>
    </oc>
    <nc r="C77">
      <v>249830.94631999999</v>
    </nc>
  </rcc>
  <rcc rId="10038" sId="3" numFmtId="4">
    <oc r="D77">
      <v>97247.198810000002</v>
    </oc>
    <nc r="D77">
      <v>106036.05243</v>
    </nc>
  </rcc>
  <rcc rId="10039" sId="3" numFmtId="4">
    <oc r="C78">
      <v>347133.80709000002</v>
    </oc>
    <nc r="C78">
      <v>347994.19494000002</v>
    </nc>
  </rcc>
  <rcc rId="10040" sId="3" numFmtId="4">
    <oc r="D78">
      <v>286500.61932</v>
    </oc>
    <nc r="D78">
      <v>318385.59054</v>
    </nc>
  </rcc>
  <rcc rId="10041" sId="3" numFmtId="4">
    <oc r="C79">
      <v>89178.3</v>
    </oc>
    <nc r="C79">
      <v>88023.991999999998</v>
    </nc>
  </rcc>
  <rcc rId="10042" sId="3" numFmtId="4">
    <oc r="D79">
      <v>62212.547420000003</v>
    </oc>
    <nc r="D79">
      <v>126911.2524</v>
    </nc>
  </rcc>
  <rfmt sheetId="3" sqref="C83">
    <dxf>
      <numFmt numFmtId="2" formatCode="0.00"/>
    </dxf>
  </rfmt>
  <rfmt sheetId="3" sqref="C83">
    <dxf>
      <numFmt numFmtId="183" formatCode="0.000"/>
    </dxf>
  </rfmt>
  <rfmt sheetId="3" sqref="C83">
    <dxf>
      <numFmt numFmtId="174" formatCode="0.0000"/>
    </dxf>
  </rfmt>
  <rfmt sheetId="3" sqref="C83">
    <dxf>
      <numFmt numFmtId="168" formatCode="0.00000"/>
    </dxf>
  </rfmt>
  <rfmt sheetId="3" sqref="C83">
    <dxf>
      <numFmt numFmtId="173" formatCode="0.000000"/>
    </dxf>
  </rfmt>
  <rfmt sheetId="3" sqref="C83">
    <dxf>
      <numFmt numFmtId="177" formatCode="0.0000000"/>
    </dxf>
  </rfmt>
  <rfmt sheetId="3" sqref="C83">
    <dxf>
      <numFmt numFmtId="189" formatCode="0.00000000"/>
    </dxf>
  </rfmt>
  <rfmt sheetId="3" sqref="C83">
    <dxf>
      <numFmt numFmtId="177" formatCode="0.0000000"/>
    </dxf>
  </rfmt>
  <rfmt sheetId="3" sqref="C83">
    <dxf>
      <numFmt numFmtId="173" formatCode="0.000000"/>
    </dxf>
  </rfmt>
  <rcc rId="10043" sId="3" numFmtId="4">
    <oc r="D74">
      <v>22539.4</v>
    </oc>
    <nc r="D74">
      <v>25026.6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район!$17:$17,район!$20:$20,район!$27:$31,район!$35:$35,район!$38:$38,район!$50:$51,район!$55:$55,район!$57:$57,район!$62:$62,район!$99:$99,район!$106:$106,район!$134:$136,район!$139:$140</formula>
    <oldFormula>район!$17:$17,район!$20:$20,район!$27:$31,район!$35:$35,район!$38:$38,район!$50:$51,район!$55:$55,район!$57:$57,район!$62:$62,район!$99:$99,район!$106:$106,район!$134:$136,район!$139:$140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Иль!$19:$23,Иль!$34:$34,Иль!$39:$39,Иль!$58:$58,Иль!$60:$62,Иль!$68:$69,Иль!$78:$79,Иль!$81:$81,Иль!$86:$90,Иль!$93:$100,Иль!$143:$143</formula>
    <oldFormula>Иль!$19:$23,Иль!$34:$34,Иль!$39:$39,Иль!$58:$58,Иль!$60:$62,Иль!$68:$69,Иль!$78:$79,Иль!$81:$81,Иль!$86:$90,Иль!$93:$100,Иль!$143:$143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SheetLayoutView="80" workbookViewId="0">
      <selection activeCell="D19" sqref="D19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97" t="s">
        <v>444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123"/>
      <c r="M1" s="123"/>
      <c r="N1" s="123"/>
      <c r="O1" s="123"/>
    </row>
    <row r="2" spans="1:15" ht="33.75" customHeight="1">
      <c r="A2" s="495" t="s">
        <v>180</v>
      </c>
      <c r="B2" s="496" t="s">
        <v>181</v>
      </c>
      <c r="C2" s="492" t="s">
        <v>182</v>
      </c>
      <c r="D2" s="493"/>
      <c r="E2" s="493"/>
      <c r="F2" s="492" t="s">
        <v>183</v>
      </c>
      <c r="G2" s="493"/>
      <c r="H2" s="493"/>
      <c r="I2" s="492" t="s">
        <v>184</v>
      </c>
      <c r="J2" s="493"/>
      <c r="K2" s="498"/>
    </row>
    <row r="3" spans="1:15" ht="53.25" customHeight="1">
      <c r="A3" s="495"/>
      <c r="B3" s="496"/>
      <c r="C3" s="78" t="s">
        <v>410</v>
      </c>
      <c r="D3" s="78" t="s">
        <v>422</v>
      </c>
      <c r="E3" s="138" t="s">
        <v>331</v>
      </c>
      <c r="F3" s="78" t="s">
        <v>410</v>
      </c>
      <c r="G3" s="78" t="s">
        <v>422</v>
      </c>
      <c r="H3" s="138" t="s">
        <v>331</v>
      </c>
      <c r="I3" s="78" t="s">
        <v>410</v>
      </c>
      <c r="J3" s="78" t="s">
        <v>422</v>
      </c>
      <c r="K3" s="78" t="s">
        <v>331</v>
      </c>
    </row>
    <row r="4" spans="1:15" s="80" customFormat="1" ht="30.75" customHeight="1">
      <c r="A4" s="79" t="s">
        <v>4</v>
      </c>
      <c r="B4" s="76"/>
      <c r="C4" s="201">
        <f>SUM(C5:C13)</f>
        <v>174887.53429000001</v>
      </c>
      <c r="D4" s="201">
        <f>SUM(D5:D13)</f>
        <v>153850.68145999999</v>
      </c>
      <c r="E4" s="201">
        <f>D4/C4*100</f>
        <v>87.971210803900675</v>
      </c>
      <c r="F4" s="201">
        <f>SUM(F5:F13)</f>
        <v>138350.342</v>
      </c>
      <c r="G4" s="201">
        <f>SUM(G5:G13)</f>
        <v>120741.73881</v>
      </c>
      <c r="H4" s="201">
        <f>G4/F4*100</f>
        <v>87.272454165671661</v>
      </c>
      <c r="I4" s="201">
        <f>I5+I7+I6+I8+I10+I11+I12+I13</f>
        <v>36537.192289999999</v>
      </c>
      <c r="J4" s="201">
        <f>J5+J6+J7+J8+J10+J11+J12+J13</f>
        <v>33108.942649999997</v>
      </c>
      <c r="K4" s="201">
        <f>J4/I4*100</f>
        <v>90.617096100900199</v>
      </c>
    </row>
    <row r="5" spans="1:15" ht="27" customHeight="1">
      <c r="A5" s="81" t="s">
        <v>185</v>
      </c>
      <c r="B5" s="77">
        <v>10102</v>
      </c>
      <c r="C5" s="202">
        <f t="shared" ref="C5:D8" si="0">F5+I5</f>
        <v>120519</v>
      </c>
      <c r="D5" s="202">
        <f t="shared" si="0"/>
        <v>102595.3178</v>
      </c>
      <c r="E5" s="203">
        <f t="shared" ref="E5:E12" si="1">D5/C5*100</f>
        <v>85.12791991304276</v>
      </c>
      <c r="F5" s="202">
        <f>район!C5</f>
        <v>115207.3</v>
      </c>
      <c r="G5" s="202">
        <f>район!D5</f>
        <v>97855.622820000004</v>
      </c>
      <c r="H5" s="203">
        <f t="shared" ref="H5:H41" si="2">G5/F5*100</f>
        <v>84.938734628795217</v>
      </c>
      <c r="I5" s="202">
        <f>Справка!I31</f>
        <v>5311.6999999999989</v>
      </c>
      <c r="J5" s="202">
        <f>Справка!J31</f>
        <v>4739.6949800000002</v>
      </c>
      <c r="K5" s="203">
        <f t="shared" ref="K5:K12" si="3">J5/I5*100</f>
        <v>89.23122503153418</v>
      </c>
    </row>
    <row r="6" spans="1:15" ht="41.25" customHeight="1">
      <c r="A6" s="81" t="s">
        <v>283</v>
      </c>
      <c r="B6" s="77">
        <v>10300</v>
      </c>
      <c r="C6" s="202">
        <f t="shared" si="0"/>
        <v>13505.805</v>
      </c>
      <c r="D6" s="202">
        <f t="shared" si="0"/>
        <v>14019.544479999999</v>
      </c>
      <c r="E6" s="203">
        <f t="shared" si="1"/>
        <v>103.80384197757925</v>
      </c>
      <c r="F6" s="202">
        <f>район!C7</f>
        <v>5331.89</v>
      </c>
      <c r="G6" s="202">
        <f>район!D7</f>
        <v>4899.9883800000007</v>
      </c>
      <c r="H6" s="203">
        <f t="shared" si="2"/>
        <v>91.899652468449275</v>
      </c>
      <c r="I6" s="202">
        <f>Справка!L31+Справка!R31+Справка!O31</f>
        <v>8173.915</v>
      </c>
      <c r="J6" s="202">
        <f>Справка!M31+Справка!S31+Справка!P31+Справка!V31</f>
        <v>9119.556099999998</v>
      </c>
      <c r="K6" s="203">
        <f t="shared" si="3"/>
        <v>111.5690106882687</v>
      </c>
    </row>
    <row r="7" spans="1:15" ht="19.5" customHeight="1">
      <c r="A7" s="81" t="s">
        <v>186</v>
      </c>
      <c r="B7" s="77">
        <v>10500</v>
      </c>
      <c r="C7" s="202">
        <f t="shared" si="0"/>
        <v>12075.352000000001</v>
      </c>
      <c r="D7" s="202">
        <f t="shared" si="0"/>
        <v>12507.2289</v>
      </c>
      <c r="E7" s="203">
        <f t="shared" si="1"/>
        <v>103.57651603034014</v>
      </c>
      <c r="F7" s="202">
        <f>район!C12</f>
        <v>11561.152</v>
      </c>
      <c r="G7" s="202">
        <f>район!D12</f>
        <v>11924.001539999999</v>
      </c>
      <c r="H7" s="203">
        <f t="shared" si="2"/>
        <v>103.13852408479708</v>
      </c>
      <c r="I7" s="202">
        <f>Справка!X31</f>
        <v>514.20000000000005</v>
      </c>
      <c r="J7" s="202">
        <f>Справка!Y31</f>
        <v>583.22735999999998</v>
      </c>
      <c r="K7" s="203">
        <f t="shared" si="3"/>
        <v>113.42422403733954</v>
      </c>
    </row>
    <row r="8" spans="1:15" ht="19.5" customHeight="1">
      <c r="A8" s="81" t="s">
        <v>187</v>
      </c>
      <c r="B8" s="77">
        <v>10601</v>
      </c>
      <c r="C8" s="202">
        <f t="shared" si="0"/>
        <v>4671</v>
      </c>
      <c r="D8" s="202">
        <f t="shared" si="0"/>
        <v>3854.9261699999997</v>
      </c>
      <c r="E8" s="203">
        <f t="shared" si="1"/>
        <v>82.528926782273587</v>
      </c>
      <c r="F8" s="202"/>
      <c r="G8" s="202"/>
      <c r="H8" s="203"/>
      <c r="I8" s="202">
        <f>Справка!AA31</f>
        <v>4671</v>
      </c>
      <c r="J8" s="202">
        <f>Справка!AB31</f>
        <v>3854.9261699999997</v>
      </c>
      <c r="K8" s="203">
        <f t="shared" si="3"/>
        <v>82.528926782273587</v>
      </c>
    </row>
    <row r="9" spans="1:15" ht="19.5" customHeight="1">
      <c r="A9" s="81" t="s">
        <v>284</v>
      </c>
      <c r="B9" s="77">
        <v>10604</v>
      </c>
      <c r="C9" s="202">
        <f>F9</f>
        <v>2150</v>
      </c>
      <c r="D9" s="202">
        <f>G9</f>
        <v>2030.06996</v>
      </c>
      <c r="E9" s="203">
        <f t="shared" si="1"/>
        <v>94.421858604651163</v>
      </c>
      <c r="F9" s="202">
        <f>район!C16</f>
        <v>2150</v>
      </c>
      <c r="G9" s="202">
        <f>район!D19</f>
        <v>2030.06996</v>
      </c>
      <c r="H9" s="203">
        <f t="shared" si="2"/>
        <v>94.421858604651163</v>
      </c>
      <c r="I9" s="202"/>
      <c r="J9" s="202"/>
      <c r="K9" s="203"/>
    </row>
    <row r="10" spans="1:15" ht="19.5" customHeight="1">
      <c r="A10" s="81" t="s">
        <v>188</v>
      </c>
      <c r="B10" s="77">
        <v>10606</v>
      </c>
      <c r="C10" s="202">
        <f t="shared" ref="C10:D13" si="4">F10+I10</f>
        <v>17719.37729</v>
      </c>
      <c r="D10" s="202">
        <f t="shared" si="4"/>
        <v>14695.27304</v>
      </c>
      <c r="E10" s="203">
        <f t="shared" si="1"/>
        <v>82.933349177531952</v>
      </c>
      <c r="F10" s="202"/>
      <c r="G10" s="202"/>
      <c r="H10" s="203">
        <v>0</v>
      </c>
      <c r="I10" s="202">
        <f>Справка!AD31</f>
        <v>17719.37729</v>
      </c>
      <c r="J10" s="202">
        <f>Справка!AE31</f>
        <v>14695.27304</v>
      </c>
      <c r="K10" s="203">
        <f t="shared" si="3"/>
        <v>82.933349177531952</v>
      </c>
    </row>
    <row r="11" spans="1:15" ht="33.75" customHeight="1">
      <c r="A11" s="81" t="s">
        <v>189</v>
      </c>
      <c r="B11" s="77">
        <v>10701</v>
      </c>
      <c r="C11" s="202">
        <f t="shared" si="4"/>
        <v>1400</v>
      </c>
      <c r="D11" s="202">
        <f t="shared" si="4"/>
        <v>1533.67929</v>
      </c>
      <c r="E11" s="203">
        <f t="shared" si="1"/>
        <v>109.54852071428571</v>
      </c>
      <c r="F11" s="202">
        <f>район!C21</f>
        <v>1400</v>
      </c>
      <c r="G11" s="202">
        <f>район!D21</f>
        <v>1533.67929</v>
      </c>
      <c r="H11" s="203">
        <f t="shared" si="2"/>
        <v>109.54852071428571</v>
      </c>
      <c r="I11" s="202"/>
      <c r="J11" s="202"/>
      <c r="K11" s="203">
        <v>0</v>
      </c>
    </row>
    <row r="12" spans="1:15" ht="19.5" customHeight="1">
      <c r="A12" s="81" t="s">
        <v>190</v>
      </c>
      <c r="B12" s="77">
        <v>10800</v>
      </c>
      <c r="C12" s="202">
        <f t="shared" si="4"/>
        <v>2847</v>
      </c>
      <c r="D12" s="202">
        <f t="shared" si="4"/>
        <v>2614.6418199999998</v>
      </c>
      <c r="E12" s="203">
        <f t="shared" si="1"/>
        <v>91.838490340709512</v>
      </c>
      <c r="F12" s="202">
        <f>район!C23</f>
        <v>2700</v>
      </c>
      <c r="G12" s="202">
        <f>район!D23</f>
        <v>2498.37682</v>
      </c>
      <c r="H12" s="203">
        <f t="shared" si="2"/>
        <v>92.532474814814819</v>
      </c>
      <c r="I12" s="202">
        <f>Справка!AG31</f>
        <v>147</v>
      </c>
      <c r="J12" s="202">
        <f>Справка!AH31</f>
        <v>116.265</v>
      </c>
      <c r="K12" s="203">
        <f t="shared" si="3"/>
        <v>79.091836734693871</v>
      </c>
    </row>
    <row r="13" spans="1:15" ht="19.5" customHeight="1">
      <c r="A13" s="81" t="s">
        <v>191</v>
      </c>
      <c r="B13" s="77">
        <v>10900</v>
      </c>
      <c r="C13" s="202">
        <f t="shared" si="4"/>
        <v>0</v>
      </c>
      <c r="D13" s="202">
        <f t="shared" si="4"/>
        <v>0</v>
      </c>
      <c r="E13" s="203"/>
      <c r="F13" s="202">
        <f>район!C27</f>
        <v>0</v>
      </c>
      <c r="G13" s="202">
        <f>район!D27</f>
        <v>0</v>
      </c>
      <c r="H13" s="203"/>
      <c r="I13" s="202">
        <f>Справка!AJ31</f>
        <v>0</v>
      </c>
      <c r="J13" s="202">
        <f>Справка!AK31</f>
        <v>0</v>
      </c>
      <c r="K13" s="203"/>
    </row>
    <row r="14" spans="1:15" s="80" customFormat="1" ht="20.25" customHeight="1">
      <c r="A14" s="79" t="s">
        <v>12</v>
      </c>
      <c r="B14" s="76"/>
      <c r="C14" s="201">
        <f>SUM(C15:C21)</f>
        <v>28980.37628</v>
      </c>
      <c r="D14" s="201">
        <f>SUM(D15:D21)</f>
        <v>23543.515350000001</v>
      </c>
      <c r="E14" s="201">
        <f t="shared" ref="E14:E39" si="5">D14/C14*100</f>
        <v>81.239508840497365</v>
      </c>
      <c r="F14" s="201">
        <f>F15+F16+F17+F18+F20+F21+F19</f>
        <v>25681.599999999999</v>
      </c>
      <c r="G14" s="201">
        <f>G15+G16+G17+G18+G20+G21+G19</f>
        <v>20282.671330000001</v>
      </c>
      <c r="H14" s="201">
        <f t="shared" si="2"/>
        <v>78.977444279172644</v>
      </c>
      <c r="I14" s="204">
        <f>I15+I16+I17+I18+I20+I21+I26</f>
        <v>3298.7762800000005</v>
      </c>
      <c r="J14" s="204">
        <f>J15+J16+J17+J18+J20+J21+J26</f>
        <v>3260.8440199999991</v>
      </c>
      <c r="K14" s="201">
        <f>J14/I14*100</f>
        <v>98.850111169102945</v>
      </c>
    </row>
    <row r="15" spans="1:15" ht="52.5" customHeight="1">
      <c r="A15" s="81" t="s">
        <v>192</v>
      </c>
      <c r="B15" s="77">
        <v>11100</v>
      </c>
      <c r="C15" s="202">
        <f t="shared" ref="C15:D22" si="6">F15+I15</f>
        <v>11399.2</v>
      </c>
      <c r="D15" s="202">
        <f t="shared" si="6"/>
        <v>11677.811300000001</v>
      </c>
      <c r="E15" s="202">
        <f t="shared" si="5"/>
        <v>102.44413028984492</v>
      </c>
      <c r="F15" s="202">
        <f>район!C33</f>
        <v>9391.6</v>
      </c>
      <c r="G15" s="202">
        <f>район!D33</f>
        <v>9631.2431100000013</v>
      </c>
      <c r="H15" s="202">
        <f t="shared" si="2"/>
        <v>102.55167500745348</v>
      </c>
      <c r="I15" s="202">
        <f>Справка!AP31+Справка!AS31+Справка!AM31</f>
        <v>2007.6000000000001</v>
      </c>
      <c r="J15" s="202">
        <f>Справка!AQ31+Справка!AT31+Справка!AN31</f>
        <v>2046.56819</v>
      </c>
      <c r="K15" s="203">
        <f>J15/I15*100</f>
        <v>101.94103357242477</v>
      </c>
    </row>
    <row r="16" spans="1:15" ht="33" customHeight="1">
      <c r="A16" s="81" t="s">
        <v>193</v>
      </c>
      <c r="B16" s="77">
        <v>11200</v>
      </c>
      <c r="C16" s="202">
        <f t="shared" si="6"/>
        <v>600</v>
      </c>
      <c r="D16" s="202">
        <f t="shared" si="6"/>
        <v>445.91152</v>
      </c>
      <c r="E16" s="202">
        <f t="shared" si="5"/>
        <v>74.318586666666661</v>
      </c>
      <c r="F16" s="202">
        <f>район!C42</f>
        <v>600</v>
      </c>
      <c r="G16" s="202">
        <f>район!D42</f>
        <v>445.91152</v>
      </c>
      <c r="H16" s="202">
        <f t="shared" si="2"/>
        <v>74.318586666666661</v>
      </c>
      <c r="I16" s="202">
        <v>0</v>
      </c>
      <c r="J16" s="202">
        <v>0</v>
      </c>
      <c r="K16" s="203">
        <v>0</v>
      </c>
    </row>
    <row r="17" spans="1:13" ht="33" customHeight="1">
      <c r="A17" s="81" t="s">
        <v>194</v>
      </c>
      <c r="B17" s="77">
        <v>11300</v>
      </c>
      <c r="C17" s="202">
        <f t="shared" si="6"/>
        <v>843</v>
      </c>
      <c r="D17" s="202">
        <f>G17+J17</f>
        <v>2535.3331399999997</v>
      </c>
      <c r="E17" s="202">
        <f>D17/C17*100</f>
        <v>300.75126215895608</v>
      </c>
      <c r="F17" s="202">
        <f>район!C44</f>
        <v>0</v>
      </c>
      <c r="G17" s="202">
        <f>район!D44</f>
        <v>1618.9607900000001</v>
      </c>
      <c r="H17" s="202" t="e">
        <f t="shared" si="2"/>
        <v>#DIV/0!</v>
      </c>
      <c r="I17" s="202">
        <f>Справка!AY31</f>
        <v>843</v>
      </c>
      <c r="J17" s="202">
        <f>Справка!AZ31</f>
        <v>916.37234999999987</v>
      </c>
      <c r="K17" s="203">
        <f>J17/I17*100</f>
        <v>108.70371886120995</v>
      </c>
    </row>
    <row r="18" spans="1:13" ht="33" customHeight="1">
      <c r="A18" s="81" t="s">
        <v>195</v>
      </c>
      <c r="B18" s="77">
        <v>11400</v>
      </c>
      <c r="C18" s="202">
        <f t="shared" si="6"/>
        <v>10748.17628</v>
      </c>
      <c r="D18" s="202">
        <f t="shared" si="6"/>
        <v>4142.7128299999995</v>
      </c>
      <c r="E18" s="202">
        <f t="shared" si="5"/>
        <v>38.543402360349077</v>
      </c>
      <c r="F18" s="202">
        <f>район!C47</f>
        <v>10300</v>
      </c>
      <c r="G18" s="202">
        <f>район!D47</f>
        <v>4132.1558299999997</v>
      </c>
      <c r="H18" s="202">
        <f t="shared" si="2"/>
        <v>40.118017766990292</v>
      </c>
      <c r="I18" s="202">
        <f>Справка!BE31</f>
        <v>448.17627999999996</v>
      </c>
      <c r="J18" s="202">
        <f>Справка!BF31</f>
        <v>10.557</v>
      </c>
      <c r="K18" s="203">
        <f>J18/I18*100</f>
        <v>2.3555463488607655</v>
      </c>
    </row>
    <row r="19" spans="1:13" ht="23.25" customHeight="1">
      <c r="A19" s="81" t="s">
        <v>250</v>
      </c>
      <c r="B19" s="77">
        <v>11500</v>
      </c>
      <c r="C19" s="202">
        <f t="shared" si="6"/>
        <v>0</v>
      </c>
      <c r="D19" s="202">
        <f t="shared" si="6"/>
        <v>0</v>
      </c>
      <c r="E19" s="202"/>
      <c r="F19" s="202">
        <f>район!C50</f>
        <v>0</v>
      </c>
      <c r="G19" s="202">
        <f>район!D50</f>
        <v>0</v>
      </c>
      <c r="H19" s="202"/>
      <c r="I19" s="202"/>
      <c r="J19" s="202"/>
      <c r="K19" s="203"/>
    </row>
    <row r="20" spans="1:13" ht="22.5" customHeight="1">
      <c r="A20" s="81" t="s">
        <v>196</v>
      </c>
      <c r="B20" s="77">
        <v>11600</v>
      </c>
      <c r="C20" s="202">
        <f t="shared" si="6"/>
        <v>5390</v>
      </c>
      <c r="D20" s="202">
        <f t="shared" si="6"/>
        <v>4746.3965599999992</v>
      </c>
      <c r="E20" s="202">
        <f t="shared" si="5"/>
        <v>88.059305380333939</v>
      </c>
      <c r="F20" s="202">
        <f>район!C52</f>
        <v>5390</v>
      </c>
      <c r="G20" s="202">
        <f>район!D52</f>
        <v>4454.4000799999994</v>
      </c>
      <c r="H20" s="202">
        <f t="shared" si="2"/>
        <v>82.641930983302402</v>
      </c>
      <c r="I20" s="202">
        <f>Справка!BN31</f>
        <v>0</v>
      </c>
      <c r="J20" s="202">
        <f>Справка!BO31</f>
        <v>291.99648000000002</v>
      </c>
      <c r="K20" s="203">
        <v>0</v>
      </c>
    </row>
    <row r="21" spans="1:13" ht="24" customHeight="1">
      <c r="A21" s="81" t="s">
        <v>197</v>
      </c>
      <c r="B21" s="77">
        <v>11700</v>
      </c>
      <c r="C21" s="202">
        <f t="shared" si="6"/>
        <v>0</v>
      </c>
      <c r="D21" s="202">
        <f t="shared" si="6"/>
        <v>-4.6500000000000004</v>
      </c>
      <c r="E21" s="202"/>
      <c r="F21" s="202">
        <f>район!C69</f>
        <v>0</v>
      </c>
      <c r="G21" s="202">
        <f>район!D69</f>
        <v>0</v>
      </c>
      <c r="H21" s="202"/>
      <c r="I21" s="202">
        <f>Справка!BQ31</f>
        <v>0</v>
      </c>
      <c r="J21" s="202">
        <f>Справка!BR31</f>
        <v>-4.6500000000000004</v>
      </c>
      <c r="K21" s="203">
        <v>0</v>
      </c>
    </row>
    <row r="22" spans="1:13" ht="45.75" hidden="1" customHeight="1">
      <c r="A22" s="79" t="s">
        <v>198</v>
      </c>
      <c r="B22" s="76">
        <v>30000</v>
      </c>
      <c r="C22" s="201">
        <f t="shared" si="6"/>
        <v>0</v>
      </c>
      <c r="D22" s="201">
        <f t="shared" si="6"/>
        <v>0</v>
      </c>
      <c r="E22" s="201"/>
      <c r="F22" s="201">
        <v>0</v>
      </c>
      <c r="G22" s="201">
        <v>0</v>
      </c>
      <c r="H22" s="201"/>
      <c r="I22" s="201">
        <v>0</v>
      </c>
      <c r="J22" s="201">
        <v>0</v>
      </c>
      <c r="K22" s="201"/>
    </row>
    <row r="23" spans="1:13" ht="29.25" customHeight="1">
      <c r="A23" s="79" t="s">
        <v>18</v>
      </c>
      <c r="B23" s="76">
        <v>10000</v>
      </c>
      <c r="C23" s="204">
        <f>SUM(C4,C14,C22,)</f>
        <v>203867.91057000001</v>
      </c>
      <c r="D23" s="204">
        <f>SUM(D4,D14,)</f>
        <v>177394.19680999999</v>
      </c>
      <c r="E23" s="201">
        <f t="shared" si="5"/>
        <v>87.014281116639978</v>
      </c>
      <c r="F23" s="204">
        <f>SUM(F4,F14,)</f>
        <v>164031.94200000001</v>
      </c>
      <c r="G23" s="204">
        <f>SUM(G4,G14,G22)</f>
        <v>141024.41013999999</v>
      </c>
      <c r="H23" s="201">
        <f t="shared" si="2"/>
        <v>85.973749027491237</v>
      </c>
      <c r="I23" s="204">
        <f>I4+I14</f>
        <v>39835.968569999997</v>
      </c>
      <c r="J23" s="204">
        <f>J4+J14</f>
        <v>36369.786669999994</v>
      </c>
      <c r="K23" s="201">
        <f>J23/I23*100</f>
        <v>91.298863754475533</v>
      </c>
    </row>
    <row r="24" spans="1:13" ht="32.25" customHeight="1">
      <c r="A24" s="79" t="s">
        <v>199</v>
      </c>
      <c r="B24" s="76">
        <v>20200</v>
      </c>
      <c r="C24" s="205">
        <v>699475.63326000003</v>
      </c>
      <c r="D24" s="205">
        <v>567213.96137000003</v>
      </c>
      <c r="E24" s="204">
        <f t="shared" si="5"/>
        <v>81.091311033441329</v>
      </c>
      <c r="F24" s="204">
        <f>район!C73</f>
        <v>694425.83325999998</v>
      </c>
      <c r="G24" s="204">
        <f>район!D73</f>
        <v>557332.11436999997</v>
      </c>
      <c r="H24" s="201">
        <f t="shared" si="2"/>
        <v>80.257975391495734</v>
      </c>
      <c r="I24" s="204">
        <f>Справка!BZ31</f>
        <v>140439.33404000002</v>
      </c>
      <c r="J24" s="204">
        <f>Справка!CA31</f>
        <v>88494.147520000013</v>
      </c>
      <c r="K24" s="201">
        <f t="shared" ref="K24:K38" si="7">J24/I24*100</f>
        <v>63.012366246905628</v>
      </c>
    </row>
    <row r="25" spans="1:13" ht="33" customHeight="1">
      <c r="A25" s="79" t="s">
        <v>302</v>
      </c>
      <c r="B25" s="76">
        <v>20700</v>
      </c>
      <c r="C25" s="206">
        <f>F25+I25</f>
        <v>3550.0180800000003</v>
      </c>
      <c r="D25" s="206">
        <f>G25+J25</f>
        <v>3242.24379</v>
      </c>
      <c r="E25" s="204">
        <f t="shared" si="5"/>
        <v>91.330345844323119</v>
      </c>
      <c r="F25" s="204"/>
      <c r="G25" s="204"/>
      <c r="H25" s="201"/>
      <c r="I25" s="204">
        <f>Справка!CR31</f>
        <v>3550.0180800000003</v>
      </c>
      <c r="J25" s="204">
        <f>Справка!CS31</f>
        <v>3242.24379</v>
      </c>
      <c r="K25" s="201">
        <f t="shared" si="7"/>
        <v>91.330345844323119</v>
      </c>
    </row>
    <row r="26" spans="1:13" ht="33" customHeight="1">
      <c r="A26" s="79" t="s">
        <v>262</v>
      </c>
      <c r="B26" s="77">
        <v>21900</v>
      </c>
      <c r="C26" s="206">
        <f>F26+I26</f>
        <v>-29040.5</v>
      </c>
      <c r="D26" s="206">
        <f>G26+J26</f>
        <v>-29130.881000000001</v>
      </c>
      <c r="E26" s="204"/>
      <c r="F26" s="203">
        <f>район!C81</f>
        <v>-29040.5</v>
      </c>
      <c r="G26" s="203">
        <f>район!D81</f>
        <v>-29130.881000000001</v>
      </c>
      <c r="H26" s="201"/>
      <c r="I26" s="203">
        <v>0</v>
      </c>
      <c r="J26" s="203">
        <v>0</v>
      </c>
      <c r="K26" s="203">
        <v>0</v>
      </c>
      <c r="L26" s="83"/>
    </row>
    <row r="27" spans="1:13" ht="29.25" customHeight="1">
      <c r="A27" s="76" t="s">
        <v>200</v>
      </c>
      <c r="B27" s="76"/>
      <c r="C27" s="208">
        <f>C24+C23+C26+C25</f>
        <v>877853.06191000005</v>
      </c>
      <c r="D27" s="208">
        <f>D24+D23+D26+D25</f>
        <v>718719.52096999995</v>
      </c>
      <c r="E27" s="208">
        <f t="shared" si="5"/>
        <v>81.872417168112023</v>
      </c>
      <c r="F27" s="208">
        <f>F24+F23</f>
        <v>858457.77526000002</v>
      </c>
      <c r="G27" s="208">
        <f>G24+G23</f>
        <v>698356.5245099999</v>
      </c>
      <c r="H27" s="208">
        <f t="shared" si="2"/>
        <v>81.350130971612373</v>
      </c>
      <c r="I27" s="208">
        <f>I24+I23</f>
        <v>180275.30261000001</v>
      </c>
      <c r="J27" s="208">
        <f>J24+J23</f>
        <v>124863.93419</v>
      </c>
      <c r="K27" s="207">
        <f t="shared" si="7"/>
        <v>69.262917539029388</v>
      </c>
      <c r="L27" s="95"/>
      <c r="M27" s="83"/>
    </row>
    <row r="28" spans="1:13" ht="29.25" customHeight="1">
      <c r="A28" s="76" t="s">
        <v>201</v>
      </c>
      <c r="B28" s="76"/>
      <c r="C28" s="208">
        <f>C29+C30+C31+C32+C33+C34+C35+C36+C37+C41+C38+C39+C40</f>
        <v>921614.64023999998</v>
      </c>
      <c r="D28" s="208">
        <f>SUM(D29:D41)</f>
        <v>746414.76620000007</v>
      </c>
      <c r="E28" s="208">
        <f t="shared" si="5"/>
        <v>80.989898989194046</v>
      </c>
      <c r="F28" s="208">
        <f>SUM(F29+F30+F31+F32+F33+F34+F35+F36+F37+F38+F39+F40+F41)</f>
        <v>894623.05582999985</v>
      </c>
      <c r="G28" s="208">
        <f>SUM(G29:G41)</f>
        <v>728068.85525000002</v>
      </c>
      <c r="H28" s="208">
        <f t="shared" si="2"/>
        <v>81.38275114925618</v>
      </c>
      <c r="I28" s="208">
        <f>I29+I30+I31+I32+I33+I34+I35+I36+I37+I38+I39+I40+I41</f>
        <v>187871.60037</v>
      </c>
      <c r="J28" s="208">
        <f>J29+J30+J31+J32+J33+J34+J35+J36+J37+J38+J39+J40+J41</f>
        <v>122846.84868000002</v>
      </c>
      <c r="K28" s="207">
        <f t="shared" si="7"/>
        <v>65.388727427701539</v>
      </c>
      <c r="L28" s="95"/>
    </row>
    <row r="29" spans="1:13" ht="30.75" customHeight="1">
      <c r="A29" s="81" t="s">
        <v>202</v>
      </c>
      <c r="B29" s="82" t="s">
        <v>29</v>
      </c>
      <c r="C29" s="269">
        <f>F29+I29</f>
        <v>79919.543650000007</v>
      </c>
      <c r="D29" s="269">
        <f>G29+J29</f>
        <v>58950.618300000002</v>
      </c>
      <c r="E29" s="210">
        <f t="shared" si="5"/>
        <v>73.762456099810322</v>
      </c>
      <c r="F29" s="202">
        <f>район!C88</f>
        <v>56108.770759999999</v>
      </c>
      <c r="G29" s="210">
        <f>район!D88</f>
        <v>39556.961469999995</v>
      </c>
      <c r="H29" s="211">
        <f t="shared" si="2"/>
        <v>70.500495616275728</v>
      </c>
      <c r="I29" s="211">
        <f>Справка!DJ31</f>
        <v>23810.772890000004</v>
      </c>
      <c r="J29" s="211">
        <f>Справка!DK31</f>
        <v>19393.656830000004</v>
      </c>
      <c r="K29" s="211">
        <f t="shared" si="7"/>
        <v>81.44908575456158</v>
      </c>
    </row>
    <row r="30" spans="1:13" ht="30.75" customHeight="1">
      <c r="A30" s="81" t="s">
        <v>203</v>
      </c>
      <c r="B30" s="82" t="s">
        <v>45</v>
      </c>
      <c r="C30" s="206">
        <f>I30</f>
        <v>2158.6999999999998</v>
      </c>
      <c r="D30" s="206">
        <f>J30</f>
        <v>1767.7562999999998</v>
      </c>
      <c r="E30" s="210">
        <f t="shared" si="5"/>
        <v>81.889855005327277</v>
      </c>
      <c r="F30" s="202">
        <f>район!C96</f>
        <v>2158.6999999999998</v>
      </c>
      <c r="G30" s="210">
        <f>район!D96</f>
        <v>1978.8</v>
      </c>
      <c r="H30" s="211">
        <f t="shared" si="2"/>
        <v>91.666280631861781</v>
      </c>
      <c r="I30" s="211">
        <f>Справка!DY31</f>
        <v>2158.6999999999998</v>
      </c>
      <c r="J30" s="211">
        <f>Справка!DZ31</f>
        <v>1767.7562999999998</v>
      </c>
      <c r="K30" s="211">
        <f t="shared" si="7"/>
        <v>81.889855005327277</v>
      </c>
    </row>
    <row r="31" spans="1:13" ht="33" customHeight="1">
      <c r="A31" s="81" t="s">
        <v>204</v>
      </c>
      <c r="B31" s="82" t="s">
        <v>49</v>
      </c>
      <c r="C31" s="269">
        <f>F31+I31</f>
        <v>14562.094879999999</v>
      </c>
      <c r="D31" s="269">
        <f>G31+J31</f>
        <v>10845.268400000001</v>
      </c>
      <c r="E31" s="210">
        <f t="shared" si="5"/>
        <v>74.476017972491064</v>
      </c>
      <c r="F31" s="202">
        <f>район!C98</f>
        <v>14156.291999999999</v>
      </c>
      <c r="G31" s="210">
        <f>район!D98</f>
        <v>10500.221670000001</v>
      </c>
      <c r="H31" s="211">
        <f t="shared" si="2"/>
        <v>74.173531246741746</v>
      </c>
      <c r="I31" s="211">
        <f>Справка!EB31</f>
        <v>405.80288000000002</v>
      </c>
      <c r="J31" s="211">
        <f>Справка!EC31</f>
        <v>345.04672999999991</v>
      </c>
      <c r="K31" s="211">
        <f t="shared" si="7"/>
        <v>85.028161948973818</v>
      </c>
    </row>
    <row r="32" spans="1:13" ht="30" customHeight="1">
      <c r="A32" s="81" t="s">
        <v>205</v>
      </c>
      <c r="B32" s="82" t="s">
        <v>57</v>
      </c>
      <c r="C32" s="209">
        <v>214542.87721999999</v>
      </c>
      <c r="D32" s="209">
        <v>192586.14913000001</v>
      </c>
      <c r="E32" s="210">
        <f t="shared" si="5"/>
        <v>89.765808879553362</v>
      </c>
      <c r="F32" s="202">
        <f>район!C104</f>
        <v>188030.753</v>
      </c>
      <c r="G32" s="210">
        <f>район!D104</f>
        <v>171511.57893000002</v>
      </c>
      <c r="H32" s="211">
        <f t="shared" si="2"/>
        <v>91.214642388843714</v>
      </c>
      <c r="I32" s="211">
        <f>Справка!EE31</f>
        <v>60416.424220000001</v>
      </c>
      <c r="J32" s="211">
        <f>Справка!EF31</f>
        <v>49467.642099999997</v>
      </c>
      <c r="K32" s="211">
        <f t="shared" si="7"/>
        <v>81.87780514760162</v>
      </c>
    </row>
    <row r="33" spans="1:12" ht="30" customHeight="1">
      <c r="A33" s="81" t="s">
        <v>206</v>
      </c>
      <c r="B33" s="82" t="s">
        <v>67</v>
      </c>
      <c r="C33" s="209">
        <v>68977.235639999999</v>
      </c>
      <c r="D33" s="209">
        <v>27701.046549999999</v>
      </c>
      <c r="E33" s="210">
        <f t="shared" si="5"/>
        <v>40.159693691662127</v>
      </c>
      <c r="F33" s="202">
        <f>район!C111</f>
        <v>54074.568499999994</v>
      </c>
      <c r="G33" s="210">
        <f>район!D111</f>
        <v>15287.70788</v>
      </c>
      <c r="H33" s="211">
        <f t="shared" si="2"/>
        <v>28.271530044664161</v>
      </c>
      <c r="I33" s="211">
        <f>Справка!EH31</f>
        <v>61146.035639999995</v>
      </c>
      <c r="J33" s="211">
        <f>Справка!EI31</f>
        <v>21203.696950000009</v>
      </c>
      <c r="K33" s="211">
        <f t="shared" si="7"/>
        <v>34.677140926744158</v>
      </c>
    </row>
    <row r="34" spans="1:12" ht="30" customHeight="1">
      <c r="A34" s="81" t="s">
        <v>207</v>
      </c>
      <c r="B34" s="82" t="s">
        <v>75</v>
      </c>
      <c r="C34" s="206">
        <f>F34</f>
        <v>232</v>
      </c>
      <c r="D34" s="206">
        <f>G34</f>
        <v>210.72900000000001</v>
      </c>
      <c r="E34" s="210">
        <f t="shared" si="5"/>
        <v>90.831465517241384</v>
      </c>
      <c r="F34" s="202">
        <f>район!C115</f>
        <v>232</v>
      </c>
      <c r="G34" s="210">
        <f>район!D115</f>
        <v>210.72900000000001</v>
      </c>
      <c r="H34" s="211">
        <f t="shared" si="2"/>
        <v>90.831465517241384</v>
      </c>
      <c r="I34" s="210"/>
      <c r="J34" s="210"/>
      <c r="K34" s="211">
        <v>0</v>
      </c>
    </row>
    <row r="35" spans="1:12" ht="30" customHeight="1">
      <c r="A35" s="81" t="s">
        <v>208</v>
      </c>
      <c r="B35" s="82" t="s">
        <v>79</v>
      </c>
      <c r="C35" s="206">
        <f>F35</f>
        <v>426952.14162999997</v>
      </c>
      <c r="D35" s="206">
        <f>G35</f>
        <v>357882.79095</v>
      </c>
      <c r="E35" s="210">
        <f t="shared" si="5"/>
        <v>83.822694877156508</v>
      </c>
      <c r="F35" s="202">
        <f>район!C117</f>
        <v>426952.14162999997</v>
      </c>
      <c r="G35" s="210">
        <f>район!D117</f>
        <v>357882.79095</v>
      </c>
      <c r="H35" s="211">
        <f t="shared" si="2"/>
        <v>83.822694877156508</v>
      </c>
      <c r="I35" s="210"/>
      <c r="J35" s="210"/>
      <c r="K35" s="211">
        <v>0</v>
      </c>
    </row>
    <row r="36" spans="1:12" ht="30" customHeight="1">
      <c r="A36" s="81" t="s">
        <v>209</v>
      </c>
      <c r="B36" s="82" t="s">
        <v>85</v>
      </c>
      <c r="C36" s="209">
        <v>64366.307079999999</v>
      </c>
      <c r="D36" s="209">
        <v>50027.493990000003</v>
      </c>
      <c r="E36" s="210">
        <f t="shared" si="5"/>
        <v>77.72310741366833</v>
      </c>
      <c r="F36" s="202">
        <f>район!C123</f>
        <v>53668.98216</v>
      </c>
      <c r="G36" s="210">
        <f>район!D123</f>
        <v>42524.474040000001</v>
      </c>
      <c r="H36" s="211">
        <f t="shared" si="2"/>
        <v>79.23473173615335</v>
      </c>
      <c r="I36" s="211">
        <f>Справка!EK31</f>
        <v>39672.783810000001</v>
      </c>
      <c r="J36" s="211">
        <f>Справка!EL31</f>
        <v>30511.411769999999</v>
      </c>
      <c r="K36" s="211">
        <f t="shared" si="7"/>
        <v>76.907665255164758</v>
      </c>
      <c r="L36" s="83"/>
    </row>
    <row r="37" spans="1:12" ht="30" customHeight="1">
      <c r="A37" s="81" t="s">
        <v>210</v>
      </c>
      <c r="B37" s="82" t="s">
        <v>211</v>
      </c>
      <c r="C37" s="209">
        <v>42488.654000000002</v>
      </c>
      <c r="D37" s="209">
        <v>40769.068630000002</v>
      </c>
      <c r="E37" s="210">
        <f t="shared" si="5"/>
        <v>95.952836326610864</v>
      </c>
      <c r="F37" s="202">
        <f>район!C126</f>
        <v>42488.654000000002</v>
      </c>
      <c r="G37" s="210">
        <f>район!D126</f>
        <v>40769.068630000002</v>
      </c>
      <c r="H37" s="211">
        <f t="shared" si="2"/>
        <v>95.952836326610864</v>
      </c>
      <c r="I37" s="211">
        <f>Справка!EN31</f>
        <v>0</v>
      </c>
      <c r="J37" s="211">
        <f>Справка!EO31</f>
        <v>0</v>
      </c>
      <c r="K37" s="211"/>
    </row>
    <row r="38" spans="1:12" ht="30" customHeight="1">
      <c r="A38" s="81" t="s">
        <v>212</v>
      </c>
      <c r="B38" s="82" t="s">
        <v>94</v>
      </c>
      <c r="C38" s="209">
        <v>7369.94614</v>
      </c>
      <c r="D38" s="209">
        <v>5673.8449499999997</v>
      </c>
      <c r="E38" s="210">
        <f t="shared" si="5"/>
        <v>76.986247147798011</v>
      </c>
      <c r="F38" s="202">
        <f>район!C131</f>
        <v>7108.8652099999999</v>
      </c>
      <c r="G38" s="210">
        <f>район!D131</f>
        <v>5516.2069499999998</v>
      </c>
      <c r="H38" s="211">
        <f t="shared" si="2"/>
        <v>77.59616741980679</v>
      </c>
      <c r="I38" s="211">
        <f>Справка!EQ31</f>
        <v>261.08093000000002</v>
      </c>
      <c r="J38" s="211">
        <f>Справка!ER31</f>
        <v>157.63800000000001</v>
      </c>
      <c r="K38" s="211">
        <f t="shared" si="7"/>
        <v>60.378979039181445</v>
      </c>
    </row>
    <row r="39" spans="1:12" ht="30" customHeight="1">
      <c r="A39" s="81" t="s">
        <v>213</v>
      </c>
      <c r="B39" s="82" t="s">
        <v>106</v>
      </c>
      <c r="C39" s="202">
        <f>F39</f>
        <v>45.14</v>
      </c>
      <c r="D39" s="212">
        <f>G39</f>
        <v>0</v>
      </c>
      <c r="E39" s="210">
        <f t="shared" si="5"/>
        <v>0</v>
      </c>
      <c r="F39" s="202">
        <f>район!C137</f>
        <v>45.14</v>
      </c>
      <c r="G39" s="210">
        <f>район!D137</f>
        <v>0</v>
      </c>
      <c r="H39" s="211">
        <f t="shared" si="2"/>
        <v>0</v>
      </c>
      <c r="I39" s="211"/>
      <c r="J39" s="211"/>
      <c r="K39" s="211">
        <v>0</v>
      </c>
    </row>
    <row r="40" spans="1:12" ht="34.5" customHeight="1">
      <c r="A40" s="81" t="s">
        <v>214</v>
      </c>
      <c r="B40" s="82" t="s">
        <v>110</v>
      </c>
      <c r="C40" s="202">
        <f>F40</f>
        <v>0</v>
      </c>
      <c r="D40" s="212">
        <f>G40</f>
        <v>0</v>
      </c>
      <c r="E40" s="210"/>
      <c r="F40" s="202">
        <f>район!C139</f>
        <v>0</v>
      </c>
      <c r="G40" s="210">
        <f>район!D139</f>
        <v>0</v>
      </c>
      <c r="H40" s="211">
        <v>0</v>
      </c>
      <c r="I40" s="211"/>
      <c r="J40" s="213"/>
      <c r="K40" s="211">
        <v>0</v>
      </c>
    </row>
    <row r="41" spans="1:12" ht="30" customHeight="1">
      <c r="A41" s="81" t="s">
        <v>215</v>
      </c>
      <c r="B41" s="82" t="s">
        <v>216</v>
      </c>
      <c r="C41" s="202">
        <v>0</v>
      </c>
      <c r="D41" s="212"/>
      <c r="E41" s="210">
        <v>0</v>
      </c>
      <c r="F41" s="202">
        <f>район!C141</f>
        <v>49598.188569999998</v>
      </c>
      <c r="G41" s="210">
        <f>район!D141</f>
        <v>42330.315730000002</v>
      </c>
      <c r="H41" s="211">
        <f t="shared" si="2"/>
        <v>85.34649540730193</v>
      </c>
      <c r="I41" s="211">
        <f>Справка!ET31</f>
        <v>0</v>
      </c>
      <c r="J41" s="213">
        <f>Справка!EU31</f>
        <v>0</v>
      </c>
      <c r="K41" s="211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-43761.578329999931</v>
      </c>
      <c r="D43" s="139">
        <f>D27-D28</f>
        <v>-27695.245230000117</v>
      </c>
      <c r="E43" s="139"/>
      <c r="F43" s="139">
        <f>F27-F28</f>
        <v>-36165.280569999828</v>
      </c>
      <c r="G43" s="139">
        <f>G27-G28</f>
        <v>-29712.330740000121</v>
      </c>
      <c r="H43" s="139"/>
      <c r="I43" s="139">
        <f>I27-I28</f>
        <v>-7596.2977599999867</v>
      </c>
      <c r="J43" s="139">
        <f>J27-J28</f>
        <v>2017.0855099999753</v>
      </c>
      <c r="K43" s="139"/>
    </row>
    <row r="44" spans="1:12" hidden="1">
      <c r="A44" s="140"/>
      <c r="B44" s="141"/>
      <c r="C44" s="139">
        <f>C43-F44</f>
        <v>-1.1641532182693481E-10</v>
      </c>
      <c r="D44" s="139">
        <f>D43-G44</f>
        <v>2.9103830456733704E-11</v>
      </c>
      <c r="E44" s="139"/>
      <c r="F44" s="139">
        <f>F43+I43</f>
        <v>-43761.578329999815</v>
      </c>
      <c r="G44" s="139">
        <f>G43+J43</f>
        <v>-27695.245230000146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703025.6513400001</v>
      </c>
      <c r="G45" s="143">
        <f>D28+G44-D23-D26</f>
        <v>570456.20516000001</v>
      </c>
      <c r="H45" s="137"/>
      <c r="I45" s="137"/>
      <c r="J45" s="137"/>
      <c r="K45" s="139"/>
    </row>
    <row r="46" spans="1:12">
      <c r="A46" s="140"/>
      <c r="B46" s="141"/>
      <c r="C46" s="216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119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217</v>
      </c>
      <c r="B50" s="141"/>
      <c r="C50" s="144" t="s">
        <v>266</v>
      </c>
      <c r="D50" s="494"/>
      <c r="E50" s="49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120EA1E0-6265-45F1-AFBB-CEB5CB007D02}" scale="80" showPageBreaks="1" printArea="1" hiddenRows="1" view="pageBreakPreview">
      <selection activeCell="D19" sqref="D19"/>
      <rowBreaks count="1" manualBreakCount="1">
        <brk id="27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B31C8DB7-3E78-4144-A6B5-8DE36DE63F0E}" scale="80" showPageBreaks="1" printArea="1" hiddenRows="1" view="pageBreakPreview">
      <selection sqref="A1:K1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>
      <selection activeCell="D19" sqref="D19"/>
      <rowBreaks count="1" manualBreakCount="1">
        <brk id="27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1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42" zoomScale="7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434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6.7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2594.6179999999999</v>
      </c>
      <c r="D4" s="5">
        <f>D5+D12+D14+D17+D7</f>
        <v>2115.4098899999999</v>
      </c>
      <c r="E4" s="5">
        <f>SUM(D4/C4*100)</f>
        <v>81.530687369007694</v>
      </c>
      <c r="F4" s="5">
        <f>SUM(D4-C4)</f>
        <v>-479.20811000000003</v>
      </c>
    </row>
    <row r="5" spans="1:6" s="6" customFormat="1">
      <c r="A5" s="68">
        <v>1010000000</v>
      </c>
      <c r="B5" s="67" t="s">
        <v>5</v>
      </c>
      <c r="C5" s="5">
        <f>C6</f>
        <v>244.083</v>
      </c>
      <c r="D5" s="5">
        <f>D6</f>
        <v>162.17382000000001</v>
      </c>
      <c r="E5" s="5">
        <f t="shared" ref="E5:E51" si="0">SUM(D5/C5*100)</f>
        <v>66.442079128820936</v>
      </c>
      <c r="F5" s="5">
        <f t="shared" ref="F5:F51" si="1">SUM(D5-C5)</f>
        <v>-81.909179999999992</v>
      </c>
    </row>
    <row r="6" spans="1:6">
      <c r="A6" s="7">
        <v>1010200001</v>
      </c>
      <c r="B6" s="8" t="s">
        <v>228</v>
      </c>
      <c r="C6" s="9">
        <v>244.083</v>
      </c>
      <c r="D6" s="10">
        <v>162.17382000000001</v>
      </c>
      <c r="E6" s="9">
        <f t="shared" ref="E6:E11" si="2">SUM(D6/C6*100)</f>
        <v>66.442079128820936</v>
      </c>
      <c r="F6" s="9">
        <f t="shared" si="1"/>
        <v>-81.909179999999992</v>
      </c>
    </row>
    <row r="7" spans="1:6" ht="31.5">
      <c r="A7" s="3">
        <v>1030000000</v>
      </c>
      <c r="B7" s="13" t="s">
        <v>280</v>
      </c>
      <c r="C7" s="5">
        <f>C8+C10+C9</f>
        <v>424.53500000000003</v>
      </c>
      <c r="D7" s="5">
        <f>D8+D9+D10+D11</f>
        <v>473.64951999999994</v>
      </c>
      <c r="E7" s="9">
        <f t="shared" si="2"/>
        <v>111.56901551108858</v>
      </c>
      <c r="F7" s="9">
        <f t="shared" si="1"/>
        <v>49.114519999999914</v>
      </c>
    </row>
    <row r="8" spans="1:6">
      <c r="A8" s="7">
        <v>1030223001</v>
      </c>
      <c r="B8" s="8" t="s">
        <v>282</v>
      </c>
      <c r="C8" s="9">
        <v>158.35</v>
      </c>
      <c r="D8" s="10">
        <v>215.28117</v>
      </c>
      <c r="E8" s="9">
        <f t="shared" si="2"/>
        <v>135.95274392169244</v>
      </c>
      <c r="F8" s="9">
        <f t="shared" si="1"/>
        <v>56.931170000000009</v>
      </c>
    </row>
    <row r="9" spans="1:6">
      <c r="A9" s="7">
        <v>1030224001</v>
      </c>
      <c r="B9" s="8" t="s">
        <v>288</v>
      </c>
      <c r="C9" s="9">
        <v>1.6950000000000001</v>
      </c>
      <c r="D9" s="10">
        <v>1.58528</v>
      </c>
      <c r="E9" s="9">
        <f t="shared" si="2"/>
        <v>93.526843657817111</v>
      </c>
      <c r="F9" s="9">
        <f t="shared" si="1"/>
        <v>-0.10972000000000004</v>
      </c>
    </row>
    <row r="10" spans="1:6">
      <c r="A10" s="7">
        <v>1030225001</v>
      </c>
      <c r="B10" s="8" t="s">
        <v>281</v>
      </c>
      <c r="C10" s="9">
        <v>264.49</v>
      </c>
      <c r="D10" s="10">
        <v>289.20524999999998</v>
      </c>
      <c r="E10" s="9">
        <f t="shared" si="2"/>
        <v>109.34449317554538</v>
      </c>
      <c r="F10" s="9">
        <f t="shared" si="1"/>
        <v>24.715249999999969</v>
      </c>
    </row>
    <row r="11" spans="1:6">
      <c r="A11" s="7">
        <v>1030265001</v>
      </c>
      <c r="B11" s="8" t="s">
        <v>290</v>
      </c>
      <c r="C11" s="9">
        <v>0</v>
      </c>
      <c r="D11" s="10">
        <v>-32.422179999999997</v>
      </c>
      <c r="E11" s="9" t="e">
        <f t="shared" si="2"/>
        <v>#DIV/0!</v>
      </c>
      <c r="F11" s="9">
        <f t="shared" si="1"/>
        <v>-32.422179999999997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9.3778500000000005</v>
      </c>
      <c r="E12" s="5">
        <f t="shared" si="0"/>
        <v>23.444625000000002</v>
      </c>
      <c r="F12" s="5">
        <f t="shared" si="1"/>
        <v>-30.622149999999998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9.3778500000000005</v>
      </c>
      <c r="E13" s="9">
        <f t="shared" si="0"/>
        <v>23.444625000000002</v>
      </c>
      <c r="F13" s="9">
        <f t="shared" si="1"/>
        <v>-30.622149999999998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1876</v>
      </c>
      <c r="D14" s="5">
        <f>D15+D16</f>
        <v>1464.1287</v>
      </c>
      <c r="E14" s="5">
        <f t="shared" si="0"/>
        <v>78.045239872068223</v>
      </c>
      <c r="F14" s="5">
        <f t="shared" si="1"/>
        <v>-411.87130000000002</v>
      </c>
    </row>
    <row r="15" spans="1:6" s="6" customFormat="1" ht="15.75" customHeight="1">
      <c r="A15" s="7">
        <v>1060100000</v>
      </c>
      <c r="B15" s="11" t="s">
        <v>8</v>
      </c>
      <c r="C15" s="9">
        <v>326</v>
      </c>
      <c r="D15" s="10">
        <v>222.48514</v>
      </c>
      <c r="E15" s="9">
        <f t="shared" si="0"/>
        <v>68.246975460122712</v>
      </c>
      <c r="F15" s="9">
        <f>SUM(D15-C15)</f>
        <v>-103.51486</v>
      </c>
    </row>
    <row r="16" spans="1:6" ht="15.75" customHeight="1">
      <c r="A16" s="7">
        <v>1060600000</v>
      </c>
      <c r="B16" s="11" t="s">
        <v>7</v>
      </c>
      <c r="C16" s="9">
        <v>1550</v>
      </c>
      <c r="D16" s="10">
        <v>1241.64356</v>
      </c>
      <c r="E16" s="9">
        <f t="shared" si="0"/>
        <v>80.106036129032248</v>
      </c>
      <c r="F16" s="9">
        <f t="shared" si="1"/>
        <v>-308.35644000000002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6.08</v>
      </c>
      <c r="E17" s="5">
        <f t="shared" si="0"/>
        <v>60.8</v>
      </c>
      <c r="F17" s="5">
        <f t="shared" si="1"/>
        <v>-3.92</v>
      </c>
    </row>
    <row r="18" spans="1:6" ht="18" customHeight="1">
      <c r="A18" s="7">
        <v>1080400001</v>
      </c>
      <c r="B18" s="8" t="s">
        <v>227</v>
      </c>
      <c r="C18" s="9">
        <v>10</v>
      </c>
      <c r="D18" s="9">
        <v>6.08</v>
      </c>
      <c r="E18" s="9">
        <f t="shared" si="0"/>
        <v>60.8</v>
      </c>
      <c r="F18" s="9">
        <f t="shared" si="1"/>
        <v>-3.92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110</v>
      </c>
      <c r="D25" s="5">
        <f>D26+D29+D31+D36+D34</f>
        <v>122.98514</v>
      </c>
      <c r="E25" s="5">
        <f t="shared" si="0"/>
        <v>111.80467272727273</v>
      </c>
      <c r="F25" s="5">
        <f t="shared" si="1"/>
        <v>12.985140000000001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80</v>
      </c>
      <c r="D26" s="5">
        <f>D27+D28</f>
        <v>93.451599999999999</v>
      </c>
      <c r="E26" s="5">
        <f t="shared" si="0"/>
        <v>116.8145</v>
      </c>
      <c r="F26" s="5">
        <f t="shared" si="1"/>
        <v>13.451599999999999</v>
      </c>
    </row>
    <row r="27" spans="1:6" ht="15.75" customHeight="1">
      <c r="A27" s="16">
        <v>1110502510</v>
      </c>
      <c r="B27" s="17" t="s">
        <v>225</v>
      </c>
      <c r="C27" s="12">
        <v>50</v>
      </c>
      <c r="D27" s="12">
        <v>48.451599999999999</v>
      </c>
      <c r="E27" s="9">
        <f t="shared" si="0"/>
        <v>96.903199999999998</v>
      </c>
      <c r="F27" s="9">
        <f t="shared" si="1"/>
        <v>-1.5484000000000009</v>
      </c>
    </row>
    <row r="28" spans="1:6" ht="17.25" customHeight="1">
      <c r="A28" s="7">
        <v>1110503510</v>
      </c>
      <c r="B28" s="11" t="s">
        <v>224</v>
      </c>
      <c r="C28" s="12">
        <v>30</v>
      </c>
      <c r="D28" s="10">
        <v>45</v>
      </c>
      <c r="E28" s="9">
        <f t="shared" si="0"/>
        <v>150</v>
      </c>
      <c r="F28" s="9">
        <f t="shared" si="1"/>
        <v>15</v>
      </c>
    </row>
    <row r="29" spans="1:6" s="15" customFormat="1" ht="15" customHeight="1">
      <c r="A29" s="68">
        <v>1130000000</v>
      </c>
      <c r="B29" s="69" t="s">
        <v>130</v>
      </c>
      <c r="C29" s="5">
        <f>C30</f>
        <v>30</v>
      </c>
      <c r="D29" s="5">
        <f>D30</f>
        <v>34.183540000000001</v>
      </c>
      <c r="E29" s="5">
        <f t="shared" si="0"/>
        <v>113.94513333333333</v>
      </c>
      <c r="F29" s="5">
        <f t="shared" si="1"/>
        <v>4.1835400000000007</v>
      </c>
    </row>
    <row r="30" spans="1:6" ht="15.75" customHeight="1">
      <c r="A30" s="7">
        <v>1130206005</v>
      </c>
      <c r="B30" s="8" t="s">
        <v>223</v>
      </c>
      <c r="C30" s="9">
        <v>30</v>
      </c>
      <c r="D30" s="10">
        <v>34.183540000000001</v>
      </c>
      <c r="E30" s="9">
        <f t="shared" si="0"/>
        <v>113.94513333333333</v>
      </c>
      <c r="F30" s="9">
        <f t="shared" si="1"/>
        <v>4.1835400000000007</v>
      </c>
    </row>
    <row r="31" spans="1:6" ht="15.7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339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340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134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17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18</v>
      </c>
      <c r="C39" s="264">
        <f>SUM(C4,C25)</f>
        <v>2704.6179999999999</v>
      </c>
      <c r="D39" s="264">
        <f>SUM(D4,D25)</f>
        <v>2238.3950299999997</v>
      </c>
      <c r="E39" s="5">
        <f t="shared" si="0"/>
        <v>82.761966015163679</v>
      </c>
      <c r="F39" s="5">
        <f t="shared" si="1"/>
        <v>-466.22297000000026</v>
      </c>
    </row>
    <row r="40" spans="1:7" s="6" customFormat="1">
      <c r="A40" s="3">
        <v>2000000000</v>
      </c>
      <c r="B40" s="4" t="s">
        <v>19</v>
      </c>
      <c r="C40" s="5">
        <f>C41+C43+C45+C46+C48+C49+C47+C42+C44</f>
        <v>3866.5969999999998</v>
      </c>
      <c r="D40" s="259">
        <f>D41+D43+D45+D46+D48+D49+D42+D47</f>
        <v>3245.9488000000001</v>
      </c>
      <c r="E40" s="5">
        <f t="shared" si="0"/>
        <v>83.948464243881645</v>
      </c>
      <c r="F40" s="5">
        <f t="shared" si="1"/>
        <v>-620.64819999999963</v>
      </c>
      <c r="G40" s="19"/>
    </row>
    <row r="41" spans="1:7">
      <c r="A41" s="16">
        <v>2021000000</v>
      </c>
      <c r="B41" s="17" t="s">
        <v>20</v>
      </c>
      <c r="C41" s="99">
        <v>1462.5</v>
      </c>
      <c r="D41" s="20">
        <v>1365.1289999999999</v>
      </c>
      <c r="E41" s="9">
        <f t="shared" si="0"/>
        <v>93.342153846153835</v>
      </c>
      <c r="F41" s="9">
        <f t="shared" si="1"/>
        <v>-97.371000000000095</v>
      </c>
    </row>
    <row r="42" spans="1:7" ht="17.25" customHeight="1">
      <c r="A42" s="16">
        <v>2021500200</v>
      </c>
      <c r="B42" s="17" t="s">
        <v>231</v>
      </c>
      <c r="C42" s="12">
        <v>620</v>
      </c>
      <c r="D42" s="20">
        <v>410</v>
      </c>
      <c r="E42" s="9">
        <f>SUM(D42/C42*100)</f>
        <v>66.129032258064512</v>
      </c>
      <c r="F42" s="9">
        <f>SUM(D42-C42)</f>
        <v>-210</v>
      </c>
    </row>
    <row r="43" spans="1:7" ht="19.5" customHeight="1">
      <c r="A43" s="16">
        <v>2022000000</v>
      </c>
      <c r="B43" s="17" t="s">
        <v>21</v>
      </c>
      <c r="C43" s="12">
        <v>1165.08</v>
      </c>
      <c r="D43" s="10">
        <v>1054.826</v>
      </c>
      <c r="E43" s="9">
        <f t="shared" si="0"/>
        <v>90.536787173412989</v>
      </c>
      <c r="F43" s="9">
        <f t="shared" si="1"/>
        <v>-110.25399999999991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22</v>
      </c>
      <c r="C45" s="12">
        <v>182.40299999999999</v>
      </c>
      <c r="D45" s="187">
        <v>166.09379999999999</v>
      </c>
      <c r="E45" s="9">
        <f t="shared" si="0"/>
        <v>91.058699692439276</v>
      </c>
      <c r="F45" s="9">
        <f t="shared" si="1"/>
        <v>-16.309200000000004</v>
      </c>
    </row>
    <row r="46" spans="1:7" ht="19.5" customHeight="1">
      <c r="A46" s="16">
        <v>2020400000</v>
      </c>
      <c r="B46" s="17" t="s">
        <v>23</v>
      </c>
      <c r="C46" s="12">
        <v>436.61399999999998</v>
      </c>
      <c r="D46" s="188">
        <v>249.9</v>
      </c>
      <c r="E46" s="9">
        <f t="shared" si="0"/>
        <v>57.235910896123357</v>
      </c>
      <c r="F46" s="9">
        <f t="shared" si="1"/>
        <v>-186.71399999999997</v>
      </c>
    </row>
    <row r="47" spans="1:7" ht="20.25" customHeight="1">
      <c r="A47" s="7">
        <v>2070500010</v>
      </c>
      <c r="B47" s="18" t="s">
        <v>297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26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27</v>
      </c>
      <c r="C51" s="257">
        <f>C39+C40</f>
        <v>6571.2150000000001</v>
      </c>
      <c r="D51" s="258">
        <f>D39+D40</f>
        <v>5484.3438299999998</v>
      </c>
      <c r="E51" s="5">
        <f t="shared" si="0"/>
        <v>83.460118562548928</v>
      </c>
      <c r="F51" s="5">
        <f t="shared" si="1"/>
        <v>-1086.8711700000003</v>
      </c>
      <c r="G51" s="200"/>
    </row>
    <row r="52" spans="1:7" s="6" customFormat="1">
      <c r="A52" s="3"/>
      <c r="B52" s="21" t="s">
        <v>320</v>
      </c>
      <c r="C52" s="93">
        <f>C51-C99</f>
        <v>-359.8164799999995</v>
      </c>
      <c r="D52" s="93">
        <f>D51-D99</f>
        <v>-52.691450000000259</v>
      </c>
      <c r="E52" s="22"/>
      <c r="F52" s="22"/>
    </row>
    <row r="53" spans="1:7" ht="23.25" customHeight="1">
      <c r="A53" s="23"/>
      <c r="B53" s="24"/>
      <c r="C53" s="178"/>
      <c r="D53" s="178"/>
      <c r="E53" s="132"/>
      <c r="F53" s="92"/>
    </row>
    <row r="54" spans="1:7" ht="65.25" customHeight="1">
      <c r="A54" s="28" t="s">
        <v>0</v>
      </c>
      <c r="B54" s="28" t="s">
        <v>28</v>
      </c>
      <c r="C54" s="72" t="s">
        <v>411</v>
      </c>
      <c r="D54" s="103" t="s">
        <v>422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29</v>
      </c>
      <c r="B56" s="31" t="s">
        <v>30</v>
      </c>
      <c r="C56" s="32">
        <f>C57+C58+C59+C60+C61+C63+C62</f>
        <v>1517.8489999999999</v>
      </c>
      <c r="D56" s="33">
        <f>D57+D58+D59+D60+D61+D63+D62</f>
        <v>1252.59511</v>
      </c>
      <c r="E56" s="34">
        <f>SUM(D56/C56*100)</f>
        <v>82.524355848309028</v>
      </c>
      <c r="F56" s="34">
        <f>SUM(D56-C56)</f>
        <v>-265.25388999999996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8" customHeight="1">
      <c r="A58" s="35" t="s">
        <v>33</v>
      </c>
      <c r="B58" s="39" t="s">
        <v>34</v>
      </c>
      <c r="C58" s="37">
        <v>1481.6489999999999</v>
      </c>
      <c r="D58" s="37">
        <v>1248.56061</v>
      </c>
      <c r="E58" s="38">
        <f t="shared" ref="E58:E99" si="3">SUM(D58/C58*100)</f>
        <v>84.268312535560057</v>
      </c>
      <c r="F58" s="38">
        <f t="shared" ref="F58:F99" si="4">SUM(D58-C58)</f>
        <v>-233.08838999999989</v>
      </c>
    </row>
    <row r="59" spans="1:7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43</v>
      </c>
      <c r="B63" s="39" t="s">
        <v>44</v>
      </c>
      <c r="C63" s="37">
        <v>31.2</v>
      </c>
      <c r="D63" s="37">
        <v>4.0345000000000004</v>
      </c>
      <c r="E63" s="38">
        <f t="shared" si="3"/>
        <v>12.931089743589746</v>
      </c>
      <c r="F63" s="38">
        <f t="shared" si="4"/>
        <v>-27.165499999999998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137.92158000000001</v>
      </c>
      <c r="E64" s="34">
        <f t="shared" si="3"/>
        <v>76.669101460876533</v>
      </c>
      <c r="F64" s="34">
        <f t="shared" si="4"/>
        <v>-41.97041999999999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137.92158000000001</v>
      </c>
      <c r="E65" s="38">
        <f t="shared" si="3"/>
        <v>76.669101460876533</v>
      </c>
      <c r="F65" s="38">
        <f t="shared" si="4"/>
        <v>-41.97041999999999</v>
      </c>
    </row>
    <row r="66" spans="1:7" s="6" customFormat="1" ht="18.75" customHeight="1">
      <c r="A66" s="30" t="s">
        <v>49</v>
      </c>
      <c r="B66" s="31" t="s">
        <v>50</v>
      </c>
      <c r="C66" s="32">
        <f>C70+C69+C68+C67+C71</f>
        <v>113.5</v>
      </c>
      <c r="D66" s="32">
        <f>SUM(D69+D70+D71)</f>
        <v>112.85311</v>
      </c>
      <c r="E66" s="34">
        <f t="shared" si="3"/>
        <v>99.430052863436131</v>
      </c>
      <c r="F66" s="34">
        <f t="shared" si="4"/>
        <v>-0.64688999999999908</v>
      </c>
    </row>
    <row r="67" spans="1:7" hidden="1">
      <c r="A67" s="35" t="s">
        <v>51</v>
      </c>
      <c r="B67" s="39" t="s">
        <v>52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55</v>
      </c>
      <c r="B69" s="47" t="s">
        <v>56</v>
      </c>
      <c r="C69" s="37">
        <v>3</v>
      </c>
      <c r="D69" s="37">
        <v>2.7031100000000001</v>
      </c>
      <c r="E69" s="38">
        <f t="shared" si="3"/>
        <v>90.103666666666669</v>
      </c>
      <c r="F69" s="38">
        <f t="shared" si="4"/>
        <v>-0.29688999999999988</v>
      </c>
    </row>
    <row r="70" spans="1:7" ht="15.75" customHeight="1">
      <c r="A70" s="46" t="s">
        <v>218</v>
      </c>
      <c r="B70" s="47" t="s">
        <v>219</v>
      </c>
      <c r="C70" s="37">
        <v>108.5</v>
      </c>
      <c r="D70" s="37">
        <v>108.15</v>
      </c>
      <c r="E70" s="38">
        <f>SUM(D70/C70*100)</f>
        <v>99.677419354838719</v>
      </c>
      <c r="F70" s="38">
        <f>SUM(D70-C70)</f>
        <v>-0.34999999999999432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2</v>
      </c>
      <c r="E71" s="38"/>
      <c r="F71" s="38"/>
    </row>
    <row r="72" spans="1:7" s="6" customFormat="1">
      <c r="A72" s="30" t="s">
        <v>57</v>
      </c>
      <c r="B72" s="31" t="s">
        <v>58</v>
      </c>
      <c r="C72" s="48">
        <f>SUM(C73:C76)</f>
        <v>2138.6814800000002</v>
      </c>
      <c r="D72" s="48">
        <f>SUM(D73:D76)</f>
        <v>1931.30943</v>
      </c>
      <c r="E72" s="34">
        <f t="shared" si="3"/>
        <v>90.303743126816613</v>
      </c>
      <c r="F72" s="34">
        <f t="shared" si="4"/>
        <v>-207.37205000000017</v>
      </c>
    </row>
    <row r="73" spans="1:7" ht="17.25" customHeight="1">
      <c r="A73" s="35" t="s">
        <v>59</v>
      </c>
      <c r="B73" s="39" t="s">
        <v>60</v>
      </c>
      <c r="C73" s="49">
        <v>6.7024999999999997</v>
      </c>
      <c r="D73" s="37">
        <v>2.681</v>
      </c>
      <c r="E73" s="38">
        <f t="shared" si="3"/>
        <v>40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175</v>
      </c>
      <c r="D74" s="37">
        <v>97.712000000000003</v>
      </c>
      <c r="E74" s="38">
        <f t="shared" si="3"/>
        <v>55.835428571428572</v>
      </c>
      <c r="F74" s="38">
        <f t="shared" si="4"/>
        <v>-77.287999999999997</v>
      </c>
      <c r="G74" s="50"/>
    </row>
    <row r="75" spans="1:7">
      <c r="A75" s="35" t="s">
        <v>63</v>
      </c>
      <c r="B75" s="39" t="s">
        <v>64</v>
      </c>
      <c r="C75" s="49">
        <v>1716.9789800000001</v>
      </c>
      <c r="D75" s="37">
        <v>1591.6914300000001</v>
      </c>
      <c r="E75" s="38">
        <f t="shared" si="3"/>
        <v>92.703023656119541</v>
      </c>
      <c r="F75" s="38">
        <f t="shared" si="4"/>
        <v>-125.28755000000001</v>
      </c>
    </row>
    <row r="76" spans="1:7">
      <c r="A76" s="35" t="s">
        <v>65</v>
      </c>
      <c r="B76" s="39" t="s">
        <v>66</v>
      </c>
      <c r="C76" s="49">
        <v>240</v>
      </c>
      <c r="D76" s="37">
        <v>239.22499999999999</v>
      </c>
      <c r="E76" s="38">
        <f t="shared" si="3"/>
        <v>99.677083333333329</v>
      </c>
      <c r="F76" s="38">
        <f t="shared" si="4"/>
        <v>-0.77500000000000568</v>
      </c>
    </row>
    <row r="77" spans="1:7" s="6" customFormat="1" ht="18" customHeight="1">
      <c r="A77" s="30" t="s">
        <v>67</v>
      </c>
      <c r="B77" s="31" t="s">
        <v>68</v>
      </c>
      <c r="C77" s="32">
        <f>SUM(C78:C81)</f>
        <v>1337.009</v>
      </c>
      <c r="D77" s="32">
        <f>SUM(D78:D81)</f>
        <v>979.41004999999996</v>
      </c>
      <c r="E77" s="34">
        <f t="shared" si="3"/>
        <v>73.253811305683058</v>
      </c>
      <c r="F77" s="34">
        <f t="shared" si="4"/>
        <v>-357.59895000000006</v>
      </c>
    </row>
    <row r="78" spans="1:7" hidden="1">
      <c r="A78" s="35" t="s">
        <v>69</v>
      </c>
      <c r="B78" s="51" t="s">
        <v>70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71</v>
      </c>
      <c r="B79" s="51" t="s">
        <v>72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73</v>
      </c>
      <c r="B80" s="39" t="s">
        <v>74</v>
      </c>
      <c r="C80" s="37">
        <v>1337.009</v>
      </c>
      <c r="D80" s="37">
        <v>979.41004999999996</v>
      </c>
      <c r="E80" s="38">
        <f t="shared" si="3"/>
        <v>73.253811305683058</v>
      </c>
      <c r="F80" s="38">
        <f t="shared" si="4"/>
        <v>-357.59895000000006</v>
      </c>
    </row>
    <row r="81" spans="1:6" ht="31.5" hidden="1">
      <c r="A81" s="35" t="s">
        <v>263</v>
      </c>
      <c r="B81" s="39" t="s">
        <v>277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85</v>
      </c>
      <c r="B82" s="31" t="s">
        <v>86</v>
      </c>
      <c r="C82" s="32">
        <f>C83</f>
        <v>1632.1</v>
      </c>
      <c r="D82" s="32">
        <f>SUM(D83)</f>
        <v>1122.9459999999999</v>
      </c>
      <c r="E82" s="34">
        <f t="shared" si="3"/>
        <v>68.803749770234674</v>
      </c>
      <c r="F82" s="34">
        <f t="shared" si="4"/>
        <v>-509.154</v>
      </c>
    </row>
    <row r="83" spans="1:6" ht="16.5" customHeight="1">
      <c r="A83" s="35" t="s">
        <v>87</v>
      </c>
      <c r="B83" s="39" t="s">
        <v>233</v>
      </c>
      <c r="C83" s="37">
        <v>1632.1</v>
      </c>
      <c r="D83" s="37">
        <v>1122.9459999999999</v>
      </c>
      <c r="E83" s="38">
        <f t="shared" si="3"/>
        <v>68.803749770234674</v>
      </c>
      <c r="F83" s="38">
        <f t="shared" si="4"/>
        <v>-509.154</v>
      </c>
    </row>
    <row r="84" spans="1:6" s="6" customFormat="1" ht="18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89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90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91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9.5" customHeight="1">
      <c r="A90" s="35" t="s">
        <v>96</v>
      </c>
      <c r="B90" s="39" t="s">
        <v>97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118</v>
      </c>
      <c r="C99" s="253">
        <f>C56+C64+C66+C72+C77+C82+C84+C89+C95</f>
        <v>6931.0314799999996</v>
      </c>
      <c r="D99" s="253">
        <f>D56+D64+D66+D72+D77+D82+D84+D89+D95</f>
        <v>5537.0352800000001</v>
      </c>
      <c r="E99" s="34">
        <f t="shared" si="3"/>
        <v>79.887608301556881</v>
      </c>
      <c r="F99" s="34">
        <f t="shared" si="4"/>
        <v>-1393.9961999999996</v>
      </c>
    </row>
    <row r="100" spans="1:6" ht="20.25" customHeight="1">
      <c r="C100" s="235"/>
      <c r="D100" s="236"/>
    </row>
    <row r="101" spans="1:6" s="65" customFormat="1" ht="13.5" customHeight="1">
      <c r="A101" s="63" t="s">
        <v>119</v>
      </c>
      <c r="B101" s="63"/>
      <c r="C101" s="64"/>
      <c r="D101" s="64"/>
    </row>
    <row r="102" spans="1:6" s="65" customFormat="1" ht="12.75">
      <c r="A102" s="66" t="s">
        <v>120</v>
      </c>
      <c r="B102" s="66"/>
      <c r="C102" s="134" t="s">
        <v>121</v>
      </c>
      <c r="D102" s="134"/>
    </row>
    <row r="103" spans="1:6" ht="5.25" customHeight="1"/>
    <row r="142" hidden="1"/>
  </sheetData>
  <customSheetViews>
    <customSheetView guid="{120EA1E0-6265-45F1-AFBB-CEB5CB007D02}" scale="70" showPageBreaks="1" hiddenRows="1" view="pageBreakPreview" topLeftCell="A42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5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8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hiddenRows="1" view="pageBreakPreview" topLeftCell="A42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zoomScale="70" zoomScaleSheetLayoutView="70" workbookViewId="0">
      <selection activeCell="D89" sqref="D89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437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1828.2080000000001</v>
      </c>
      <c r="D4" s="5">
        <f>D5+D12+D14+D17+D7+D20</f>
        <v>1730.31032</v>
      </c>
      <c r="E4" s="5">
        <f>SUM(D4/C4*100)</f>
        <v>94.645156349824518</v>
      </c>
      <c r="F4" s="5">
        <f>SUM(D4-C4)</f>
        <v>-97.897680000000037</v>
      </c>
    </row>
    <row r="5" spans="1:6" s="6" customFormat="1">
      <c r="A5" s="68">
        <v>1010000000</v>
      </c>
      <c r="B5" s="67" t="s">
        <v>5</v>
      </c>
      <c r="C5" s="5">
        <f>C6</f>
        <v>111.54300000000001</v>
      </c>
      <c r="D5" s="5">
        <f>D6</f>
        <v>106.85635000000001</v>
      </c>
      <c r="E5" s="5">
        <f t="shared" ref="E5:E51" si="0">SUM(D5/C5*100)</f>
        <v>95.798346825887776</v>
      </c>
      <c r="F5" s="5">
        <f t="shared" ref="F5:F48" si="1">SUM(D5-C5)</f>
        <v>-4.6866500000000002</v>
      </c>
    </row>
    <row r="6" spans="1:6">
      <c r="A6" s="7">
        <v>1010200001</v>
      </c>
      <c r="B6" s="8" t="s">
        <v>228</v>
      </c>
      <c r="C6" s="9">
        <v>111.54300000000001</v>
      </c>
      <c r="D6" s="10">
        <v>106.85635000000001</v>
      </c>
      <c r="E6" s="9">
        <f t="shared" ref="E6:E11" si="2">SUM(D6/C6*100)</f>
        <v>95.798346825887776</v>
      </c>
      <c r="F6" s="9">
        <f t="shared" si="1"/>
        <v>-4.6866500000000002</v>
      </c>
    </row>
    <row r="7" spans="1:6" ht="31.5">
      <c r="A7" s="3">
        <v>1030000000</v>
      </c>
      <c r="B7" s="13" t="s">
        <v>280</v>
      </c>
      <c r="C7" s="5">
        <f>C8+C10+C9</f>
        <v>523.66500000000008</v>
      </c>
      <c r="D7" s="5">
        <f>D8+D10+D9+D11</f>
        <v>584.24787000000015</v>
      </c>
      <c r="E7" s="9">
        <f t="shared" si="2"/>
        <v>111.56901263212168</v>
      </c>
      <c r="F7" s="9">
        <f t="shared" si="1"/>
        <v>60.582870000000071</v>
      </c>
    </row>
    <row r="8" spans="1:6">
      <c r="A8" s="7">
        <v>1030223001</v>
      </c>
      <c r="B8" s="8" t="s">
        <v>282</v>
      </c>
      <c r="C8" s="9">
        <v>195.33</v>
      </c>
      <c r="D8" s="10">
        <v>265.54986000000002</v>
      </c>
      <c r="E8" s="9">
        <f t="shared" si="2"/>
        <v>135.94934725848563</v>
      </c>
      <c r="F8" s="9">
        <f t="shared" si="1"/>
        <v>70.219860000000011</v>
      </c>
    </row>
    <row r="9" spans="1:6">
      <c r="A9" s="7">
        <v>1030224001</v>
      </c>
      <c r="B9" s="8" t="s">
        <v>288</v>
      </c>
      <c r="C9" s="9">
        <v>2.0950000000000002</v>
      </c>
      <c r="D9" s="10">
        <v>1.9554499999999999</v>
      </c>
      <c r="E9" s="9">
        <f t="shared" si="2"/>
        <v>93.338902147971353</v>
      </c>
      <c r="F9" s="9">
        <f t="shared" si="1"/>
        <v>-0.13955000000000028</v>
      </c>
    </row>
    <row r="10" spans="1:6">
      <c r="A10" s="7">
        <v>1030225001</v>
      </c>
      <c r="B10" s="8" t="s">
        <v>281</v>
      </c>
      <c r="C10" s="9">
        <v>326.24</v>
      </c>
      <c r="D10" s="10">
        <v>356.73541</v>
      </c>
      <c r="E10" s="9">
        <f t="shared" si="2"/>
        <v>109.34753862187347</v>
      </c>
      <c r="F10" s="9">
        <f t="shared" si="1"/>
        <v>30.495409999999993</v>
      </c>
    </row>
    <row r="11" spans="1:6">
      <c r="A11" s="7">
        <v>1030226001</v>
      </c>
      <c r="B11" s="8" t="s">
        <v>290</v>
      </c>
      <c r="C11" s="9">
        <v>0</v>
      </c>
      <c r="D11" s="10">
        <v>-39.992849999999997</v>
      </c>
      <c r="E11" s="9" t="e">
        <f t="shared" si="2"/>
        <v>#DIV/0!</v>
      </c>
      <c r="F11" s="9">
        <f t="shared" si="1"/>
        <v>-39.992849999999997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D13</f>
        <v>98.753339999999994</v>
      </c>
      <c r="E12" s="5">
        <f t="shared" si="0"/>
        <v>219.45186666666666</v>
      </c>
      <c r="F12" s="5">
        <f t="shared" si="1"/>
        <v>53.753339999999994</v>
      </c>
    </row>
    <row r="13" spans="1:6" ht="15.75" customHeight="1">
      <c r="A13" s="7">
        <v>1050300000</v>
      </c>
      <c r="B13" s="11" t="s">
        <v>229</v>
      </c>
      <c r="C13" s="12">
        <v>45</v>
      </c>
      <c r="D13" s="10">
        <v>98.753339999999994</v>
      </c>
      <c r="E13" s="9">
        <f t="shared" si="0"/>
        <v>219.45186666666666</v>
      </c>
      <c r="F13" s="9">
        <f t="shared" si="1"/>
        <v>53.753339999999994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1138</v>
      </c>
      <c r="D14" s="5">
        <f>D15+D16</f>
        <v>936.9527599999999</v>
      </c>
      <c r="E14" s="5">
        <f t="shared" si="0"/>
        <v>82.333282952548331</v>
      </c>
      <c r="F14" s="5">
        <f t="shared" si="1"/>
        <v>-201.0472400000001</v>
      </c>
    </row>
    <row r="15" spans="1:6" s="6" customFormat="1" ht="15.75" customHeight="1">
      <c r="A15" s="7">
        <v>1060100000</v>
      </c>
      <c r="B15" s="11" t="s">
        <v>8</v>
      </c>
      <c r="C15" s="9">
        <v>138</v>
      </c>
      <c r="D15" s="10">
        <v>131.08688000000001</v>
      </c>
      <c r="E15" s="9">
        <f t="shared" si="0"/>
        <v>94.990492753623187</v>
      </c>
      <c r="F15" s="9">
        <f>SUM(D15-C15)</f>
        <v>-6.9131199999999922</v>
      </c>
    </row>
    <row r="16" spans="1:6" ht="15.75" customHeight="1">
      <c r="A16" s="7">
        <v>1060600000</v>
      </c>
      <c r="B16" s="11" t="s">
        <v>7</v>
      </c>
      <c r="C16" s="9">
        <v>1000</v>
      </c>
      <c r="D16" s="10">
        <v>805.86587999999995</v>
      </c>
      <c r="E16" s="9">
        <f t="shared" si="0"/>
        <v>80.586587999999992</v>
      </c>
      <c r="F16" s="9">
        <f t="shared" si="1"/>
        <v>-194.13412000000005</v>
      </c>
    </row>
    <row r="17" spans="1:6" s="6" customFormat="1">
      <c r="A17" s="3">
        <v>1080000000</v>
      </c>
      <c r="B17" s="4" t="s">
        <v>10</v>
      </c>
      <c r="C17" s="5">
        <f>C18+C19</f>
        <v>10</v>
      </c>
      <c r="D17" s="5">
        <f>D18+D19</f>
        <v>3.5</v>
      </c>
      <c r="E17" s="5">
        <f t="shared" si="0"/>
        <v>35</v>
      </c>
      <c r="F17" s="5">
        <f t="shared" si="1"/>
        <v>-6.5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3.5</v>
      </c>
      <c r="E18" s="9">
        <f t="shared" si="0"/>
        <v>35</v>
      </c>
      <c r="F18" s="9">
        <f t="shared" si="1"/>
        <v>-6.5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127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89</v>
      </c>
      <c r="D25" s="5">
        <f>D26+D29+D31+D36+D34</f>
        <v>86.204329999999985</v>
      </c>
      <c r="E25" s="5">
        <f t="shared" si="0"/>
        <v>96.858797752808968</v>
      </c>
      <c r="F25" s="5">
        <f t="shared" si="1"/>
        <v>-2.7956700000000154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89</v>
      </c>
      <c r="D26" s="252">
        <f>D27+D28</f>
        <v>77.819279999999992</v>
      </c>
      <c r="E26" s="5">
        <f t="shared" si="0"/>
        <v>87.437393258426951</v>
      </c>
      <c r="F26" s="5">
        <f t="shared" si="1"/>
        <v>-11.180720000000008</v>
      </c>
    </row>
    <row r="27" spans="1:6">
      <c r="A27" s="16">
        <v>1110502510</v>
      </c>
      <c r="B27" s="17" t="s">
        <v>225</v>
      </c>
      <c r="C27" s="12">
        <v>83</v>
      </c>
      <c r="D27" s="10">
        <v>71.61</v>
      </c>
      <c r="E27" s="9">
        <f t="shared" si="0"/>
        <v>86.277108433734938</v>
      </c>
      <c r="F27" s="9">
        <f t="shared" si="1"/>
        <v>-11.39</v>
      </c>
    </row>
    <row r="28" spans="1:6" ht="18" customHeight="1">
      <c r="A28" s="7">
        <v>1110503510</v>
      </c>
      <c r="B28" s="11" t="s">
        <v>224</v>
      </c>
      <c r="C28" s="12">
        <v>6</v>
      </c>
      <c r="D28" s="10">
        <v>6.2092799999999997</v>
      </c>
      <c r="E28" s="9">
        <f t="shared" si="0"/>
        <v>103.488</v>
      </c>
      <c r="F28" s="9">
        <f t="shared" si="1"/>
        <v>0.20927999999999969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6.5555500000000002</v>
      </c>
      <c r="E29" s="5" t="e">
        <f t="shared" si="0"/>
        <v>#DIV/0!</v>
      </c>
      <c r="F29" s="5">
        <f t="shared" si="1"/>
        <v>6.5555500000000002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6.5555500000000002</v>
      </c>
      <c r="E30" s="9" t="e">
        <f t="shared" si="0"/>
        <v>#DIV/0!</v>
      </c>
      <c r="F30" s="9">
        <f t="shared" si="1"/>
        <v>6.5555500000000002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251</v>
      </c>
      <c r="C34" s="5">
        <f>C35</f>
        <v>0</v>
      </c>
      <c r="D34" s="5">
        <f>D35</f>
        <v>1.8294999999999999</v>
      </c>
      <c r="E34" s="9" t="e">
        <f>SUM(D34/C34*100)</f>
        <v>#DIV/0!</v>
      </c>
      <c r="F34" s="9">
        <f>SUM(D34-C34)</f>
        <v>1.8294999999999999</v>
      </c>
    </row>
    <row r="35" spans="1:7" ht="29.25" customHeight="1">
      <c r="A35" s="7">
        <v>1163305010</v>
      </c>
      <c r="B35" s="8" t="s">
        <v>267</v>
      </c>
      <c r="C35" s="9">
        <v>0</v>
      </c>
      <c r="D35" s="10">
        <v>1.8294999999999999</v>
      </c>
      <c r="E35" s="9" t="e">
        <f>SUM(D35/C35*100)</f>
        <v>#DIV/0!</v>
      </c>
      <c r="F35" s="9">
        <f>SUM(D35-C35)</f>
        <v>1.8294999999999999</v>
      </c>
    </row>
    <row r="36" spans="1:7" ht="17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1917.2080000000001</v>
      </c>
      <c r="D39" s="127">
        <f>SUM(D4,D25)</f>
        <v>1816.5146500000001</v>
      </c>
      <c r="E39" s="5">
        <f t="shared" si="0"/>
        <v>94.747917283883638</v>
      </c>
      <c r="F39" s="5">
        <f t="shared" si="1"/>
        <v>-100.69335000000001</v>
      </c>
    </row>
    <row r="40" spans="1:7" s="6" customFormat="1">
      <c r="A40" s="3">
        <v>2000000000</v>
      </c>
      <c r="B40" s="4" t="s">
        <v>19</v>
      </c>
      <c r="C40" s="234">
        <f>C41+C42+C43+C44+C48+C49</f>
        <v>5568.1889999999994</v>
      </c>
      <c r="D40" s="234">
        <f>D41+D42+D43+D44+D48+D49+D50</f>
        <v>5241.4319999999998</v>
      </c>
      <c r="E40" s="5">
        <f t="shared" si="0"/>
        <v>94.131718589293584</v>
      </c>
      <c r="F40" s="5">
        <f t="shared" si="1"/>
        <v>-326.75699999999961</v>
      </c>
      <c r="G40" s="19"/>
    </row>
    <row r="41" spans="1:7">
      <c r="A41" s="16">
        <v>2021000000</v>
      </c>
      <c r="B41" s="17" t="s">
        <v>20</v>
      </c>
      <c r="C41" s="12">
        <v>2862</v>
      </c>
      <c r="D41" s="20">
        <v>2671.4490000000001</v>
      </c>
      <c r="E41" s="9">
        <f t="shared" si="0"/>
        <v>93.342033542976949</v>
      </c>
      <c r="F41" s="9">
        <f t="shared" si="1"/>
        <v>-190.55099999999993</v>
      </c>
    </row>
    <row r="42" spans="1:7" ht="17.25" customHeight="1">
      <c r="A42" s="16">
        <v>2021500200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21</v>
      </c>
      <c r="C43" s="12">
        <v>2013.269</v>
      </c>
      <c r="D43" s="10">
        <v>1911.1089999999999</v>
      </c>
      <c r="E43" s="9">
        <f t="shared" si="0"/>
        <v>94.925665671105051</v>
      </c>
      <c r="F43" s="9">
        <f t="shared" si="1"/>
        <v>-102.16000000000008</v>
      </c>
    </row>
    <row r="44" spans="1:7" ht="18" customHeight="1">
      <c r="A44" s="16">
        <v>2023000000</v>
      </c>
      <c r="B44" s="17" t="s">
        <v>22</v>
      </c>
      <c r="C44" s="12">
        <v>182.04300000000001</v>
      </c>
      <c r="D44" s="187">
        <v>167.05</v>
      </c>
      <c r="E44" s="9">
        <f t="shared" si="0"/>
        <v>91.764033772240623</v>
      </c>
      <c r="F44" s="9">
        <f t="shared" si="1"/>
        <v>-14.992999999999995</v>
      </c>
    </row>
    <row r="45" spans="1:7" ht="0.75" hidden="1" customHeight="1">
      <c r="A45" s="16">
        <v>2020400000</v>
      </c>
      <c r="B45" s="17" t="s">
        <v>23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25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2020400000</v>
      </c>
      <c r="B48" s="8" t="s">
        <v>23</v>
      </c>
      <c r="C48" s="12">
        <v>286.053</v>
      </c>
      <c r="D48" s="10">
        <v>267</v>
      </c>
      <c r="E48" s="9">
        <f t="shared" si="0"/>
        <v>93.33934620507388</v>
      </c>
      <c r="F48" s="9">
        <f t="shared" si="1"/>
        <v>-19.052999999999997</v>
      </c>
    </row>
    <row r="49" spans="1:7" s="6" customFormat="1" ht="18.75" customHeight="1">
      <c r="A49" s="7">
        <v>2070500010</v>
      </c>
      <c r="B49" s="8" t="s">
        <v>352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25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27</v>
      </c>
      <c r="C51" s="250">
        <f>C39+C40</f>
        <v>7485.396999999999</v>
      </c>
      <c r="D51" s="250">
        <f>SUM(D39,D40,)</f>
        <v>7057.9466499999999</v>
      </c>
      <c r="E51" s="5">
        <f t="shared" si="0"/>
        <v>94.289543360225252</v>
      </c>
      <c r="F51" s="5">
        <f>SUM(D51-C51)</f>
        <v>-427.45034999999916</v>
      </c>
      <c r="G51" s="200"/>
    </row>
    <row r="52" spans="1:7" s="6" customFormat="1">
      <c r="A52" s="3"/>
      <c r="B52" s="21" t="s">
        <v>320</v>
      </c>
      <c r="C52" s="250">
        <f>C51-C98</f>
        <v>-288.5238500000014</v>
      </c>
      <c r="D52" s="250">
        <f>D51-D98</f>
        <v>442.88140999999996</v>
      </c>
      <c r="E52" s="22"/>
      <c r="F52" s="22"/>
    </row>
    <row r="53" spans="1:7">
      <c r="A53" s="23"/>
      <c r="B53" s="24"/>
      <c r="C53" s="186"/>
      <c r="D53" s="186"/>
      <c r="E53" s="26"/>
      <c r="F53" s="92"/>
    </row>
    <row r="54" spans="1:7" ht="60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29</v>
      </c>
      <c r="B56" s="31" t="s">
        <v>30</v>
      </c>
      <c r="C56" s="32">
        <f>C57+C58+C59+C60+C61+C63+C62</f>
        <v>1505.5590000000002</v>
      </c>
      <c r="D56" s="182">
        <f>D57+D58+D59+D60+D61+D63+D62</f>
        <v>1139.6837499999999</v>
      </c>
      <c r="E56" s="34">
        <f>SUM(D56/C56*100)</f>
        <v>75.698378476034463</v>
      </c>
      <c r="F56" s="34">
        <f>SUM(D56-C56)</f>
        <v>-365.87525000000028</v>
      </c>
    </row>
    <row r="57" spans="1:7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7">
      <c r="A58" s="35" t="s">
        <v>33</v>
      </c>
      <c r="B58" s="39" t="s">
        <v>34</v>
      </c>
      <c r="C58" s="37">
        <v>1367.0530000000001</v>
      </c>
      <c r="D58" s="37">
        <v>1126.57825</v>
      </c>
      <c r="E58" s="38">
        <f t="shared" ref="E58:E98" si="3">SUM(D58/C58*100)</f>
        <v>82.409259187463832</v>
      </c>
      <c r="F58" s="38">
        <f t="shared" ref="F58:F98" si="4">SUM(D58-C58)</f>
        <v>-240.47475000000009</v>
      </c>
    </row>
    <row r="59" spans="1:7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43</v>
      </c>
      <c r="B63" s="39" t="s">
        <v>44</v>
      </c>
      <c r="C63" s="37">
        <v>133.506</v>
      </c>
      <c r="D63" s="37">
        <v>13.105499999999999</v>
      </c>
      <c r="E63" s="38">
        <f t="shared" si="3"/>
        <v>9.8164127454945831</v>
      </c>
      <c r="F63" s="38">
        <f t="shared" si="4"/>
        <v>-120.40049999999999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152.86555999999999</v>
      </c>
      <c r="E64" s="34">
        <f>SUM(D64/C64*100)</f>
        <v>84.976296889244651</v>
      </c>
      <c r="F64" s="34">
        <f t="shared" si="4"/>
        <v>-27.026440000000008</v>
      </c>
    </row>
    <row r="65" spans="1:7">
      <c r="A65" s="43" t="s">
        <v>47</v>
      </c>
      <c r="B65" s="44" t="s">
        <v>48</v>
      </c>
      <c r="C65" s="37">
        <v>179.892</v>
      </c>
      <c r="D65" s="37">
        <v>152.86555999999999</v>
      </c>
      <c r="E65" s="270">
        <f>SUM(D65/C65*100)</f>
        <v>84.976296889244651</v>
      </c>
      <c r="F65" s="38">
        <f t="shared" si="4"/>
        <v>-27.026440000000008</v>
      </c>
    </row>
    <row r="66" spans="1:7" s="6" customFormat="1" ht="18" customHeight="1">
      <c r="A66" s="30" t="s">
        <v>49</v>
      </c>
      <c r="B66" s="31" t="s">
        <v>50</v>
      </c>
      <c r="C66" s="32">
        <f>C69+C70+C71</f>
        <v>6.7040000000000006</v>
      </c>
      <c r="D66" s="32">
        <f>D69+D70</f>
        <v>3.35311</v>
      </c>
      <c r="E66" s="34">
        <f t="shared" si="3"/>
        <v>50.016557279236274</v>
      </c>
      <c r="F66" s="34">
        <f t="shared" si="4"/>
        <v>-3.3508900000000006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2.7040000000000002</v>
      </c>
      <c r="D69" s="37">
        <v>2.7031100000000001</v>
      </c>
      <c r="E69" s="34">
        <f t="shared" si="3"/>
        <v>99.967085798816569</v>
      </c>
      <c r="F69" s="34">
        <f t="shared" si="4"/>
        <v>-8.9000000000005741E-4</v>
      </c>
    </row>
    <row r="70" spans="1:7" ht="15.75" customHeight="1">
      <c r="A70" s="46" t="s">
        <v>218</v>
      </c>
      <c r="B70" s="47" t="s">
        <v>219</v>
      </c>
      <c r="C70" s="37">
        <v>2</v>
      </c>
      <c r="D70" s="37">
        <v>0.65</v>
      </c>
      <c r="E70" s="34">
        <f t="shared" si="3"/>
        <v>32.5</v>
      </c>
      <c r="F70" s="34">
        <f t="shared" si="4"/>
        <v>-1.35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0</v>
      </c>
      <c r="E71" s="34"/>
      <c r="F71" s="34"/>
    </row>
    <row r="72" spans="1:7" s="6" customFormat="1" ht="16.5" customHeight="1">
      <c r="A72" s="30" t="s">
        <v>57</v>
      </c>
      <c r="B72" s="31" t="s">
        <v>58</v>
      </c>
      <c r="C72" s="48">
        <f>C73+C74+C75+C76</f>
        <v>3287.29585</v>
      </c>
      <c r="D72" s="48">
        <f>SUM(D73:D76)</f>
        <v>2942.0656100000001</v>
      </c>
      <c r="E72" s="34">
        <f t="shared" si="3"/>
        <v>89.498047764699976</v>
      </c>
      <c r="F72" s="34">
        <f t="shared" si="4"/>
        <v>-345.23023999999987</v>
      </c>
    </row>
    <row r="73" spans="1:7" ht="15" customHeight="1">
      <c r="A73" s="35" t="s">
        <v>59</v>
      </c>
      <c r="B73" s="39" t="s">
        <v>60</v>
      </c>
      <c r="C73" s="49">
        <v>5.3620000000000001</v>
      </c>
      <c r="D73" s="37">
        <v>5.3620000000000001</v>
      </c>
      <c r="E73" s="38">
        <f t="shared" si="3"/>
        <v>100</v>
      </c>
      <c r="F73" s="38">
        <f t="shared" si="4"/>
        <v>0</v>
      </c>
    </row>
    <row r="74" spans="1:7" s="6" customFormat="1" ht="15" customHeight="1">
      <c r="A74" s="35" t="s">
        <v>61</v>
      </c>
      <c r="B74" s="39" t="s">
        <v>62</v>
      </c>
      <c r="C74" s="49">
        <v>163.43299999999999</v>
      </c>
      <c r="D74" s="37">
        <v>53.241059999999997</v>
      </c>
      <c r="E74" s="38">
        <f t="shared" si="3"/>
        <v>32.576688918394694</v>
      </c>
      <c r="F74" s="38">
        <f t="shared" si="4"/>
        <v>-110.19193999999999</v>
      </c>
      <c r="G74" s="50"/>
    </row>
    <row r="75" spans="1:7">
      <c r="A75" s="35" t="s">
        <v>63</v>
      </c>
      <c r="B75" s="39" t="s">
        <v>64</v>
      </c>
      <c r="C75" s="49">
        <v>2891.7818499999998</v>
      </c>
      <c r="D75" s="37">
        <v>2734.0025500000002</v>
      </c>
      <c r="E75" s="38">
        <f t="shared" si="3"/>
        <v>94.543872664530355</v>
      </c>
      <c r="F75" s="38">
        <f t="shared" si="4"/>
        <v>-157.77929999999969</v>
      </c>
    </row>
    <row r="76" spans="1:7">
      <c r="A76" s="35" t="s">
        <v>65</v>
      </c>
      <c r="B76" s="39" t="s">
        <v>66</v>
      </c>
      <c r="C76" s="49">
        <v>226.71899999999999</v>
      </c>
      <c r="D76" s="37">
        <v>149.46</v>
      </c>
      <c r="E76" s="38">
        <f t="shared" si="3"/>
        <v>65.923014833339948</v>
      </c>
      <c r="F76" s="38">
        <f t="shared" si="4"/>
        <v>-77.258999999999986</v>
      </c>
    </row>
    <row r="77" spans="1:7" s="6" customFormat="1" ht="18" customHeight="1">
      <c r="A77" s="30" t="s">
        <v>67</v>
      </c>
      <c r="B77" s="31" t="s">
        <v>68</v>
      </c>
      <c r="C77" s="32">
        <f>SUM(C78:C80)</f>
        <v>743.01300000000003</v>
      </c>
      <c r="D77" s="32">
        <f>SUM(D78:D80)</f>
        <v>567.19781</v>
      </c>
      <c r="E77" s="34">
        <f t="shared" si="3"/>
        <v>76.337535144068809</v>
      </c>
      <c r="F77" s="34">
        <f t="shared" si="4"/>
        <v>-175.81519000000003</v>
      </c>
    </row>
    <row r="78" spans="1:7" ht="14.25" hidden="1" customHeight="1">
      <c r="A78" s="35" t="s">
        <v>69</v>
      </c>
      <c r="B78" s="51" t="s">
        <v>70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71</v>
      </c>
      <c r="B79" s="51" t="s">
        <v>72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73</v>
      </c>
      <c r="B80" s="39" t="s">
        <v>74</v>
      </c>
      <c r="C80" s="37">
        <v>743.01300000000003</v>
      </c>
      <c r="D80" s="37">
        <v>567.19781</v>
      </c>
      <c r="E80" s="38">
        <f t="shared" si="3"/>
        <v>76.337535144068809</v>
      </c>
      <c r="F80" s="38">
        <f t="shared" si="4"/>
        <v>-175.81519000000003</v>
      </c>
    </row>
    <row r="81" spans="1:6" s="6" customFormat="1">
      <c r="A81" s="30" t="s">
        <v>85</v>
      </c>
      <c r="B81" s="31" t="s">
        <v>86</v>
      </c>
      <c r="C81" s="32">
        <f>C82</f>
        <v>2026.9880000000001</v>
      </c>
      <c r="D81" s="32">
        <f>D82</f>
        <v>1797.8184000000001</v>
      </c>
      <c r="E81" s="34">
        <f>SUM(D81/C81*100)</f>
        <v>88.694082056726529</v>
      </c>
      <c r="F81" s="34">
        <f t="shared" si="4"/>
        <v>-229.16959999999995</v>
      </c>
    </row>
    <row r="82" spans="1:6" ht="15.75" customHeight="1">
      <c r="A82" s="35" t="s">
        <v>87</v>
      </c>
      <c r="B82" s="39" t="s">
        <v>233</v>
      </c>
      <c r="C82" s="37">
        <v>2026.9880000000001</v>
      </c>
      <c r="D82" s="37">
        <v>1797.8184000000001</v>
      </c>
      <c r="E82" s="38">
        <f>SUM(D82/C82*100)</f>
        <v>88.694082056726529</v>
      </c>
      <c r="F82" s="38">
        <f t="shared" si="4"/>
        <v>-229.16959999999995</v>
      </c>
    </row>
    <row r="83" spans="1:6" s="6" customFormat="1" ht="1.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94</v>
      </c>
      <c r="B88" s="31" t="s">
        <v>95</v>
      </c>
      <c r="C88" s="32">
        <f>C89+C90+C91+C92+C93</f>
        <v>24.469000000000001</v>
      </c>
      <c r="D88" s="32">
        <f>D89+D90+D91+D92+D93</f>
        <v>12.081</v>
      </c>
      <c r="E88" s="38">
        <f t="shared" si="3"/>
        <v>49.372675630389466</v>
      </c>
      <c r="F88" s="22">
        <f>F89+F90+F91+F92+F93</f>
        <v>-12.388000000000002</v>
      </c>
    </row>
    <row r="89" spans="1:6" ht="18.75" customHeight="1">
      <c r="A89" s="35" t="s">
        <v>96</v>
      </c>
      <c r="B89" s="39" t="s">
        <v>97</v>
      </c>
      <c r="C89" s="37">
        <v>24.469000000000001</v>
      </c>
      <c r="D89" s="37">
        <v>12.081</v>
      </c>
      <c r="E89" s="38">
        <f t="shared" si="3"/>
        <v>49.372675630389466</v>
      </c>
      <c r="F89" s="38">
        <f>SUM(D89-C89)</f>
        <v>-12.388000000000002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118</v>
      </c>
      <c r="C98" s="253">
        <f>C56+C64+C66+C72+C77+C81+C83+C88+C94</f>
        <v>7773.9208500000004</v>
      </c>
      <c r="D98" s="253">
        <f>D56+D64+D66+D72+D77+D81+D83+D88+D94</f>
        <v>6615.0652399999999</v>
      </c>
      <c r="E98" s="34">
        <f t="shared" si="3"/>
        <v>85.093035646227349</v>
      </c>
      <c r="F98" s="34">
        <f t="shared" si="4"/>
        <v>-1158.8556100000005</v>
      </c>
      <c r="G98" s="200"/>
    </row>
    <row r="99" spans="1:7" ht="0.75" customHeight="1">
      <c r="C99" s="126"/>
      <c r="D99" s="101"/>
    </row>
    <row r="100" spans="1:7" s="65" customFormat="1" ht="16.5" customHeight="1">
      <c r="A100" s="63" t="s">
        <v>119</v>
      </c>
      <c r="B100" s="63"/>
      <c r="C100" s="185"/>
      <c r="D100" s="185"/>
    </row>
    <row r="101" spans="1:7" s="65" customFormat="1" ht="20.25" customHeight="1">
      <c r="A101" s="66" t="s">
        <v>120</v>
      </c>
      <c r="B101" s="66"/>
      <c r="C101" s="65" t="s">
        <v>121</v>
      </c>
    </row>
    <row r="102" spans="1:7" ht="13.5" customHeight="1">
      <c r="C102" s="120"/>
    </row>
    <row r="103" spans="1:7" ht="5.25" customHeight="1"/>
    <row r="143" hidden="1"/>
  </sheetData>
  <customSheetViews>
    <customSheetView guid="{120EA1E0-6265-45F1-AFBB-CEB5CB007D02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5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8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9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439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1489.3039999999999</v>
      </c>
      <c r="D4" s="5">
        <f>D5+D12+D14+D17+D20+D7</f>
        <v>1308.7182499999999</v>
      </c>
      <c r="E4" s="5">
        <f>SUM(D4/C4*100)</f>
        <v>87.874487008696676</v>
      </c>
      <c r="F4" s="5">
        <f>SUM(D4-C4)</f>
        <v>-180.58574999999996</v>
      </c>
    </row>
    <row r="5" spans="1:6" s="6" customFormat="1">
      <c r="A5" s="68">
        <v>1010000000</v>
      </c>
      <c r="B5" s="67" t="s">
        <v>5</v>
      </c>
      <c r="C5" s="5">
        <f>C6</f>
        <v>105.069</v>
      </c>
      <c r="D5" s="5">
        <f>D6</f>
        <v>102.46398000000001</v>
      </c>
      <c r="E5" s="5">
        <f t="shared" ref="E5:E51" si="0">SUM(D5/C5*100)</f>
        <v>97.520657853410626</v>
      </c>
      <c r="F5" s="5">
        <f t="shared" ref="F5:F51" si="1">SUM(D5-C5)</f>
        <v>-2.6050199999999961</v>
      </c>
    </row>
    <row r="6" spans="1:6">
      <c r="A6" s="7">
        <v>1010200001</v>
      </c>
      <c r="B6" s="8" t="s">
        <v>228</v>
      </c>
      <c r="C6" s="9">
        <v>105.069</v>
      </c>
      <c r="D6" s="10">
        <v>102.46398000000001</v>
      </c>
      <c r="E6" s="9">
        <f t="shared" ref="E6:E11" si="2">SUM(D6/C6*100)</f>
        <v>97.520657853410626</v>
      </c>
      <c r="F6" s="9">
        <f t="shared" si="1"/>
        <v>-2.6050199999999961</v>
      </c>
    </row>
    <row r="7" spans="1:6" ht="31.5">
      <c r="A7" s="3">
        <v>1030000000</v>
      </c>
      <c r="B7" s="13" t="s">
        <v>280</v>
      </c>
      <c r="C7" s="5">
        <f>C8+C10+C9</f>
        <v>726.2349999999999</v>
      </c>
      <c r="D7" s="5">
        <f>D8+D10+D9+D11</f>
        <v>810.25321999999994</v>
      </c>
      <c r="E7" s="5">
        <f t="shared" si="2"/>
        <v>111.56901278511778</v>
      </c>
      <c r="F7" s="5">
        <f t="shared" si="1"/>
        <v>84.018220000000042</v>
      </c>
    </row>
    <row r="8" spans="1:6">
      <c r="A8" s="7">
        <v>1030223001</v>
      </c>
      <c r="B8" s="8" t="s">
        <v>282</v>
      </c>
      <c r="C8" s="9">
        <v>270.89</v>
      </c>
      <c r="D8" s="10">
        <v>368.27287999999999</v>
      </c>
      <c r="E8" s="9">
        <f t="shared" si="2"/>
        <v>135.94923400642327</v>
      </c>
      <c r="F8" s="9">
        <f t="shared" si="1"/>
        <v>97.38288</v>
      </c>
    </row>
    <row r="9" spans="1:6">
      <c r="A9" s="7">
        <v>1030224001</v>
      </c>
      <c r="B9" s="8" t="s">
        <v>288</v>
      </c>
      <c r="C9" s="9">
        <v>2.9049999999999998</v>
      </c>
      <c r="D9" s="10">
        <v>2.7118600000000002</v>
      </c>
      <c r="E9" s="9">
        <f>SUM(D9/C9*100)</f>
        <v>93.351462994836496</v>
      </c>
      <c r="F9" s="9">
        <f t="shared" si="1"/>
        <v>-0.19313999999999965</v>
      </c>
    </row>
    <row r="10" spans="1:6">
      <c r="A10" s="7">
        <v>1030225001</v>
      </c>
      <c r="B10" s="8" t="s">
        <v>281</v>
      </c>
      <c r="C10" s="9">
        <v>452.44</v>
      </c>
      <c r="D10" s="10">
        <v>494.73182000000003</v>
      </c>
      <c r="E10" s="9">
        <f t="shared" si="2"/>
        <v>109.34749801078596</v>
      </c>
      <c r="F10" s="9">
        <f t="shared" si="1"/>
        <v>42.29182000000003</v>
      </c>
    </row>
    <row r="11" spans="1:6">
      <c r="A11" s="7">
        <v>1030226001</v>
      </c>
      <c r="B11" s="8" t="s">
        <v>290</v>
      </c>
      <c r="C11" s="9">
        <v>0</v>
      </c>
      <c r="D11" s="10">
        <v>-55.463340000000002</v>
      </c>
      <c r="E11" s="9" t="e">
        <f t="shared" si="2"/>
        <v>#DIV/0!</v>
      </c>
      <c r="F11" s="9">
        <f t="shared" si="1"/>
        <v>-55.463340000000002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78.119699999999995</v>
      </c>
      <c r="E12" s="5">
        <f t="shared" si="0"/>
        <v>312.47879999999998</v>
      </c>
      <c r="F12" s="5">
        <f t="shared" si="1"/>
        <v>53.119699999999995</v>
      </c>
    </row>
    <row r="13" spans="1:6" ht="15.75" customHeight="1">
      <c r="A13" s="7">
        <v>1050300000</v>
      </c>
      <c r="B13" s="11" t="s">
        <v>229</v>
      </c>
      <c r="C13" s="12">
        <v>25</v>
      </c>
      <c r="D13" s="10">
        <v>78.119699999999995</v>
      </c>
      <c r="E13" s="9">
        <f t="shared" si="0"/>
        <v>312.47879999999998</v>
      </c>
      <c r="F13" s="9">
        <f t="shared" si="1"/>
        <v>53.119699999999995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623</v>
      </c>
      <c r="D14" s="5">
        <f>D15+D16</f>
        <v>310.88135</v>
      </c>
      <c r="E14" s="5">
        <f t="shared" si="0"/>
        <v>49.900698234349925</v>
      </c>
      <c r="F14" s="5">
        <f t="shared" si="1"/>
        <v>-312.11865</v>
      </c>
    </row>
    <row r="15" spans="1:6" s="6" customFormat="1" ht="15.75" customHeight="1">
      <c r="A15" s="7">
        <v>1060100000</v>
      </c>
      <c r="B15" s="11" t="s">
        <v>8</v>
      </c>
      <c r="C15" s="9">
        <v>153</v>
      </c>
      <c r="D15" s="10">
        <v>142.34155000000001</v>
      </c>
      <c r="E15" s="9">
        <f t="shared" si="0"/>
        <v>93.033692810457524</v>
      </c>
      <c r="F15" s="9">
        <f>SUM(D15-C15)</f>
        <v>-10.658449999999988</v>
      </c>
    </row>
    <row r="16" spans="1:6" ht="15.75" customHeight="1">
      <c r="A16" s="7">
        <v>1060600000</v>
      </c>
      <c r="B16" s="11" t="s">
        <v>7</v>
      </c>
      <c r="C16" s="9">
        <v>470</v>
      </c>
      <c r="D16" s="10">
        <v>168.53980000000001</v>
      </c>
      <c r="E16" s="9">
        <f t="shared" si="0"/>
        <v>35.859531914893623</v>
      </c>
      <c r="F16" s="9">
        <f t="shared" si="1"/>
        <v>-301.46019999999999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7</v>
      </c>
      <c r="E17" s="5">
        <f t="shared" si="0"/>
        <v>70</v>
      </c>
      <c r="F17" s="5">
        <f t="shared" si="1"/>
        <v>-3</v>
      </c>
    </row>
    <row r="18" spans="1:6" ht="17.25" customHeight="1">
      <c r="A18" s="7">
        <v>1080400001</v>
      </c>
      <c r="B18" s="8" t="s">
        <v>227</v>
      </c>
      <c r="C18" s="9">
        <v>10</v>
      </c>
      <c r="D18" s="10">
        <v>7</v>
      </c>
      <c r="E18" s="9">
        <f t="shared" si="0"/>
        <v>70</v>
      </c>
      <c r="F18" s="9">
        <f t="shared" si="1"/>
        <v>-3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</f>
        <v>350</v>
      </c>
      <c r="D25" s="5">
        <f>D26+D29+D32+D37+D35</f>
        <v>585.32902000000013</v>
      </c>
      <c r="E25" s="5">
        <f t="shared" si="0"/>
        <v>167.23686285714291</v>
      </c>
      <c r="F25" s="5">
        <f t="shared" si="1"/>
        <v>235.32902000000013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350</v>
      </c>
      <c r="D26" s="5">
        <f>D27+D28</f>
        <v>534.27083000000005</v>
      </c>
      <c r="E26" s="5">
        <f t="shared" si="0"/>
        <v>152.64880857142856</v>
      </c>
      <c r="F26" s="5">
        <f t="shared" si="1"/>
        <v>184.27083000000005</v>
      </c>
    </row>
    <row r="27" spans="1:6">
      <c r="A27" s="16">
        <v>1110502510</v>
      </c>
      <c r="B27" s="17" t="s">
        <v>225</v>
      </c>
      <c r="C27" s="12">
        <v>300</v>
      </c>
      <c r="D27" s="10">
        <v>475.40485000000001</v>
      </c>
      <c r="E27" s="9">
        <f t="shared" si="0"/>
        <v>158.46828333333335</v>
      </c>
      <c r="F27" s="9">
        <f t="shared" si="1"/>
        <v>175.40485000000001</v>
      </c>
    </row>
    <row r="28" spans="1:6" ht="18" customHeight="1">
      <c r="A28" s="7">
        <v>1110503505</v>
      </c>
      <c r="B28" s="11" t="s">
        <v>224</v>
      </c>
      <c r="C28" s="12">
        <v>50</v>
      </c>
      <c r="D28" s="10">
        <v>58.86598</v>
      </c>
      <c r="E28" s="9">
        <f t="shared" si="0"/>
        <v>117.73195999999999</v>
      </c>
      <c r="F28" s="9">
        <f t="shared" si="1"/>
        <v>8.8659800000000004</v>
      </c>
    </row>
    <row r="29" spans="1:6" s="15" customFormat="1" ht="18" customHeight="1">
      <c r="A29" s="68">
        <v>1130000000</v>
      </c>
      <c r="B29" s="69" t="s">
        <v>130</v>
      </c>
      <c r="C29" s="5">
        <f>C30+C31</f>
        <v>0</v>
      </c>
      <c r="D29" s="5">
        <f>D30+D31</f>
        <v>33.759389999999996</v>
      </c>
      <c r="E29" s="5" t="e">
        <f t="shared" si="0"/>
        <v>#DIV/0!</v>
      </c>
      <c r="F29" s="5">
        <f t="shared" si="1"/>
        <v>33.759389999999996</v>
      </c>
    </row>
    <row r="30" spans="1:6" ht="15.75" customHeight="1">
      <c r="A30" s="7">
        <v>1130206510</v>
      </c>
      <c r="B30" s="8" t="s">
        <v>337</v>
      </c>
      <c r="C30" s="9">
        <v>0</v>
      </c>
      <c r="D30" s="214">
        <v>33.452779999999997</v>
      </c>
      <c r="E30" s="9" t="e">
        <f t="shared" si="0"/>
        <v>#DIV/0!</v>
      </c>
      <c r="F30" s="9">
        <f t="shared" si="1"/>
        <v>33.452779999999997</v>
      </c>
    </row>
    <row r="31" spans="1:6" ht="17.25" customHeight="1">
      <c r="A31" s="7">
        <v>1130299510</v>
      </c>
      <c r="B31" s="8" t="s">
        <v>354</v>
      </c>
      <c r="C31" s="9">
        <v>0</v>
      </c>
      <c r="D31" s="214">
        <v>0.30660999999999999</v>
      </c>
      <c r="E31" s="9" t="e">
        <f>SUM(D31/C31*100)</f>
        <v>#DIV/0!</v>
      </c>
      <c r="F31" s="9">
        <f>SUM(D31-C31)</f>
        <v>0.30660999999999999</v>
      </c>
    </row>
    <row r="32" spans="1:6" ht="18" hidden="1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251</v>
      </c>
      <c r="C35" s="14">
        <f>C36</f>
        <v>0</v>
      </c>
      <c r="D35" s="14">
        <f>D36</f>
        <v>17.2988</v>
      </c>
      <c r="E35" s="5" t="e">
        <f>SUM(D35/C35*100)</f>
        <v>#DIV/0!</v>
      </c>
      <c r="F35" s="5">
        <f>SUM(D35-C35)</f>
        <v>17.2988</v>
      </c>
    </row>
    <row r="36" spans="1:7" ht="17.25" customHeight="1">
      <c r="A36" s="7">
        <v>1163305010</v>
      </c>
      <c r="B36" s="8" t="s">
        <v>267</v>
      </c>
      <c r="C36" s="9">
        <v>0</v>
      </c>
      <c r="D36" s="10">
        <v>17.2988</v>
      </c>
      <c r="E36" s="9" t="e">
        <f>SUM(D36/C36*100)</f>
        <v>#DIV/0!</v>
      </c>
      <c r="F36" s="9">
        <f>SUM(D36-C36)</f>
        <v>17.2988</v>
      </c>
    </row>
    <row r="37" spans="1:7" ht="15.75" customHeight="1">
      <c r="A37" s="3"/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1839.3039999999999</v>
      </c>
      <c r="D40" s="127">
        <f>D4+D25</f>
        <v>1894.04727</v>
      </c>
      <c r="E40" s="5">
        <f t="shared" si="0"/>
        <v>102.97630353655514</v>
      </c>
      <c r="F40" s="5">
        <f t="shared" si="1"/>
        <v>54.743270000000166</v>
      </c>
    </row>
    <row r="41" spans="1:7" s="6" customFormat="1">
      <c r="A41" s="3">
        <v>2000000000</v>
      </c>
      <c r="B41" s="4" t="s">
        <v>19</v>
      </c>
      <c r="C41" s="234">
        <f>C42+C43+C44+C45+C46+C48</f>
        <v>6435.9086099999995</v>
      </c>
      <c r="D41" s="234">
        <f>D42+D43+D44+D45+D46+D48+D49</f>
        <v>5083.7264099999993</v>
      </c>
      <c r="E41" s="5">
        <f t="shared" si="0"/>
        <v>78.990034167063783</v>
      </c>
      <c r="F41" s="5">
        <f t="shared" si="1"/>
        <v>-1352.1822000000002</v>
      </c>
      <c r="G41" s="19"/>
    </row>
    <row r="42" spans="1:7">
      <c r="A42" s="16">
        <v>2021000000</v>
      </c>
      <c r="B42" s="17" t="s">
        <v>20</v>
      </c>
      <c r="C42" s="99">
        <v>1424.6</v>
      </c>
      <c r="D42" s="99">
        <v>1329.7539999999999</v>
      </c>
      <c r="E42" s="9">
        <f t="shared" si="0"/>
        <v>93.342271514811173</v>
      </c>
      <c r="F42" s="9">
        <f t="shared" si="1"/>
        <v>-94.846000000000004</v>
      </c>
    </row>
    <row r="43" spans="1:7" ht="15.75" customHeight="1">
      <c r="A43" s="16">
        <v>2021500200</v>
      </c>
      <c r="B43" s="17" t="s">
        <v>231</v>
      </c>
      <c r="C43" s="99">
        <v>399.5</v>
      </c>
      <c r="D43" s="20">
        <v>205</v>
      </c>
      <c r="E43" s="9">
        <f>SUM(D43/C43*100)</f>
        <v>51.314142678347942</v>
      </c>
      <c r="F43" s="9">
        <f>SUM(D43-C43)</f>
        <v>-194.5</v>
      </c>
    </row>
    <row r="44" spans="1:7">
      <c r="A44" s="16">
        <v>2022000000</v>
      </c>
      <c r="B44" s="17" t="s">
        <v>21</v>
      </c>
      <c r="C44" s="99">
        <v>2465.3510000000001</v>
      </c>
      <c r="D44" s="10">
        <v>1772.1179999999999</v>
      </c>
      <c r="E44" s="9">
        <f t="shared" si="0"/>
        <v>71.880961372234623</v>
      </c>
      <c r="F44" s="9">
        <f t="shared" si="1"/>
        <v>-693.23300000000017</v>
      </c>
    </row>
    <row r="45" spans="1:7" ht="18" customHeight="1">
      <c r="A45" s="16">
        <v>2023000000</v>
      </c>
      <c r="B45" s="17" t="s">
        <v>22</v>
      </c>
      <c r="C45" s="12">
        <v>181.68199999999999</v>
      </c>
      <c r="D45" s="187">
        <v>164.899</v>
      </c>
      <c r="E45" s="9">
        <f t="shared" si="0"/>
        <v>90.762431060864586</v>
      </c>
      <c r="F45" s="9">
        <f t="shared" si="1"/>
        <v>-16.782999999999987</v>
      </c>
    </row>
    <row r="46" spans="1:7" ht="22.5" customHeight="1">
      <c r="A46" s="16">
        <v>2020400000</v>
      </c>
      <c r="B46" s="17" t="s">
        <v>23</v>
      </c>
      <c r="C46" s="12">
        <v>1456.61</v>
      </c>
      <c r="D46" s="188">
        <v>1422.0554099999999</v>
      </c>
      <c r="E46" s="9">
        <f t="shared" si="0"/>
        <v>97.627739065364111</v>
      </c>
      <c r="F46" s="9">
        <f t="shared" si="1"/>
        <v>-34.554589999999962</v>
      </c>
    </row>
    <row r="47" spans="1:7" ht="32.25" customHeight="1">
      <c r="A47" s="16">
        <v>2020900000</v>
      </c>
      <c r="B47" s="18" t="s">
        <v>24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352</v>
      </c>
      <c r="C48" s="12">
        <v>508.16561000000002</v>
      </c>
      <c r="D48" s="188">
        <v>189.9</v>
      </c>
      <c r="E48" s="9">
        <f t="shared" si="0"/>
        <v>37.369707092142654</v>
      </c>
      <c r="F48" s="9">
        <f t="shared" si="1"/>
        <v>-318.26561000000004</v>
      </c>
    </row>
    <row r="49" spans="1:8" ht="19.5" customHeight="1">
      <c r="A49" s="7">
        <v>2190500005</v>
      </c>
      <c r="B49" s="11" t="s">
        <v>25</v>
      </c>
      <c r="C49" s="12">
        <v>0</v>
      </c>
      <c r="D49" s="188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27</v>
      </c>
      <c r="C51" s="250">
        <f>C40+C41</f>
        <v>8275.2126099999987</v>
      </c>
      <c r="D51" s="250">
        <f>D40+D41</f>
        <v>6977.7736799999993</v>
      </c>
      <c r="E51" s="93">
        <f t="shared" si="0"/>
        <v>84.321382529409121</v>
      </c>
      <c r="F51" s="93">
        <f t="shared" si="1"/>
        <v>-1297.4389299999993</v>
      </c>
      <c r="G51" s="200">
        <f>7662.29943-C51</f>
        <v>-612.91317999999865</v>
      </c>
      <c r="H51" s="200">
        <f>1130.4405-D51</f>
        <v>-5847.3331799999996</v>
      </c>
    </row>
    <row r="52" spans="1:8" s="6" customFormat="1">
      <c r="A52" s="3"/>
      <c r="B52" s="21" t="s">
        <v>320</v>
      </c>
      <c r="C52" s="93">
        <f>C51-C98</f>
        <v>-434.22364000000198</v>
      </c>
      <c r="D52" s="93">
        <f>D51-D98</f>
        <v>665.66041000000041</v>
      </c>
      <c r="E52" s="195"/>
      <c r="F52" s="195"/>
    </row>
    <row r="53" spans="1:8">
      <c r="A53" s="23"/>
      <c r="B53" s="24"/>
      <c r="C53" s="186"/>
      <c r="D53" s="186"/>
      <c r="E53" s="26"/>
      <c r="F53" s="27"/>
    </row>
    <row r="54" spans="1:8" ht="4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29</v>
      </c>
      <c r="B56" s="31" t="s">
        <v>30</v>
      </c>
      <c r="C56" s="32">
        <f>C57+C58+C59+C60+C61+C63+C62</f>
        <v>1126.963</v>
      </c>
      <c r="D56" s="33">
        <f>D57+D58+D59+D60+D61+D63+D62</f>
        <v>934.73479999999995</v>
      </c>
      <c r="E56" s="34">
        <f>SUM(D56/C56*100)</f>
        <v>82.942811787077304</v>
      </c>
      <c r="F56" s="34">
        <f>SUM(D56-C56)</f>
        <v>-192.22820000000002</v>
      </c>
    </row>
    <row r="57" spans="1:8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1113.769</v>
      </c>
      <c r="D58" s="37">
        <v>926.54079999999999</v>
      </c>
      <c r="E58" s="38">
        <f t="shared" ref="E58:E98" si="3">SUM(D58/C58*100)</f>
        <v>83.189673980870367</v>
      </c>
      <c r="F58" s="38">
        <f t="shared" ref="F58:F98" si="4">SUM(D58-C58)</f>
        <v>-187.22820000000002</v>
      </c>
    </row>
    <row r="59" spans="1:8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43</v>
      </c>
      <c r="B63" s="39" t="s">
        <v>44</v>
      </c>
      <c r="C63" s="37">
        <v>8.1940000000000008</v>
      </c>
      <c r="D63" s="37">
        <v>8.1940000000000008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155.00704999999999</v>
      </c>
      <c r="E64" s="34">
        <f t="shared" si="3"/>
        <v>86.166727814466455</v>
      </c>
      <c r="F64" s="34">
        <f t="shared" si="4"/>
        <v>-24.884950000000003</v>
      </c>
    </row>
    <row r="65" spans="1:7">
      <c r="A65" s="43" t="s">
        <v>47</v>
      </c>
      <c r="B65" s="44" t="s">
        <v>48</v>
      </c>
      <c r="C65" s="37">
        <v>179.892</v>
      </c>
      <c r="D65" s="37">
        <v>155.00704999999999</v>
      </c>
      <c r="E65" s="38">
        <f t="shared" si="3"/>
        <v>86.166727814466455</v>
      </c>
      <c r="F65" s="38">
        <f t="shared" si="4"/>
        <v>-24.884950000000003</v>
      </c>
    </row>
    <row r="66" spans="1:7" s="6" customFormat="1" ht="15" customHeight="1">
      <c r="A66" s="30" t="s">
        <v>49</v>
      </c>
      <c r="B66" s="31" t="s">
        <v>50</v>
      </c>
      <c r="C66" s="32">
        <f>C69+C70+C71</f>
        <v>36.79</v>
      </c>
      <c r="D66" s="263">
        <f>D69+D70</f>
        <v>35.869999999999997</v>
      </c>
      <c r="E66" s="34">
        <f t="shared" si="3"/>
        <v>97.499320467518345</v>
      </c>
      <c r="F66" s="34">
        <f t="shared" si="4"/>
        <v>-0.92000000000000171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218</v>
      </c>
      <c r="B70" s="47" t="s">
        <v>219</v>
      </c>
      <c r="C70" s="37">
        <v>36.79</v>
      </c>
      <c r="D70" s="37">
        <v>35.869999999999997</v>
      </c>
      <c r="E70" s="34">
        <f t="shared" si="3"/>
        <v>97.499320467518345</v>
      </c>
      <c r="F70" s="34">
        <f t="shared" si="4"/>
        <v>-0.92000000000000171</v>
      </c>
    </row>
    <row r="71" spans="1:7" ht="15.75" customHeight="1">
      <c r="A71" s="46" t="s">
        <v>357</v>
      </c>
      <c r="B71" s="47" t="s">
        <v>414</v>
      </c>
      <c r="C71" s="37">
        <v>0</v>
      </c>
      <c r="D71" s="37"/>
      <c r="E71" s="34" t="e">
        <f>SUM(D71/C71*100)</f>
        <v>#DIV/0!</v>
      </c>
      <c r="F71" s="34">
        <f>SUM(D71-C71)</f>
        <v>0</v>
      </c>
    </row>
    <row r="72" spans="1:7" s="6" customFormat="1" ht="18.75" customHeight="1">
      <c r="A72" s="30" t="s">
        <v>57</v>
      </c>
      <c r="B72" s="31" t="s">
        <v>58</v>
      </c>
      <c r="C72" s="48">
        <f>SUM(C73:C77)</f>
        <v>5166.8685800000003</v>
      </c>
      <c r="D72" s="48">
        <f>SUM(D73:D77)</f>
        <v>3235.0359299999996</v>
      </c>
      <c r="E72" s="34">
        <f t="shared" si="3"/>
        <v>62.611151801348882</v>
      </c>
      <c r="F72" s="34">
        <f t="shared" si="4"/>
        <v>-1931.8326500000007</v>
      </c>
    </row>
    <row r="73" spans="1:7" ht="15" customHeight="1">
      <c r="A73" s="35" t="s">
        <v>59</v>
      </c>
      <c r="B73" s="39" t="s">
        <v>60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1023.71648</v>
      </c>
      <c r="D74" s="37">
        <v>907.03210000000001</v>
      </c>
      <c r="E74" s="38">
        <f t="shared" si="3"/>
        <v>88.601885162579379</v>
      </c>
      <c r="F74" s="38">
        <f t="shared" si="4"/>
        <v>-116.68438000000003</v>
      </c>
      <c r="G74" s="50"/>
    </row>
    <row r="75" spans="1:7" s="6" customFormat="1" ht="15" hidden="1" customHeight="1">
      <c r="A75" s="35" t="s">
        <v>61</v>
      </c>
      <c r="B75" s="39" t="s">
        <v>62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3921.1786000000002</v>
      </c>
      <c r="D76" s="37">
        <v>2198.5338299999999</v>
      </c>
      <c r="E76" s="38">
        <f t="shared" si="3"/>
        <v>56.068189038877236</v>
      </c>
      <c r="F76" s="38">
        <f t="shared" si="4"/>
        <v>-1722.6447700000003</v>
      </c>
    </row>
    <row r="77" spans="1:7">
      <c r="A77" s="35" t="s">
        <v>65</v>
      </c>
      <c r="B77" s="39" t="s">
        <v>66</v>
      </c>
      <c r="C77" s="49">
        <v>217.952</v>
      </c>
      <c r="D77" s="37">
        <v>129.47</v>
      </c>
      <c r="E77" s="38">
        <f t="shared" si="3"/>
        <v>59.402987813830563</v>
      </c>
      <c r="F77" s="38">
        <f t="shared" si="4"/>
        <v>-88.481999999999999</v>
      </c>
    </row>
    <row r="78" spans="1:7" s="6" customFormat="1" ht="17.25" customHeight="1">
      <c r="A78" s="30" t="s">
        <v>67</v>
      </c>
      <c r="B78" s="31" t="s">
        <v>68</v>
      </c>
      <c r="C78" s="32">
        <f>SUM(C79:C81)</f>
        <v>924.37266999999997</v>
      </c>
      <c r="D78" s="32">
        <f>SUM(D79:D81)</f>
        <v>704.01549</v>
      </c>
      <c r="E78" s="34">
        <f t="shared" si="3"/>
        <v>76.16143497622015</v>
      </c>
      <c r="F78" s="34">
        <f t="shared" si="4"/>
        <v>-220.35717999999997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924.37266999999997</v>
      </c>
      <c r="D81" s="37">
        <v>704.01549</v>
      </c>
      <c r="E81" s="38">
        <f t="shared" si="3"/>
        <v>76.16143497622015</v>
      </c>
      <c r="F81" s="38">
        <f t="shared" si="4"/>
        <v>-220.35717999999997</v>
      </c>
    </row>
    <row r="82" spans="1:6" s="6" customFormat="1" ht="32.25" customHeight="1">
      <c r="A82" s="30" t="s">
        <v>85</v>
      </c>
      <c r="B82" s="31" t="s">
        <v>86</v>
      </c>
      <c r="C82" s="32">
        <f>C83</f>
        <v>1259.55</v>
      </c>
      <c r="D82" s="32">
        <f>D83</f>
        <v>1232.45</v>
      </c>
      <c r="E82" s="34">
        <f t="shared" si="3"/>
        <v>97.848437934182854</v>
      </c>
      <c r="F82" s="34">
        <f t="shared" si="4"/>
        <v>-27.099999999999909</v>
      </c>
    </row>
    <row r="83" spans="1:6" ht="14.25" customHeight="1">
      <c r="A83" s="35" t="s">
        <v>87</v>
      </c>
      <c r="B83" s="39" t="s">
        <v>233</v>
      </c>
      <c r="C83" s="37">
        <v>1259.55</v>
      </c>
      <c r="D83" s="37">
        <v>1232.45</v>
      </c>
      <c r="E83" s="38">
        <f t="shared" si="3"/>
        <v>97.848437934182854</v>
      </c>
      <c r="F83" s="38">
        <f t="shared" si="4"/>
        <v>-27.099999999999909</v>
      </c>
    </row>
    <row r="84" spans="1:6" s="6" customFormat="1" ht="18.75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89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96</v>
      </c>
      <c r="B89" s="39" t="s">
        <v>97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114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94</v>
      </c>
      <c r="B96" s="31" t="s">
        <v>95</v>
      </c>
      <c r="C96" s="48">
        <f>C97</f>
        <v>15</v>
      </c>
      <c r="D96" s="32">
        <f>D97</f>
        <v>15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96</v>
      </c>
      <c r="B97" s="39" t="s">
        <v>97</v>
      </c>
      <c r="C97" s="49">
        <v>15</v>
      </c>
      <c r="D97" s="37">
        <v>15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118</v>
      </c>
      <c r="C98" s="253">
        <f>C56+C64+C66+C72+C78+C82+C96+C84</f>
        <v>8709.4362500000007</v>
      </c>
      <c r="D98" s="253">
        <f>D56+D64+D66+D72+D78+D82+D96+D84</f>
        <v>6312.1132699999989</v>
      </c>
      <c r="E98" s="34">
        <f t="shared" si="3"/>
        <v>72.474418421743408</v>
      </c>
      <c r="F98" s="34">
        <f t="shared" si="4"/>
        <v>-2397.3229800000017</v>
      </c>
      <c r="G98" s="200">
        <f>8096.52307-C98</f>
        <v>-612.91318000000047</v>
      </c>
      <c r="H98" s="200">
        <f>899.25122-D98</f>
        <v>-5412.8620499999988</v>
      </c>
    </row>
    <row r="99" spans="1:8" ht="16.5" customHeight="1">
      <c r="C99" s="126"/>
      <c r="D99" s="101"/>
    </row>
    <row r="100" spans="1:8" s="65" customFormat="1" ht="20.25" customHeight="1">
      <c r="A100" s="63" t="s">
        <v>119</v>
      </c>
      <c r="B100" s="63"/>
      <c r="C100" s="116"/>
      <c r="D100" s="64" t="s">
        <v>274</v>
      </c>
    </row>
    <row r="101" spans="1:8" s="65" customFormat="1" ht="13.5" customHeight="1">
      <c r="A101" s="66" t="s">
        <v>120</v>
      </c>
      <c r="B101" s="66"/>
      <c r="C101" s="65" t="s">
        <v>121</v>
      </c>
    </row>
    <row r="103" spans="1:8" ht="5.25" customHeight="1"/>
    <row r="142" hidden="1"/>
  </sheetData>
  <customSheetViews>
    <customSheetView guid="{120EA1E0-6265-45F1-AFBB-CEB5CB007D02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54">
      <selection activeCell="D76" sqref="D76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8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view="pageBreakPreview" topLeftCell="A27" zoomScale="70" zoomScaleSheetLayoutView="70" workbookViewId="0">
      <selection activeCell="D87" sqref="D87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438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1037.2919999999999</v>
      </c>
      <c r="D4" s="5">
        <f>D5+D12+D14+D17+D7</f>
        <v>1074.88447</v>
      </c>
      <c r="E4" s="5">
        <f>SUM(D4/C4*100)</f>
        <v>103.62409716839618</v>
      </c>
      <c r="F4" s="5">
        <f>SUM(D4-C4)</f>
        <v>37.592470000000048</v>
      </c>
    </row>
    <row r="5" spans="1:6" s="6" customFormat="1">
      <c r="A5" s="68">
        <v>1010000000</v>
      </c>
      <c r="B5" s="67" t="s">
        <v>5</v>
      </c>
      <c r="C5" s="5">
        <f>C6</f>
        <v>79.421999999999997</v>
      </c>
      <c r="D5" s="5">
        <f>D6</f>
        <v>56.023359999999997</v>
      </c>
      <c r="E5" s="5">
        <f t="shared" ref="E5:E49" si="0">SUM(D5/C5*100)</f>
        <v>70.538843141698777</v>
      </c>
      <c r="F5" s="5">
        <f t="shared" ref="F5:F49" si="1">SUM(D5-C5)</f>
        <v>-23.39864</v>
      </c>
    </row>
    <row r="6" spans="1:6">
      <c r="A6" s="7">
        <v>1010200001</v>
      </c>
      <c r="B6" s="8" t="s">
        <v>228</v>
      </c>
      <c r="C6" s="9">
        <v>79.421999999999997</v>
      </c>
      <c r="D6" s="10">
        <v>56.023359999999997</v>
      </c>
      <c r="E6" s="9">
        <f t="shared" ref="E6:E11" si="2">SUM(D6/C6*100)</f>
        <v>70.538843141698777</v>
      </c>
      <c r="F6" s="9">
        <f t="shared" si="1"/>
        <v>-23.39864</v>
      </c>
    </row>
    <row r="7" spans="1:6" ht="31.5">
      <c r="A7" s="3">
        <v>1030000000</v>
      </c>
      <c r="B7" s="13" t="s">
        <v>280</v>
      </c>
      <c r="C7" s="5">
        <f>C8+C10+C9</f>
        <v>331.87</v>
      </c>
      <c r="D7" s="5">
        <f>D8+D10+D9+D11</f>
        <v>370.26407</v>
      </c>
      <c r="E7" s="5">
        <f t="shared" si="2"/>
        <v>111.56900894928737</v>
      </c>
      <c r="F7" s="5">
        <f t="shared" si="1"/>
        <v>38.394069999999999</v>
      </c>
    </row>
    <row r="8" spans="1:6">
      <c r="A8" s="7">
        <v>1030223001</v>
      </c>
      <c r="B8" s="8" t="s">
        <v>282</v>
      </c>
      <c r="C8" s="9">
        <v>123.79</v>
      </c>
      <c r="D8" s="10">
        <v>168.29087000000001</v>
      </c>
      <c r="E8" s="9">
        <f t="shared" si="2"/>
        <v>135.94867921479926</v>
      </c>
      <c r="F8" s="9">
        <f t="shared" si="1"/>
        <v>44.500870000000006</v>
      </c>
    </row>
    <row r="9" spans="1:6">
      <c r="A9" s="7">
        <v>1030224001</v>
      </c>
      <c r="B9" s="8" t="s">
        <v>288</v>
      </c>
      <c r="C9" s="9">
        <v>1.33</v>
      </c>
      <c r="D9" s="10">
        <v>1.2392399999999999</v>
      </c>
      <c r="E9" s="9">
        <f t="shared" si="2"/>
        <v>93.175939849624044</v>
      </c>
      <c r="F9" s="9">
        <f t="shared" si="1"/>
        <v>-9.0760000000000174E-2</v>
      </c>
    </row>
    <row r="10" spans="1:6">
      <c r="A10" s="7">
        <v>1030225001</v>
      </c>
      <c r="B10" s="8" t="s">
        <v>281</v>
      </c>
      <c r="C10" s="9">
        <v>206.75</v>
      </c>
      <c r="D10" s="10">
        <v>226.07924</v>
      </c>
      <c r="E10" s="9">
        <f t="shared" si="2"/>
        <v>109.34908827085852</v>
      </c>
      <c r="F10" s="9">
        <f t="shared" si="1"/>
        <v>19.329239999999999</v>
      </c>
    </row>
    <row r="11" spans="1:6">
      <c r="A11" s="7">
        <v>1030226001</v>
      </c>
      <c r="B11" s="8" t="s">
        <v>290</v>
      </c>
      <c r="C11" s="9">
        <v>0</v>
      </c>
      <c r="D11" s="10">
        <v>-25.345279999999999</v>
      </c>
      <c r="E11" s="9" t="e">
        <f t="shared" si="2"/>
        <v>#DIV/0!</v>
      </c>
      <c r="F11" s="9">
        <f t="shared" si="1"/>
        <v>-25.345279999999999</v>
      </c>
    </row>
    <row r="12" spans="1:6" s="6" customFormat="1">
      <c r="A12" s="68">
        <v>1050000000</v>
      </c>
      <c r="B12" s="67" t="s">
        <v>6</v>
      </c>
      <c r="C12" s="5">
        <f>SUM(C13:C13)</f>
        <v>5</v>
      </c>
      <c r="D12" s="5">
        <f>SUM(D13:D13)</f>
        <v>6.9966900000000001</v>
      </c>
      <c r="E12" s="5">
        <f t="shared" si="0"/>
        <v>139.93379999999999</v>
      </c>
      <c r="F12" s="5">
        <f t="shared" si="1"/>
        <v>1.9966900000000001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6.9966900000000001</v>
      </c>
      <c r="E13" s="9">
        <f t="shared" si="0"/>
        <v>139.93379999999999</v>
      </c>
      <c r="F13" s="9">
        <f t="shared" si="1"/>
        <v>1.9966900000000001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611</v>
      </c>
      <c r="D14" s="5">
        <f>D15+D16</f>
        <v>637.65035</v>
      </c>
      <c r="E14" s="5">
        <f t="shared" si="0"/>
        <v>104.36175941080197</v>
      </c>
      <c r="F14" s="5">
        <f t="shared" si="1"/>
        <v>26.650350000000003</v>
      </c>
    </row>
    <row r="15" spans="1:6" s="6" customFormat="1" ht="15.75" customHeight="1">
      <c r="A15" s="7">
        <v>1060100000</v>
      </c>
      <c r="B15" s="11" t="s">
        <v>8</v>
      </c>
      <c r="C15" s="9">
        <v>219</v>
      </c>
      <c r="D15" s="10">
        <v>287.23077999999998</v>
      </c>
      <c r="E15" s="9">
        <f t="shared" si="0"/>
        <v>131.15560730593609</v>
      </c>
      <c r="F15" s="9">
        <f>SUM(D15-C15)</f>
        <v>68.230779999999982</v>
      </c>
    </row>
    <row r="16" spans="1:6" ht="15.75" customHeight="1">
      <c r="A16" s="7">
        <v>1060600000</v>
      </c>
      <c r="B16" s="11" t="s">
        <v>7</v>
      </c>
      <c r="C16" s="9">
        <v>392</v>
      </c>
      <c r="D16" s="10">
        <v>350.41957000000002</v>
      </c>
      <c r="E16" s="9">
        <f t="shared" si="0"/>
        <v>89.392747448979591</v>
      </c>
      <c r="F16" s="9">
        <f t="shared" si="1"/>
        <v>-41.580429999999978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3.95</v>
      </c>
      <c r="E17" s="5">
        <f t="shared" si="0"/>
        <v>39.5</v>
      </c>
      <c r="F17" s="5">
        <f t="shared" si="1"/>
        <v>-6.05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3.95</v>
      </c>
      <c r="E18" s="9">
        <f t="shared" si="0"/>
        <v>39.5</v>
      </c>
      <c r="F18" s="9">
        <f t="shared" si="1"/>
        <v>-6.05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97</v>
      </c>
      <c r="D25" s="5">
        <f>D27+D29+D34</f>
        <v>79.817390000000003</v>
      </c>
      <c r="E25" s="5">
        <f t="shared" si="0"/>
        <v>82.28596907216496</v>
      </c>
      <c r="F25" s="5">
        <f t="shared" si="1"/>
        <v>-17.182609999999997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97</v>
      </c>
      <c r="D26" s="5">
        <f>D27</f>
        <v>79.817390000000003</v>
      </c>
      <c r="E26" s="5">
        <f t="shared" si="0"/>
        <v>82.28596907216496</v>
      </c>
      <c r="F26" s="5">
        <f t="shared" si="1"/>
        <v>-17.182609999999997</v>
      </c>
    </row>
    <row r="27" spans="1:6" ht="17.25" customHeight="1">
      <c r="A27" s="16">
        <v>1110502510</v>
      </c>
      <c r="B27" s="17" t="s">
        <v>225</v>
      </c>
      <c r="C27" s="12">
        <v>97</v>
      </c>
      <c r="D27" s="10">
        <v>79.817390000000003</v>
      </c>
      <c r="E27" s="9">
        <f t="shared" si="0"/>
        <v>82.28596907216496</v>
      </c>
      <c r="F27" s="9">
        <f t="shared" si="1"/>
        <v>-17.182609999999997</v>
      </c>
    </row>
    <row r="28" spans="1:6" ht="0.7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131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.5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18</v>
      </c>
      <c r="C37" s="127">
        <f>SUM(C4,C25)</f>
        <v>1134.2919999999999</v>
      </c>
      <c r="D37" s="127">
        <f>D4+D25</f>
        <v>1154.7018599999999</v>
      </c>
      <c r="E37" s="5">
        <f t="shared" si="0"/>
        <v>101.79934796331102</v>
      </c>
      <c r="F37" s="5">
        <f t="shared" si="1"/>
        <v>20.409859999999981</v>
      </c>
    </row>
    <row r="38" spans="1:7" s="6" customFormat="1">
      <c r="A38" s="3">
        <v>2000000000</v>
      </c>
      <c r="B38" s="4" t="s">
        <v>19</v>
      </c>
      <c r="C38" s="5">
        <f>C39+C41+C42+C43+C44+C45</f>
        <v>4102.3447200000001</v>
      </c>
      <c r="D38" s="5">
        <f>D39+D41+D42+D43+D45+D44</f>
        <v>3209.8101200000001</v>
      </c>
      <c r="E38" s="5">
        <f t="shared" si="0"/>
        <v>78.243305696650481</v>
      </c>
      <c r="F38" s="5">
        <f t="shared" si="1"/>
        <v>-892.53459999999995</v>
      </c>
      <c r="G38" s="19"/>
    </row>
    <row r="39" spans="1:7" ht="14.25" customHeight="1">
      <c r="A39" s="16">
        <v>2021000000</v>
      </c>
      <c r="B39" s="17" t="s">
        <v>20</v>
      </c>
      <c r="C39" s="99">
        <v>1275.4000000000001</v>
      </c>
      <c r="D39" s="99">
        <v>1190.482</v>
      </c>
      <c r="E39" s="9">
        <f t="shared" si="0"/>
        <v>93.341853536145507</v>
      </c>
      <c r="F39" s="9">
        <f t="shared" si="1"/>
        <v>-84.91800000000012</v>
      </c>
    </row>
    <row r="40" spans="1:7" ht="15.75" hidden="1" customHeight="1">
      <c r="A40" s="16">
        <v>2020100310</v>
      </c>
      <c r="B40" s="17" t="s">
        <v>231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231</v>
      </c>
      <c r="C41" s="99">
        <v>90</v>
      </c>
      <c r="D41" s="20">
        <v>67.5</v>
      </c>
      <c r="E41" s="9">
        <f t="shared" si="0"/>
        <v>75</v>
      </c>
      <c r="F41" s="9">
        <f t="shared" si="1"/>
        <v>-22.5</v>
      </c>
    </row>
    <row r="42" spans="1:7">
      <c r="A42" s="16">
        <v>2022000000</v>
      </c>
      <c r="B42" s="17" t="s">
        <v>21</v>
      </c>
      <c r="C42" s="99">
        <v>1474.0385200000001</v>
      </c>
      <c r="D42" s="10">
        <v>1142.60852</v>
      </c>
      <c r="E42" s="9">
        <f t="shared" si="0"/>
        <v>77.51551295959348</v>
      </c>
      <c r="F42" s="9">
        <f t="shared" si="1"/>
        <v>-331.43000000000006</v>
      </c>
    </row>
    <row r="43" spans="1:7" ht="17.25" customHeight="1">
      <c r="A43" s="16">
        <v>2023000000</v>
      </c>
      <c r="B43" s="17" t="s">
        <v>22</v>
      </c>
      <c r="C43" s="12">
        <v>92.456000000000003</v>
      </c>
      <c r="D43" s="187">
        <v>83.048400000000001</v>
      </c>
      <c r="E43" s="9">
        <f t="shared" si="0"/>
        <v>89.824781517694902</v>
      </c>
      <c r="F43" s="9">
        <f t="shared" si="1"/>
        <v>-9.4076000000000022</v>
      </c>
    </row>
    <row r="44" spans="1:7" ht="13.5" customHeight="1">
      <c r="A44" s="16">
        <v>2020400000</v>
      </c>
      <c r="B44" s="17" t="s">
        <v>23</v>
      </c>
      <c r="C44" s="12">
        <v>1164.279</v>
      </c>
      <c r="D44" s="188">
        <v>720</v>
      </c>
      <c r="E44" s="9">
        <f t="shared" si="0"/>
        <v>61.840847425745892</v>
      </c>
      <c r="F44" s="9">
        <f t="shared" si="1"/>
        <v>-444.279</v>
      </c>
    </row>
    <row r="45" spans="1:7" ht="14.25" customHeight="1">
      <c r="A45" s="16">
        <v>2070500010</v>
      </c>
      <c r="B45" s="8" t="s">
        <v>352</v>
      </c>
      <c r="C45" s="12">
        <v>6.1711999999999998</v>
      </c>
      <c r="D45" s="188">
        <v>6.1711999999999998</v>
      </c>
      <c r="E45" s="9">
        <f t="shared" si="0"/>
        <v>100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325</v>
      </c>
      <c r="C48" s="191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27</v>
      </c>
      <c r="C49" s="254">
        <f>C37+C38</f>
        <v>5236.6367200000004</v>
      </c>
      <c r="D49" s="254">
        <f>D37+D38</f>
        <v>4364.5119800000002</v>
      </c>
      <c r="E49" s="5">
        <f t="shared" si="0"/>
        <v>83.345708579150781</v>
      </c>
      <c r="F49" s="5">
        <f t="shared" si="1"/>
        <v>-872.1247400000002</v>
      </c>
      <c r="G49" s="200"/>
      <c r="H49" s="249"/>
    </row>
    <row r="50" spans="1:8" s="6" customFormat="1" ht="15.75" customHeight="1">
      <c r="A50" s="3"/>
      <c r="B50" s="21" t="s">
        <v>320</v>
      </c>
      <c r="C50" s="194">
        <f>C49-C96</f>
        <v>-283.55249999999978</v>
      </c>
      <c r="D50" s="194">
        <f>D49-D96</f>
        <v>-26.664690000000519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0</v>
      </c>
      <c r="B52" s="28" t="s">
        <v>28</v>
      </c>
      <c r="C52" s="184" t="s">
        <v>411</v>
      </c>
      <c r="D52" s="73" t="s">
        <v>422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29</v>
      </c>
      <c r="B54" s="31" t="s">
        <v>30</v>
      </c>
      <c r="C54" s="32">
        <f>C55+C56+C57+C58+C59+C61+C60</f>
        <v>1129.8700000000001</v>
      </c>
      <c r="D54" s="33">
        <f>D56+D61</f>
        <v>919.04741000000001</v>
      </c>
      <c r="E54" s="34">
        <f>SUM(D54/C54*100)</f>
        <v>81.340987016205403</v>
      </c>
      <c r="F54" s="34">
        <f>SUM(D54-C54)</f>
        <v>-210.8225900000001</v>
      </c>
    </row>
    <row r="55" spans="1:8" s="6" customFormat="1" ht="17.25" hidden="1" customHeight="1">
      <c r="A55" s="35" t="s">
        <v>31</v>
      </c>
      <c r="B55" s="36" t="s">
        <v>32</v>
      </c>
      <c r="C55" s="37"/>
      <c r="D55" s="37"/>
      <c r="E55" s="38"/>
      <c r="F55" s="38"/>
    </row>
    <row r="56" spans="1:8" ht="20.25" customHeight="1">
      <c r="A56" s="35" t="s">
        <v>33</v>
      </c>
      <c r="B56" s="39" t="s">
        <v>34</v>
      </c>
      <c r="C56" s="37">
        <v>1118.6790000000001</v>
      </c>
      <c r="D56" s="37">
        <v>916.35690999999997</v>
      </c>
      <c r="E56" s="38">
        <f>SUM(D56/C56*100)</f>
        <v>81.914196118815127</v>
      </c>
      <c r="F56" s="38">
        <f t="shared" ref="F56:F96" si="3">SUM(D56-C56)</f>
        <v>-202.32209000000012</v>
      </c>
    </row>
    <row r="57" spans="1:8" ht="0.75" hidden="1" customHeight="1">
      <c r="A57" s="35" t="s">
        <v>35</v>
      </c>
      <c r="B57" s="39" t="s">
        <v>36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37</v>
      </c>
      <c r="B58" s="39" t="s">
        <v>38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39</v>
      </c>
      <c r="B59" s="39" t="s">
        <v>40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41</v>
      </c>
      <c r="B60" s="39" t="s">
        <v>42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43</v>
      </c>
      <c r="B61" s="39" t="s">
        <v>44</v>
      </c>
      <c r="C61" s="37">
        <v>6.1909999999999998</v>
      </c>
      <c r="D61" s="37">
        <v>2.6905000000000001</v>
      </c>
      <c r="E61" s="38">
        <f t="shared" si="4"/>
        <v>43.458245840736552</v>
      </c>
      <c r="F61" s="38">
        <f t="shared" si="3"/>
        <v>-3.5004999999999997</v>
      </c>
    </row>
    <row r="62" spans="1:8" s="6" customFormat="1" ht="17.850000000000001" customHeight="1">
      <c r="A62" s="41" t="s">
        <v>45</v>
      </c>
      <c r="B62" s="42" t="s">
        <v>46</v>
      </c>
      <c r="C62" s="32">
        <f>C63</f>
        <v>89.944999999999993</v>
      </c>
      <c r="D62" s="32">
        <f>D63</f>
        <v>66.755080000000007</v>
      </c>
      <c r="E62" s="34">
        <f t="shared" si="4"/>
        <v>74.217666351659361</v>
      </c>
      <c r="F62" s="34">
        <f t="shared" si="3"/>
        <v>-23.189919999999987</v>
      </c>
    </row>
    <row r="63" spans="1:8" ht="17.850000000000001" customHeight="1">
      <c r="A63" s="43" t="s">
        <v>47</v>
      </c>
      <c r="B63" s="44" t="s">
        <v>48</v>
      </c>
      <c r="C63" s="37">
        <v>89.944999999999993</v>
      </c>
      <c r="D63" s="37">
        <v>66.755080000000007</v>
      </c>
      <c r="E63" s="38">
        <f t="shared" si="4"/>
        <v>74.217666351659361</v>
      </c>
      <c r="F63" s="38">
        <f t="shared" si="3"/>
        <v>-23.189919999999987</v>
      </c>
    </row>
    <row r="64" spans="1:8" s="6" customFormat="1" ht="17.25" customHeight="1">
      <c r="A64" s="30" t="s">
        <v>49</v>
      </c>
      <c r="B64" s="31" t="s">
        <v>50</v>
      </c>
      <c r="C64" s="32">
        <f>C67+C68+C69</f>
        <v>6.7031100000000006</v>
      </c>
      <c r="D64" s="32">
        <f>SUM(D67+D68+D69)</f>
        <v>4.7031100000000006</v>
      </c>
      <c r="E64" s="34">
        <f t="shared" si="4"/>
        <v>70.163103395289653</v>
      </c>
      <c r="F64" s="34">
        <f t="shared" si="3"/>
        <v>-2</v>
      </c>
    </row>
    <row r="65" spans="1:7" ht="17.25" hidden="1" customHeight="1">
      <c r="A65" s="3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53</v>
      </c>
      <c r="B66" s="39" t="s">
        <v>54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55</v>
      </c>
      <c r="B67" s="47" t="s">
        <v>56</v>
      </c>
      <c r="C67" s="37">
        <v>2.7031100000000001</v>
      </c>
      <c r="D67" s="37">
        <v>2.7031100000000001</v>
      </c>
      <c r="E67" s="34">
        <f t="shared" si="4"/>
        <v>100</v>
      </c>
      <c r="F67" s="34">
        <f t="shared" si="3"/>
        <v>0</v>
      </c>
    </row>
    <row r="68" spans="1:7" ht="18" customHeight="1">
      <c r="A68" s="46" t="s">
        <v>218</v>
      </c>
      <c r="B68" s="47" t="s">
        <v>219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357</v>
      </c>
      <c r="B69" s="47" t="s">
        <v>360</v>
      </c>
      <c r="C69" s="37">
        <v>2</v>
      </c>
      <c r="D69" s="37">
        <v>2</v>
      </c>
      <c r="E69" s="38"/>
      <c r="F69" s="38"/>
    </row>
    <row r="70" spans="1:7" s="6" customFormat="1" ht="15.75" customHeight="1">
      <c r="A70" s="30" t="s">
        <v>57</v>
      </c>
      <c r="B70" s="31" t="s">
        <v>58</v>
      </c>
      <c r="C70" s="48">
        <f>SUM(C71:C74)</f>
        <v>2081.1499199999998</v>
      </c>
      <c r="D70" s="48">
        <f>D71+D72+D73+D74</f>
        <v>1625.7107100000001</v>
      </c>
      <c r="E70" s="34">
        <f t="shared" si="4"/>
        <v>78.115982629449405</v>
      </c>
      <c r="F70" s="34">
        <f t="shared" si="3"/>
        <v>-455.43920999999978</v>
      </c>
    </row>
    <row r="71" spans="1:7" ht="16.5" customHeight="1">
      <c r="A71" s="35" t="s">
        <v>59</v>
      </c>
      <c r="B71" s="39" t="s">
        <v>60</v>
      </c>
      <c r="C71" s="49">
        <v>6.7024999999999997</v>
      </c>
      <c r="D71" s="37">
        <v>1.3405</v>
      </c>
      <c r="E71" s="38">
        <f t="shared" si="4"/>
        <v>20</v>
      </c>
      <c r="F71" s="38">
        <f t="shared" si="3"/>
        <v>-5.3620000000000001</v>
      </c>
    </row>
    <row r="72" spans="1:7" s="6" customFormat="1" ht="19.5" customHeight="1">
      <c r="A72" s="35" t="s">
        <v>61</v>
      </c>
      <c r="B72" s="39" t="s">
        <v>62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63</v>
      </c>
      <c r="B73" s="39" t="s">
        <v>64</v>
      </c>
      <c r="C73" s="49">
        <v>2037.94742</v>
      </c>
      <c r="D73" s="37">
        <v>1596.06521</v>
      </c>
      <c r="E73" s="38">
        <f t="shared" si="4"/>
        <v>78.317290933835764</v>
      </c>
      <c r="F73" s="38">
        <f t="shared" si="3"/>
        <v>-441.88220999999999</v>
      </c>
    </row>
    <row r="74" spans="1:7" ht="15.75" customHeight="1">
      <c r="A74" s="35" t="s">
        <v>65</v>
      </c>
      <c r="B74" s="39" t="s">
        <v>66</v>
      </c>
      <c r="C74" s="49">
        <v>36.5</v>
      </c>
      <c r="D74" s="37">
        <v>28.305</v>
      </c>
      <c r="E74" s="38">
        <f t="shared" si="4"/>
        <v>77.547945205479451</v>
      </c>
      <c r="F74" s="38">
        <f t="shared" si="3"/>
        <v>-8.1950000000000003</v>
      </c>
    </row>
    <row r="75" spans="1:7" s="6" customFormat="1" ht="18" customHeight="1">
      <c r="A75" s="30" t="s">
        <v>67</v>
      </c>
      <c r="B75" s="31" t="s">
        <v>68</v>
      </c>
      <c r="C75" s="32">
        <f>SUM(C76:C78)</f>
        <v>238.12430000000001</v>
      </c>
      <c r="D75" s="32">
        <f>D78</f>
        <v>176.36528000000001</v>
      </c>
      <c r="E75" s="34">
        <f t="shared" si="4"/>
        <v>74.064377302106507</v>
      </c>
      <c r="F75" s="34">
        <f t="shared" si="3"/>
        <v>-61.759019999999992</v>
      </c>
    </row>
    <row r="76" spans="1:7" ht="15.75" hidden="1" customHeight="1">
      <c r="A76" s="35" t="s">
        <v>69</v>
      </c>
      <c r="B76" s="51" t="s">
        <v>70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71</v>
      </c>
      <c r="B77" s="51" t="s">
        <v>72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73</v>
      </c>
      <c r="B78" s="39" t="s">
        <v>74</v>
      </c>
      <c r="C78" s="37">
        <v>238.12430000000001</v>
      </c>
      <c r="D78" s="37">
        <v>176.36528000000001</v>
      </c>
      <c r="E78" s="38">
        <f t="shared" si="4"/>
        <v>74.064377302106507</v>
      </c>
      <c r="F78" s="38">
        <f t="shared" si="3"/>
        <v>-61.759019999999992</v>
      </c>
    </row>
    <row r="79" spans="1:7" s="6" customFormat="1" ht="17.850000000000001" customHeight="1">
      <c r="A79" s="30" t="s">
        <v>85</v>
      </c>
      <c r="B79" s="31" t="s">
        <v>86</v>
      </c>
      <c r="C79" s="32">
        <f>C80</f>
        <v>1968.7</v>
      </c>
      <c r="D79" s="32">
        <f>D80</f>
        <v>1596.5950800000001</v>
      </c>
      <c r="E79" s="34">
        <f t="shared" si="4"/>
        <v>81.098952608320204</v>
      </c>
      <c r="F79" s="34">
        <f t="shared" si="3"/>
        <v>-372.10491999999999</v>
      </c>
    </row>
    <row r="80" spans="1:7" ht="15" customHeight="1">
      <c r="A80" s="35" t="s">
        <v>87</v>
      </c>
      <c r="B80" s="39" t="s">
        <v>233</v>
      </c>
      <c r="C80" s="37">
        <v>1968.7</v>
      </c>
      <c r="D80" s="37">
        <v>1596.5950800000001</v>
      </c>
      <c r="E80" s="38">
        <f t="shared" si="4"/>
        <v>81.098952608320204</v>
      </c>
      <c r="F80" s="38">
        <f t="shared" si="3"/>
        <v>-372.10491999999999</v>
      </c>
    </row>
    <row r="81" spans="1:8" s="6" customFormat="1" ht="0.75" hidden="1" customHeight="1">
      <c r="A81" s="52">
        <v>1000</v>
      </c>
      <c r="B81" s="31" t="s">
        <v>88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89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90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91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92</v>
      </c>
      <c r="B85" s="39" t="s">
        <v>93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94</v>
      </c>
      <c r="B86" s="31" t="s">
        <v>95</v>
      </c>
      <c r="C86" s="32">
        <f>C87+C88+C89+C90+C91</f>
        <v>5.6968899999999998</v>
      </c>
      <c r="D86" s="32">
        <f>D87+D88+D89+D90+D91</f>
        <v>2</v>
      </c>
      <c r="E86" s="38">
        <f t="shared" si="4"/>
        <v>35.106874101483442</v>
      </c>
      <c r="F86" s="22">
        <f>F87+F88+F89+F90+F91</f>
        <v>-3.6968899999999998</v>
      </c>
    </row>
    <row r="87" spans="1:8" ht="17.25" customHeight="1">
      <c r="A87" s="35" t="s">
        <v>96</v>
      </c>
      <c r="B87" s="39" t="s">
        <v>97</v>
      </c>
      <c r="C87" s="37">
        <v>5.6968899999999998</v>
      </c>
      <c r="D87" s="37">
        <v>2</v>
      </c>
      <c r="E87" s="38">
        <f t="shared" si="4"/>
        <v>35.106874101483442</v>
      </c>
      <c r="F87" s="38">
        <f>SUM(D87-C87)</f>
        <v>-3.6968899999999998</v>
      </c>
    </row>
    <row r="88" spans="1:8" ht="15.75" hidden="1" customHeight="1">
      <c r="A88" s="35" t="s">
        <v>98</v>
      </c>
      <c r="B88" s="39" t="s">
        <v>99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100</v>
      </c>
      <c r="B89" s="39" t="s">
        <v>101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102</v>
      </c>
      <c r="B90" s="39" t="s">
        <v>103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104</v>
      </c>
      <c r="B91" s="39" t="s">
        <v>105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114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115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116</v>
      </c>
      <c r="C94" s="175"/>
      <c r="D94" s="176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117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118</v>
      </c>
      <c r="C96" s="278">
        <f>C54+C62+C64+C70+C75+C79+C81+C86+C92</f>
        <v>5520.1892200000002</v>
      </c>
      <c r="D96" s="256">
        <f>D54+D62+D64+D70+D75+D79+D86</f>
        <v>4391.1766700000007</v>
      </c>
      <c r="E96" s="34">
        <f t="shared" si="4"/>
        <v>79.547575182576807</v>
      </c>
      <c r="F96" s="34">
        <f t="shared" si="3"/>
        <v>-1129.0125499999995</v>
      </c>
      <c r="G96" s="249"/>
      <c r="H96" s="249"/>
    </row>
    <row r="97" spans="1:4" ht="20.25" customHeight="1">
      <c r="C97" s="126"/>
      <c r="D97" s="101"/>
    </row>
    <row r="98" spans="1:4" s="65" customFormat="1" ht="13.5" customHeight="1">
      <c r="A98" s="63" t="s">
        <v>119</v>
      </c>
      <c r="B98" s="63"/>
      <c r="C98" s="116"/>
      <c r="D98" s="64"/>
    </row>
    <row r="99" spans="1:4" s="65" customFormat="1" ht="12.75">
      <c r="A99" s="66" t="s">
        <v>120</v>
      </c>
      <c r="B99" s="66"/>
      <c r="C99" s="134" t="s">
        <v>121</v>
      </c>
      <c r="D99" s="134"/>
    </row>
    <row r="100" spans="1:4" ht="5.25" customHeight="1">
      <c r="C100" s="120"/>
    </row>
    <row r="142" hidden="1"/>
  </sheetData>
  <customSheetViews>
    <customSheetView guid="{120EA1E0-6265-45F1-AFBB-CEB5CB007D02}" scale="70" showPageBreaks="1" hiddenRows="1" view="pageBreakPreview" topLeftCell="A2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47">
      <selection activeCell="D80" sqref="D80"/>
      <pageMargins left="0.7" right="0.7" top="0.75" bottom="0.75" header="0.3" footer="0.3"/>
      <pageSetup paperSize="9" scale="60" orientation="portrait" r:id="rId2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5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8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9"/>
    </customSheetView>
    <customSheetView guid="{61528DAC-5C4C-48F4-ADE2-8A724B05A086}" scale="70" showPageBreaks="1" hiddenRows="1" view="pageBreakPreview" topLeftCell="A2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zoomScale="70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1026.2959999999998</v>
      </c>
      <c r="D4" s="5">
        <f>D5+D12+D14+D17+D20+D7</f>
        <v>995.81572000000006</v>
      </c>
      <c r="E4" s="5">
        <f>SUM(D4/C4*100)</f>
        <v>97.030069297746479</v>
      </c>
      <c r="F4" s="5">
        <f>SUM(D4-C4)</f>
        <v>-30.480279999999766</v>
      </c>
    </row>
    <row r="5" spans="1:6" s="6" customFormat="1">
      <c r="A5" s="68">
        <v>1010000000</v>
      </c>
      <c r="B5" s="67" t="s">
        <v>5</v>
      </c>
      <c r="C5" s="5">
        <f>C6</f>
        <v>86.510999999999996</v>
      </c>
      <c r="D5" s="5">
        <f>D6</f>
        <v>91.036119999999997</v>
      </c>
      <c r="E5" s="5">
        <f t="shared" ref="E5:E51" si="0">SUM(D5/C5*100)</f>
        <v>105.23068742703241</v>
      </c>
      <c r="F5" s="5">
        <f t="shared" ref="F5:F51" si="1">SUM(D5-C5)</f>
        <v>4.5251200000000011</v>
      </c>
    </row>
    <row r="6" spans="1:6">
      <c r="A6" s="7">
        <v>1010200001</v>
      </c>
      <c r="B6" s="8" t="s">
        <v>228</v>
      </c>
      <c r="C6" s="9">
        <v>86.510999999999996</v>
      </c>
      <c r="D6" s="10">
        <v>91.036119999999997</v>
      </c>
      <c r="E6" s="9">
        <f t="shared" ref="E6:E11" si="2">SUM(D6/C6*100)</f>
        <v>105.23068742703241</v>
      </c>
      <c r="F6" s="9">
        <f t="shared" si="1"/>
        <v>4.5251200000000011</v>
      </c>
    </row>
    <row r="7" spans="1:6" ht="31.5">
      <c r="A7" s="3">
        <v>1030000000</v>
      </c>
      <c r="B7" s="13" t="s">
        <v>280</v>
      </c>
      <c r="C7" s="5">
        <f>C8+C10+C9</f>
        <v>316.78499999999997</v>
      </c>
      <c r="D7" s="5">
        <f>D8+D10+D9+D11</f>
        <v>353.43392999999998</v>
      </c>
      <c r="E7" s="9">
        <f t="shared" si="2"/>
        <v>111.56902315450543</v>
      </c>
      <c r="F7" s="9">
        <f t="shared" si="1"/>
        <v>36.648930000000007</v>
      </c>
    </row>
    <row r="8" spans="1:6">
      <c r="A8" s="7">
        <v>1030223001</v>
      </c>
      <c r="B8" s="8" t="s">
        <v>282</v>
      </c>
      <c r="C8" s="9">
        <v>118.16</v>
      </c>
      <c r="D8" s="10">
        <v>160.6413</v>
      </c>
      <c r="E8" s="9">
        <f t="shared" si="2"/>
        <v>135.9523527420447</v>
      </c>
      <c r="F8" s="9">
        <f t="shared" si="1"/>
        <v>42.481300000000005</v>
      </c>
    </row>
    <row r="9" spans="1:6">
      <c r="A9" s="7">
        <v>1030224001</v>
      </c>
      <c r="B9" s="8" t="s">
        <v>288</v>
      </c>
      <c r="C9" s="9">
        <v>1.2649999999999999</v>
      </c>
      <c r="D9" s="10">
        <v>1.18292</v>
      </c>
      <c r="E9" s="9">
        <f t="shared" si="2"/>
        <v>93.511462450592887</v>
      </c>
      <c r="F9" s="9">
        <f t="shared" si="1"/>
        <v>-8.2079999999999931E-2</v>
      </c>
    </row>
    <row r="10" spans="1:6">
      <c r="A10" s="7">
        <v>1030225001</v>
      </c>
      <c r="B10" s="8" t="s">
        <v>281</v>
      </c>
      <c r="C10" s="9">
        <v>197.36</v>
      </c>
      <c r="D10" s="10">
        <v>215.80292</v>
      </c>
      <c r="E10" s="9">
        <f t="shared" si="2"/>
        <v>109.34481151195783</v>
      </c>
      <c r="F10" s="9">
        <f t="shared" si="1"/>
        <v>18.442919999999987</v>
      </c>
    </row>
    <row r="11" spans="1:6">
      <c r="A11" s="7">
        <v>1030226001</v>
      </c>
      <c r="B11" s="8" t="s">
        <v>290</v>
      </c>
      <c r="C11" s="9">
        <v>0</v>
      </c>
      <c r="D11" s="10">
        <v>-24.193210000000001</v>
      </c>
      <c r="E11" s="9" t="e">
        <f t="shared" si="2"/>
        <v>#DIV/0!</v>
      </c>
      <c r="F11" s="9">
        <f t="shared" si="1"/>
        <v>-24.193210000000001</v>
      </c>
    </row>
    <row r="12" spans="1:6" s="6" customFormat="1">
      <c r="A12" s="68">
        <v>1050000000</v>
      </c>
      <c r="B12" s="67" t="s">
        <v>6</v>
      </c>
      <c r="C12" s="5">
        <f>SUM(C13:C13)</f>
        <v>65</v>
      </c>
      <c r="D12" s="5">
        <f>SUM(D13:D13)</f>
        <v>69.128699999999995</v>
      </c>
      <c r="E12" s="5">
        <f t="shared" si="0"/>
        <v>106.35184615384614</v>
      </c>
      <c r="F12" s="5">
        <f t="shared" si="1"/>
        <v>4.1286999999999949</v>
      </c>
    </row>
    <row r="13" spans="1:6" ht="15.75" customHeight="1">
      <c r="A13" s="7">
        <v>1050300000</v>
      </c>
      <c r="B13" s="11" t="s">
        <v>229</v>
      </c>
      <c r="C13" s="12">
        <v>65</v>
      </c>
      <c r="D13" s="10">
        <v>69.128699999999995</v>
      </c>
      <c r="E13" s="9">
        <f t="shared" si="0"/>
        <v>106.35184615384614</v>
      </c>
      <c r="F13" s="9">
        <f t="shared" si="1"/>
        <v>4.1286999999999949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548</v>
      </c>
      <c r="D14" s="5">
        <f>D15+D16</f>
        <v>477.61696999999998</v>
      </c>
      <c r="E14" s="9">
        <f t="shared" si="0"/>
        <v>87.156381386861312</v>
      </c>
      <c r="F14" s="9">
        <f t="shared" si="1"/>
        <v>-70.383030000000019</v>
      </c>
    </row>
    <row r="15" spans="1:6" s="6" customFormat="1" ht="15.75" customHeight="1">
      <c r="A15" s="7">
        <v>1060100000</v>
      </c>
      <c r="B15" s="11" t="s">
        <v>8</v>
      </c>
      <c r="C15" s="192">
        <v>88</v>
      </c>
      <c r="D15" s="10">
        <v>82.722800000000007</v>
      </c>
      <c r="E15" s="9">
        <f>SUM(D15/C15*100)</f>
        <v>94.003181818181829</v>
      </c>
      <c r="F15" s="9">
        <f>SUM(D15-C14)</f>
        <v>-465.27719999999999</v>
      </c>
    </row>
    <row r="16" spans="1:6" ht="15.75" customHeight="1">
      <c r="A16" s="7">
        <v>1060600000</v>
      </c>
      <c r="B16" s="11" t="s">
        <v>7</v>
      </c>
      <c r="C16" s="9">
        <v>460</v>
      </c>
      <c r="D16" s="10">
        <v>394.89416999999997</v>
      </c>
      <c r="E16" s="9">
        <f t="shared" si="0"/>
        <v>85.846558695652163</v>
      </c>
      <c r="F16" s="9">
        <f t="shared" si="1"/>
        <v>-65.105830000000026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4.5999999999999996</v>
      </c>
      <c r="E17" s="5">
        <f t="shared" si="0"/>
        <v>46</v>
      </c>
      <c r="F17" s="5">
        <f t="shared" si="1"/>
        <v>-5.4</v>
      </c>
    </row>
    <row r="18" spans="1:6" ht="18.75" customHeight="1">
      <c r="A18" s="7">
        <v>1080400001</v>
      </c>
      <c r="B18" s="8" t="s">
        <v>227</v>
      </c>
      <c r="C18" s="9">
        <v>10</v>
      </c>
      <c r="D18" s="10">
        <v>4.5999999999999996</v>
      </c>
      <c r="E18" s="9">
        <f t="shared" si="0"/>
        <v>46</v>
      </c>
      <c r="F18" s="9">
        <f t="shared" si="1"/>
        <v>-5.4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230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85</v>
      </c>
      <c r="D25" s="5">
        <f>D26+D29+D31+D37-D34</f>
        <v>88.538049999999998</v>
      </c>
      <c r="E25" s="5">
        <f t="shared" si="0"/>
        <v>104.16241176470589</v>
      </c>
      <c r="F25" s="5">
        <f t="shared" si="1"/>
        <v>3.5380499999999984</v>
      </c>
    </row>
    <row r="26" spans="1:6" s="6" customFormat="1" ht="15.75" customHeight="1">
      <c r="A26" s="68">
        <v>1110000000</v>
      </c>
      <c r="B26" s="69" t="s">
        <v>128</v>
      </c>
      <c r="C26" s="5">
        <f>C27+C28</f>
        <v>55</v>
      </c>
      <c r="D26" s="5">
        <f>D27+D28</f>
        <v>43.258000000000003</v>
      </c>
      <c r="E26" s="5">
        <f t="shared" si="0"/>
        <v>78.650909090909096</v>
      </c>
      <c r="F26" s="5">
        <f t="shared" si="1"/>
        <v>-11.741999999999997</v>
      </c>
    </row>
    <row r="27" spans="1:6" ht="15.75" customHeight="1">
      <c r="A27" s="16">
        <v>1110502510</v>
      </c>
      <c r="B27" s="17" t="s">
        <v>225</v>
      </c>
      <c r="C27" s="12">
        <v>55</v>
      </c>
      <c r="D27" s="10">
        <v>43.258000000000003</v>
      </c>
      <c r="E27" s="9">
        <f t="shared" si="0"/>
        <v>78.650909090909096</v>
      </c>
      <c r="F27" s="9">
        <f t="shared" si="1"/>
        <v>-11.741999999999997</v>
      </c>
    </row>
    <row r="28" spans="1:6" ht="17.25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130</v>
      </c>
      <c r="C29" s="5">
        <f>C30</f>
        <v>30</v>
      </c>
      <c r="D29" s="5">
        <f>D30</f>
        <v>45.280050000000003</v>
      </c>
      <c r="E29" s="5">
        <f t="shared" si="0"/>
        <v>150.93350000000001</v>
      </c>
      <c r="F29" s="5">
        <f t="shared" si="1"/>
        <v>15.280050000000003</v>
      </c>
    </row>
    <row r="30" spans="1:6" ht="17.25" customHeight="1">
      <c r="A30" s="7">
        <v>1130206005</v>
      </c>
      <c r="B30" s="8" t="s">
        <v>223</v>
      </c>
      <c r="C30" s="9">
        <v>30</v>
      </c>
      <c r="D30" s="10">
        <v>45.280050000000003</v>
      </c>
      <c r="E30" s="9">
        <f t="shared" si="0"/>
        <v>150.93350000000001</v>
      </c>
      <c r="F30" s="9">
        <f t="shared" si="1"/>
        <v>15.280050000000003</v>
      </c>
    </row>
    <row r="31" spans="1:6" ht="22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342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18</v>
      </c>
      <c r="C40" s="127">
        <f>SUM(C4,C25)</f>
        <v>1111.2959999999998</v>
      </c>
      <c r="D40" s="127">
        <f>D4+D25</f>
        <v>1084.3537700000002</v>
      </c>
      <c r="E40" s="5">
        <f t="shared" si="0"/>
        <v>97.575602719707462</v>
      </c>
      <c r="F40" s="5">
        <f t="shared" si="1"/>
        <v>-26.942229999999654</v>
      </c>
    </row>
    <row r="41" spans="1:7" s="6" customFormat="1">
      <c r="A41" s="3">
        <v>2000000000</v>
      </c>
      <c r="B41" s="4" t="s">
        <v>19</v>
      </c>
      <c r="C41" s="5">
        <f>C42+C44+C45+C46+C47+C48+C43+C50</f>
        <v>4919.3657199999998</v>
      </c>
      <c r="D41" s="5">
        <f>D42+D44+D45+D46+D47+D48+D43+D50</f>
        <v>4583.5041999999994</v>
      </c>
      <c r="E41" s="5">
        <f t="shared" si="0"/>
        <v>93.172666170467195</v>
      </c>
      <c r="F41" s="5">
        <f t="shared" si="1"/>
        <v>-335.86152000000038</v>
      </c>
      <c r="G41" s="19"/>
    </row>
    <row r="42" spans="1:7" ht="16.5" customHeight="1">
      <c r="A42" s="16">
        <v>2021000000</v>
      </c>
      <c r="B42" s="17" t="s">
        <v>20</v>
      </c>
      <c r="C42" s="12">
        <v>1969.9</v>
      </c>
      <c r="D42" s="12">
        <v>1838.741</v>
      </c>
      <c r="E42" s="9">
        <f t="shared" si="0"/>
        <v>93.341844763693587</v>
      </c>
      <c r="F42" s="9">
        <f t="shared" si="1"/>
        <v>-131.15900000000011</v>
      </c>
    </row>
    <row r="43" spans="1:7" ht="17.25" customHeight="1">
      <c r="A43" s="16">
        <v>2021500200</v>
      </c>
      <c r="B43" s="17" t="s">
        <v>231</v>
      </c>
      <c r="C43" s="12">
        <v>685</v>
      </c>
      <c r="D43" s="20">
        <v>685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21</v>
      </c>
      <c r="C44" s="12">
        <v>1682.0989999999999</v>
      </c>
      <c r="D44" s="10">
        <v>1556.079</v>
      </c>
      <c r="E44" s="9">
        <f>SUM(D44/C44*100)</f>
        <v>92.508169852071731</v>
      </c>
      <c r="F44" s="9">
        <f t="shared" si="1"/>
        <v>-126.01999999999998</v>
      </c>
    </row>
    <row r="45" spans="1:7" ht="17.25" customHeight="1">
      <c r="A45" s="16">
        <v>2023000000</v>
      </c>
      <c r="B45" s="17" t="s">
        <v>22</v>
      </c>
      <c r="C45" s="12">
        <v>92.710999999999999</v>
      </c>
      <c r="D45" s="187">
        <v>84.243200000000002</v>
      </c>
      <c r="E45" s="9">
        <f t="shared" si="0"/>
        <v>90.866455976097768</v>
      </c>
      <c r="F45" s="9">
        <f t="shared" si="1"/>
        <v>-8.4677999999999969</v>
      </c>
    </row>
    <row r="46" spans="1:7" ht="21.75" customHeight="1">
      <c r="A46" s="16">
        <v>2020400000</v>
      </c>
      <c r="B46" s="17" t="s">
        <v>23</v>
      </c>
      <c r="C46" s="12">
        <v>160.21485000000001</v>
      </c>
      <c r="D46" s="188">
        <v>90</v>
      </c>
      <c r="E46" s="9">
        <f t="shared" si="0"/>
        <v>56.174568087789609</v>
      </c>
      <c r="F46" s="9">
        <f t="shared" si="1"/>
        <v>-70.214850000000013</v>
      </c>
    </row>
    <row r="47" spans="1:7" ht="32.2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25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352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27</v>
      </c>
      <c r="C51" s="250">
        <f>C40+C41</f>
        <v>6030.6617200000001</v>
      </c>
      <c r="D51" s="251">
        <f>D40+D41</f>
        <v>5667.8579699999991</v>
      </c>
      <c r="E51" s="93">
        <f t="shared" si="0"/>
        <v>93.984014245123319</v>
      </c>
      <c r="F51" s="93">
        <f t="shared" si="1"/>
        <v>-362.80375000000095</v>
      </c>
      <c r="G51" s="200">
        <f>5983.9151-C51</f>
        <v>-46.746619999999893</v>
      </c>
      <c r="H51" s="200">
        <f>1166.88463-D51</f>
        <v>-4500.9733399999986</v>
      </c>
    </row>
    <row r="52" spans="1:8" s="6" customFormat="1">
      <c r="A52" s="3"/>
      <c r="B52" s="21" t="s">
        <v>320</v>
      </c>
      <c r="C52" s="93">
        <f>C51-C98</f>
        <v>-170.08351999999923</v>
      </c>
      <c r="D52" s="93">
        <f>D51-D98</f>
        <v>101.72605999999814</v>
      </c>
      <c r="E52" s="22"/>
      <c r="F52" s="22"/>
    </row>
    <row r="53" spans="1:8">
      <c r="A53" s="23"/>
      <c r="B53" s="24"/>
      <c r="C53" s="186"/>
      <c r="D53" s="186"/>
      <c r="E53" s="26"/>
      <c r="F53" s="27"/>
    </row>
    <row r="54" spans="1:8" ht="46.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29</v>
      </c>
      <c r="B56" s="31" t="s">
        <v>30</v>
      </c>
      <c r="C56" s="182">
        <f>C57+C58+C59+C60+C61+C63+C62</f>
        <v>1344.4368899999999</v>
      </c>
      <c r="D56" s="33">
        <f>D57+D58+D59+D60+D61+D63+D62</f>
        <v>1093.1324199999999</v>
      </c>
      <c r="E56" s="34">
        <f>SUM(D56/C56*100)</f>
        <v>81.307826951996233</v>
      </c>
      <c r="F56" s="34">
        <f>SUM(D56-C56)</f>
        <v>-251.30447000000004</v>
      </c>
    </row>
    <row r="57" spans="1:8" s="6" customFormat="1" ht="31.5" hidden="1">
      <c r="A57" s="35" t="s">
        <v>31</v>
      </c>
      <c r="B57" s="36" t="s">
        <v>32</v>
      </c>
      <c r="C57" s="37"/>
      <c r="D57" s="136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1310.09889</v>
      </c>
      <c r="D58" s="37">
        <v>1083.7944199999999</v>
      </c>
      <c r="E58" s="38">
        <f t="shared" ref="E58:E98" si="3">SUM(D58/C58*100)</f>
        <v>82.72615359593199</v>
      </c>
      <c r="F58" s="38">
        <f t="shared" ref="F58:F98" si="4">SUM(D58-C58)</f>
        <v>-226.30447000000004</v>
      </c>
    </row>
    <row r="59" spans="1:8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hidden="1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43</v>
      </c>
      <c r="B63" s="39" t="s">
        <v>44</v>
      </c>
      <c r="C63" s="37">
        <v>29.338000000000001</v>
      </c>
      <c r="D63" s="37">
        <v>9.3379999999999992</v>
      </c>
      <c r="E63" s="38">
        <f t="shared" si="3"/>
        <v>31.829027200218142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89.945999999999998</v>
      </c>
      <c r="D64" s="32">
        <f>D65</f>
        <v>75.948800000000006</v>
      </c>
      <c r="E64" s="34">
        <f t="shared" si="3"/>
        <v>84.438218486647557</v>
      </c>
      <c r="F64" s="34">
        <f t="shared" si="4"/>
        <v>-13.997199999999992</v>
      </c>
    </row>
    <row r="65" spans="1:7">
      <c r="A65" s="43" t="s">
        <v>47</v>
      </c>
      <c r="B65" s="44" t="s">
        <v>48</v>
      </c>
      <c r="C65" s="37">
        <v>89.945999999999998</v>
      </c>
      <c r="D65" s="37">
        <v>75.948800000000006</v>
      </c>
      <c r="E65" s="38">
        <f t="shared" si="3"/>
        <v>84.438218486647557</v>
      </c>
      <c r="F65" s="38">
        <f t="shared" si="4"/>
        <v>-13.997199999999992</v>
      </c>
    </row>
    <row r="66" spans="1:7" s="6" customFormat="1" ht="18.75" customHeight="1">
      <c r="A66" s="30" t="s">
        <v>49</v>
      </c>
      <c r="B66" s="31" t="s">
        <v>50</v>
      </c>
      <c r="C66" s="32">
        <f>C69+C70+C71</f>
        <v>7.10311</v>
      </c>
      <c r="D66" s="32">
        <f>SUM(D69+D70+D71)</f>
        <v>6.5031100000000004</v>
      </c>
      <c r="E66" s="34">
        <f t="shared" si="3"/>
        <v>91.552995800431077</v>
      </c>
      <c r="F66" s="34">
        <f t="shared" si="4"/>
        <v>-0.59999999999999964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55</v>
      </c>
      <c r="B69" s="47" t="s">
        <v>56</v>
      </c>
      <c r="C69" s="97">
        <v>2.7031100000000001</v>
      </c>
      <c r="D69" s="37">
        <v>2.7031100000000001</v>
      </c>
      <c r="E69" s="38">
        <f t="shared" si="3"/>
        <v>100</v>
      </c>
      <c r="F69" s="38">
        <f t="shared" si="4"/>
        <v>0</v>
      </c>
    </row>
    <row r="70" spans="1:7" ht="15.75" customHeight="1">
      <c r="A70" s="46" t="s">
        <v>218</v>
      </c>
      <c r="B70" s="47" t="s">
        <v>219</v>
      </c>
      <c r="C70" s="37">
        <v>2.4</v>
      </c>
      <c r="D70" s="37">
        <v>1.8</v>
      </c>
      <c r="E70" s="38">
        <f t="shared" si="3"/>
        <v>75</v>
      </c>
      <c r="F70" s="38">
        <f t="shared" si="4"/>
        <v>-0.59999999999999987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2467.7672400000001</v>
      </c>
      <c r="D72" s="48">
        <f>SUM(D73:D76)</f>
        <v>2253.6292200000003</v>
      </c>
      <c r="E72" s="34">
        <f t="shared" si="3"/>
        <v>91.322600586917588</v>
      </c>
      <c r="F72" s="34">
        <f t="shared" si="4"/>
        <v>-214.13801999999987</v>
      </c>
    </row>
    <row r="73" spans="1:7" ht="15.75" customHeight="1">
      <c r="A73" s="35" t="s">
        <v>59</v>
      </c>
      <c r="B73" s="39" t="s">
        <v>60</v>
      </c>
      <c r="C73" s="49">
        <v>6.7024999999999997</v>
      </c>
      <c r="D73" s="37">
        <v>4.0214999999999996</v>
      </c>
      <c r="E73" s="38">
        <f t="shared" si="3"/>
        <v>60</v>
      </c>
      <c r="F73" s="38">
        <f t="shared" si="4"/>
        <v>-2.681</v>
      </c>
    </row>
    <row r="74" spans="1:7" s="6" customFormat="1" ht="19.5" customHeight="1">
      <c r="A74" s="35" t="s">
        <v>61</v>
      </c>
      <c r="B74" s="39" t="s">
        <v>62</v>
      </c>
      <c r="C74" s="49">
        <v>150.98500000000001</v>
      </c>
      <c r="D74" s="37">
        <v>97.435980000000001</v>
      </c>
      <c r="E74" s="38">
        <f t="shared" si="3"/>
        <v>64.533549690366584</v>
      </c>
      <c r="F74" s="38">
        <f t="shared" si="4"/>
        <v>-53.549020000000013</v>
      </c>
      <c r="G74" s="50"/>
    </row>
    <row r="75" spans="1:7">
      <c r="A75" s="35" t="s">
        <v>63</v>
      </c>
      <c r="B75" s="39" t="s">
        <v>64</v>
      </c>
      <c r="C75" s="49">
        <v>2259.00974</v>
      </c>
      <c r="D75" s="37">
        <v>2109.80474</v>
      </c>
      <c r="E75" s="38">
        <f t="shared" si="3"/>
        <v>93.395114799283689</v>
      </c>
      <c r="F75" s="38">
        <f t="shared" si="4"/>
        <v>-149.20499999999993</v>
      </c>
    </row>
    <row r="76" spans="1:7" ht="16.5" customHeight="1">
      <c r="A76" s="35" t="s">
        <v>65</v>
      </c>
      <c r="B76" s="39" t="s">
        <v>66</v>
      </c>
      <c r="C76" s="49">
        <v>51.07</v>
      </c>
      <c r="D76" s="37">
        <v>42.366999999999997</v>
      </c>
      <c r="E76" s="38">
        <f t="shared" si="3"/>
        <v>82.958684158997457</v>
      </c>
      <c r="F76" s="38">
        <f t="shared" si="4"/>
        <v>-8.703000000000003</v>
      </c>
    </row>
    <row r="77" spans="1:7" s="6" customFormat="1" ht="19.5" customHeight="1">
      <c r="A77" s="30" t="s">
        <v>67</v>
      </c>
      <c r="B77" s="31" t="s">
        <v>68</v>
      </c>
      <c r="C77" s="32">
        <f>SUM(C78:C80)</f>
        <v>666.60199999999998</v>
      </c>
      <c r="D77" s="32">
        <f>SUM(D78:D80)</f>
        <v>591.82213999999999</v>
      </c>
      <c r="E77" s="34">
        <f t="shared" si="3"/>
        <v>88.781932847486217</v>
      </c>
      <c r="F77" s="34">
        <f t="shared" si="4"/>
        <v>-74.779859999999985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73</v>
      </c>
      <c r="B80" s="39" t="s">
        <v>74</v>
      </c>
      <c r="C80" s="37">
        <v>666.60199999999998</v>
      </c>
      <c r="D80" s="37">
        <v>591.82213999999999</v>
      </c>
      <c r="E80" s="38">
        <f t="shared" si="3"/>
        <v>88.781932847486217</v>
      </c>
      <c r="F80" s="38">
        <f t="shared" si="4"/>
        <v>-74.779859999999985</v>
      </c>
    </row>
    <row r="81" spans="1:7" s="6" customFormat="1">
      <c r="A81" s="30" t="s">
        <v>85</v>
      </c>
      <c r="B81" s="31" t="s">
        <v>86</v>
      </c>
      <c r="C81" s="32">
        <f>C82</f>
        <v>1613.85</v>
      </c>
      <c r="D81" s="32">
        <f>SUM(D82)</f>
        <v>1534.0562199999999</v>
      </c>
      <c r="E81" s="34">
        <f t="shared" si="3"/>
        <v>95.055687951172658</v>
      </c>
      <c r="F81" s="34">
        <f t="shared" si="4"/>
        <v>-79.79377999999997</v>
      </c>
    </row>
    <row r="82" spans="1:7" ht="17.25" customHeight="1">
      <c r="A82" s="35" t="s">
        <v>87</v>
      </c>
      <c r="B82" s="39" t="s">
        <v>233</v>
      </c>
      <c r="C82" s="37">
        <v>1613.85</v>
      </c>
      <c r="D82" s="37">
        <v>1534.0562199999999</v>
      </c>
      <c r="E82" s="38">
        <f t="shared" si="3"/>
        <v>95.055687951172658</v>
      </c>
      <c r="F82" s="38">
        <f t="shared" si="4"/>
        <v>-79.79377999999997</v>
      </c>
    </row>
    <row r="83" spans="1:7" s="6" customFormat="1" ht="21.7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94</v>
      </c>
      <c r="B88" s="31" t="s">
        <v>95</v>
      </c>
      <c r="C88" s="32">
        <f>C89+C90+C91+C92+C93</f>
        <v>11.04</v>
      </c>
      <c r="D88" s="32">
        <f>D89</f>
        <v>11.04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96</v>
      </c>
      <c r="B89" s="39" t="s">
        <v>97</v>
      </c>
      <c r="C89" s="37">
        <v>11.04</v>
      </c>
      <c r="D89" s="37">
        <v>11.04</v>
      </c>
      <c r="E89" s="38">
        <f t="shared" si="3"/>
        <v>100</v>
      </c>
      <c r="F89" s="38">
        <f>SUM(D89-C89)</f>
        <v>0</v>
      </c>
      <c r="G89" s="247"/>
    </row>
    <row r="90" spans="1:7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100</v>
      </c>
      <c r="B91" s="39" t="s">
        <v>101</v>
      </c>
      <c r="C91" s="37"/>
      <c r="D91" s="37" t="s">
        <v>338</v>
      </c>
      <c r="E91" s="38" t="e">
        <f t="shared" si="3"/>
        <v>#VALUE!</v>
      </c>
      <c r="F91" s="38"/>
    </row>
    <row r="92" spans="1:7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117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118</v>
      </c>
      <c r="C98" s="278">
        <f>C56+C64+C66+C72+C77+C81+C83+C88+C94</f>
        <v>6200.7452399999993</v>
      </c>
      <c r="D98" s="253">
        <f>D56+D64+D66+D72+D77+D81+D83+D88+D94</f>
        <v>5566.131910000001</v>
      </c>
      <c r="E98" s="34">
        <f t="shared" si="3"/>
        <v>89.765531312168562</v>
      </c>
      <c r="F98" s="34">
        <f t="shared" si="4"/>
        <v>-634.61332999999831</v>
      </c>
      <c r="G98" s="200">
        <f>6153.99862-C98</f>
        <v>-46.746619999998984</v>
      </c>
      <c r="H98" s="200">
        <f>850.38803-D98</f>
        <v>-4715.7438800000009</v>
      </c>
    </row>
    <row r="99" spans="1:8">
      <c r="C99" s="126"/>
      <c r="D99" s="101"/>
    </row>
    <row r="100" spans="1:8" s="65" customFormat="1" ht="16.5" customHeight="1">
      <c r="A100" s="63" t="s">
        <v>119</v>
      </c>
      <c r="B100" s="63"/>
      <c r="C100" s="185"/>
      <c r="D100" s="185"/>
      <c r="E100" s="248"/>
    </row>
    <row r="101" spans="1:8" s="65" customFormat="1" ht="20.25" customHeight="1">
      <c r="A101" s="66" t="s">
        <v>120</v>
      </c>
      <c r="B101" s="66"/>
      <c r="C101" s="65" t="s">
        <v>121</v>
      </c>
    </row>
    <row r="102" spans="1:8" ht="13.5" customHeight="1">
      <c r="C102" s="120"/>
    </row>
    <row r="104" spans="1:8" ht="5.25" customHeight="1"/>
    <row r="142" hidden="1"/>
  </sheetData>
  <customSheetViews>
    <customSheetView guid="{120EA1E0-6265-45F1-AFBB-CEB5CB007D02}" scale="70" showPageBreaks="1" hiddenRows="1" view="pageBreakPreview">
      <selection activeCell="D98" sqref="D9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>
      <selection sqref="A1:F1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8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>
      <selection activeCell="D98" sqref="D9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27" zoomScale="70" zoomScaleSheetLayoutView="70" workbookViewId="0">
      <selection activeCell="D38" sqref="D38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8" t="s">
        <v>436</v>
      </c>
      <c r="B1" s="538"/>
      <c r="C1" s="538"/>
      <c r="D1" s="538"/>
      <c r="E1" s="538"/>
      <c r="F1" s="538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724.452</v>
      </c>
      <c r="D4" s="5">
        <f>D5+D12+D14+D17+D7</f>
        <v>734.11951999999997</v>
      </c>
      <c r="E4" s="5">
        <f>SUM(D4/C4*100)</f>
        <v>101.33445970195403</v>
      </c>
      <c r="F4" s="5">
        <f>SUM(D4-C4)</f>
        <v>9.6675199999999677</v>
      </c>
    </row>
    <row r="5" spans="1:6" s="6" customFormat="1">
      <c r="A5" s="68">
        <v>1010000000</v>
      </c>
      <c r="B5" s="67" t="s">
        <v>5</v>
      </c>
      <c r="C5" s="5">
        <f>C6</f>
        <v>37.046999999999997</v>
      </c>
      <c r="D5" s="5">
        <f>D6</f>
        <v>37.724649999999997</v>
      </c>
      <c r="E5" s="5">
        <f t="shared" ref="E5:E51" si="0">SUM(D5/C5*100)</f>
        <v>101.82916295516506</v>
      </c>
      <c r="F5" s="5">
        <f t="shared" ref="F5:F51" si="1">SUM(D5-C5)</f>
        <v>0.67764999999999986</v>
      </c>
    </row>
    <row r="6" spans="1:6">
      <c r="A6" s="7">
        <v>1010200001</v>
      </c>
      <c r="B6" s="8" t="s">
        <v>228</v>
      </c>
      <c r="C6" s="9">
        <v>37.046999999999997</v>
      </c>
      <c r="D6" s="10">
        <v>37.724649999999997</v>
      </c>
      <c r="E6" s="9">
        <f t="shared" ref="E6:E11" si="2">SUM(D6/C6*100)</f>
        <v>101.82916295516506</v>
      </c>
      <c r="F6" s="9">
        <f t="shared" si="1"/>
        <v>0.67764999999999986</v>
      </c>
    </row>
    <row r="7" spans="1:6" ht="31.5">
      <c r="A7" s="3">
        <v>1030000000</v>
      </c>
      <c r="B7" s="13" t="s">
        <v>280</v>
      </c>
      <c r="C7" s="5">
        <f>C8+C10+C9</f>
        <v>325.40500000000003</v>
      </c>
      <c r="D7" s="5">
        <f>D8+D10+D9+D11</f>
        <v>363.05115000000001</v>
      </c>
      <c r="E7" s="5">
        <f t="shared" si="2"/>
        <v>111.56901399794101</v>
      </c>
      <c r="F7" s="5">
        <f t="shared" si="1"/>
        <v>37.646149999999977</v>
      </c>
    </row>
    <row r="8" spans="1:6">
      <c r="A8" s="7">
        <v>1030223001</v>
      </c>
      <c r="B8" s="8" t="s">
        <v>282</v>
      </c>
      <c r="C8" s="9">
        <v>121.37</v>
      </c>
      <c r="D8" s="10">
        <v>165.01248000000001</v>
      </c>
      <c r="E8" s="9">
        <f t="shared" si="2"/>
        <v>135.95821043091374</v>
      </c>
      <c r="F8" s="9">
        <f t="shared" si="1"/>
        <v>43.642480000000006</v>
      </c>
    </row>
    <row r="9" spans="1:6">
      <c r="A9" s="7">
        <v>1030224001</v>
      </c>
      <c r="B9" s="8" t="s">
        <v>288</v>
      </c>
      <c r="C9" s="9">
        <v>1.3049999999999999</v>
      </c>
      <c r="D9" s="10">
        <v>1.21509</v>
      </c>
      <c r="E9" s="9">
        <f t="shared" si="2"/>
        <v>93.110344827586218</v>
      </c>
      <c r="F9" s="9">
        <f t="shared" si="1"/>
        <v>-8.9909999999999934E-2</v>
      </c>
    </row>
    <row r="10" spans="1:6">
      <c r="A10" s="7">
        <v>1030225001</v>
      </c>
      <c r="B10" s="8" t="s">
        <v>281</v>
      </c>
      <c r="C10" s="9">
        <v>202.73</v>
      </c>
      <c r="D10" s="10">
        <v>221.67509999999999</v>
      </c>
      <c r="E10" s="9">
        <f t="shared" si="2"/>
        <v>109.34499087456221</v>
      </c>
      <c r="F10" s="9">
        <f t="shared" si="1"/>
        <v>18.945099999999996</v>
      </c>
    </row>
    <row r="11" spans="1:6">
      <c r="A11" s="7">
        <v>1030226001</v>
      </c>
      <c r="B11" s="8" t="s">
        <v>290</v>
      </c>
      <c r="C11" s="9">
        <v>0</v>
      </c>
      <c r="D11" s="10">
        <v>-24.851520000000001</v>
      </c>
      <c r="E11" s="9" t="e">
        <f t="shared" si="2"/>
        <v>#DIV/0!</v>
      </c>
      <c r="F11" s="9">
        <f t="shared" si="1"/>
        <v>-24.851520000000001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43.005290000000002</v>
      </c>
      <c r="E12" s="5">
        <f t="shared" si="0"/>
        <v>430.05290000000002</v>
      </c>
      <c r="F12" s="5">
        <f t="shared" si="1"/>
        <v>33.005290000000002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43.005290000000002</v>
      </c>
      <c r="E13" s="9">
        <f t="shared" si="0"/>
        <v>430.05290000000002</v>
      </c>
      <c r="F13" s="9">
        <f t="shared" si="1"/>
        <v>33.005290000000002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347</v>
      </c>
      <c r="D14" s="5">
        <f>D15+D16</f>
        <v>286.43842999999998</v>
      </c>
      <c r="E14" s="5">
        <f t="shared" si="0"/>
        <v>82.547097982708934</v>
      </c>
      <c r="F14" s="5">
        <f t="shared" si="1"/>
        <v>-60.561570000000017</v>
      </c>
    </row>
    <row r="15" spans="1:6" s="6" customFormat="1" ht="15.75" customHeight="1">
      <c r="A15" s="7">
        <v>1060100000</v>
      </c>
      <c r="B15" s="11" t="s">
        <v>8</v>
      </c>
      <c r="C15" s="9">
        <v>42</v>
      </c>
      <c r="D15" s="10">
        <v>31.407910000000001</v>
      </c>
      <c r="E15" s="9">
        <f t="shared" si="0"/>
        <v>74.780738095238092</v>
      </c>
      <c r="F15" s="9">
        <f>SUM(D15-C15)</f>
        <v>-10.592089999999999</v>
      </c>
    </row>
    <row r="16" spans="1:6" ht="15.75" customHeight="1">
      <c r="A16" s="7">
        <v>1060600000</v>
      </c>
      <c r="B16" s="11" t="s">
        <v>7</v>
      </c>
      <c r="C16" s="9">
        <v>305</v>
      </c>
      <c r="D16" s="10">
        <v>255.03052</v>
      </c>
      <c r="E16" s="9">
        <f t="shared" si="0"/>
        <v>83.616563934426225</v>
      </c>
      <c r="F16" s="9">
        <f t="shared" si="1"/>
        <v>-49.969480000000004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3.9</v>
      </c>
      <c r="E17" s="5">
        <f t="shared" si="0"/>
        <v>78</v>
      </c>
      <c r="F17" s="5">
        <f t="shared" si="1"/>
        <v>-1.1000000000000001</v>
      </c>
    </row>
    <row r="18" spans="1:6" ht="16.5" customHeight="1">
      <c r="A18" s="7">
        <v>1080400001</v>
      </c>
      <c r="B18" s="8" t="s">
        <v>227</v>
      </c>
      <c r="C18" s="9">
        <v>5</v>
      </c>
      <c r="D18" s="10">
        <v>3.9</v>
      </c>
      <c r="E18" s="9">
        <f t="shared" si="0"/>
        <v>78</v>
      </c>
      <c r="F18" s="9">
        <f t="shared" si="1"/>
        <v>-1.1000000000000001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121</v>
      </c>
      <c r="D25" s="5">
        <f>D26+D29+D31+D37+D34</f>
        <v>152.33355</v>
      </c>
      <c r="E25" s="5">
        <f t="shared" si="0"/>
        <v>125.8954958677686</v>
      </c>
      <c r="F25" s="5">
        <f t="shared" si="1"/>
        <v>31.333550000000002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79</v>
      </c>
      <c r="D26" s="5">
        <f>D27+D28</f>
        <v>115.1854</v>
      </c>
      <c r="E26" s="5">
        <f t="shared" si="0"/>
        <v>145.80430379746835</v>
      </c>
      <c r="F26" s="5">
        <f t="shared" si="1"/>
        <v>36.185400000000001</v>
      </c>
    </row>
    <row r="27" spans="1:6">
      <c r="A27" s="16">
        <v>1110502510</v>
      </c>
      <c r="B27" s="17" t="s">
        <v>225</v>
      </c>
      <c r="C27" s="12">
        <v>62</v>
      </c>
      <c r="D27" s="10">
        <v>91.341800000000006</v>
      </c>
      <c r="E27" s="9">
        <f t="shared" si="0"/>
        <v>147.32548387096776</v>
      </c>
      <c r="F27" s="9">
        <f t="shared" si="1"/>
        <v>29.341800000000006</v>
      </c>
    </row>
    <row r="28" spans="1:6" ht="18.75" customHeight="1">
      <c r="A28" s="7">
        <v>1110503505</v>
      </c>
      <c r="B28" s="11" t="s">
        <v>224</v>
      </c>
      <c r="C28" s="12">
        <v>17</v>
      </c>
      <c r="D28" s="10">
        <v>23.843599999999999</v>
      </c>
      <c r="E28" s="9">
        <f t="shared" si="0"/>
        <v>140.25647058823529</v>
      </c>
      <c r="F28" s="9">
        <f t="shared" si="1"/>
        <v>6.8435999999999986</v>
      </c>
    </row>
    <row r="29" spans="1:6" s="15" customFormat="1" ht="37.5" customHeight="1">
      <c r="A29" s="68">
        <v>1130000000</v>
      </c>
      <c r="B29" s="69" t="s">
        <v>130</v>
      </c>
      <c r="C29" s="5">
        <f>C30</f>
        <v>42</v>
      </c>
      <c r="D29" s="5">
        <f>D30</f>
        <v>37.148150000000001</v>
      </c>
      <c r="E29" s="5">
        <f t="shared" si="0"/>
        <v>88.447976190476197</v>
      </c>
      <c r="F29" s="5">
        <f t="shared" si="1"/>
        <v>-4.8518499999999989</v>
      </c>
    </row>
    <row r="30" spans="1:6">
      <c r="A30" s="7">
        <v>1130206005</v>
      </c>
      <c r="B30" s="8" t="s">
        <v>223</v>
      </c>
      <c r="C30" s="9">
        <v>42</v>
      </c>
      <c r="D30" s="10">
        <v>37.148150000000001</v>
      </c>
      <c r="E30" s="9">
        <f t="shared" si="0"/>
        <v>88.447976190476197</v>
      </c>
      <c r="F30" s="9">
        <f t="shared" si="1"/>
        <v>-4.8518499999999989</v>
      </c>
    </row>
    <row r="31" spans="1:6" ht="27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18</v>
      </c>
      <c r="C40" s="127">
        <f>SUM(C4,C25)</f>
        <v>845.452</v>
      </c>
      <c r="D40" s="127">
        <f>D4+D25</f>
        <v>886.45307000000003</v>
      </c>
      <c r="E40" s="5">
        <f t="shared" si="0"/>
        <v>104.84960352568804</v>
      </c>
      <c r="F40" s="5">
        <f t="shared" si="1"/>
        <v>41.001070000000027</v>
      </c>
    </row>
    <row r="41" spans="1:7" s="6" customFormat="1">
      <c r="A41" s="3">
        <v>2000000000</v>
      </c>
      <c r="B41" s="4" t="s">
        <v>19</v>
      </c>
      <c r="C41" s="5">
        <f>C42+C43+C44+C45+C46+C47+C50</f>
        <v>2944.06178</v>
      </c>
      <c r="D41" s="5">
        <f>D42+D43+D44+D45+D46+D47+D50</f>
        <v>2395.3490000000002</v>
      </c>
      <c r="E41" s="5">
        <f t="shared" si="0"/>
        <v>81.362049406449614</v>
      </c>
      <c r="F41" s="5">
        <f t="shared" si="1"/>
        <v>-548.71277999999984</v>
      </c>
      <c r="G41" s="19"/>
    </row>
    <row r="42" spans="1:7" ht="16.5" customHeight="1">
      <c r="A42" s="16">
        <v>2021000000</v>
      </c>
      <c r="B42" s="17" t="s">
        <v>20</v>
      </c>
      <c r="C42" s="12">
        <v>1347.9</v>
      </c>
      <c r="D42" s="12">
        <v>1258.1569999999999</v>
      </c>
      <c r="E42" s="9">
        <f t="shared" si="0"/>
        <v>93.342013502485329</v>
      </c>
      <c r="F42" s="9">
        <f t="shared" si="1"/>
        <v>-89.743000000000166</v>
      </c>
    </row>
    <row r="43" spans="1:7" ht="15.75" customHeight="1">
      <c r="A43" s="16">
        <v>2021500200</v>
      </c>
      <c r="B43" s="17" t="s">
        <v>231</v>
      </c>
      <c r="C43" s="12">
        <v>320</v>
      </c>
      <c r="D43" s="20">
        <v>232.5</v>
      </c>
      <c r="E43" s="9">
        <f t="shared" si="0"/>
        <v>72.65625</v>
      </c>
      <c r="F43" s="9">
        <f t="shared" si="1"/>
        <v>-87.5</v>
      </c>
    </row>
    <row r="44" spans="1:7" ht="18" customHeight="1">
      <c r="A44" s="16">
        <v>2022000000</v>
      </c>
      <c r="B44" s="17" t="s">
        <v>21</v>
      </c>
      <c r="C44" s="12">
        <v>858.75699999999995</v>
      </c>
      <c r="D44" s="10">
        <v>745.70500000000004</v>
      </c>
      <c r="E44" s="9">
        <f t="shared" si="0"/>
        <v>86.835391152561215</v>
      </c>
      <c r="F44" s="9">
        <f t="shared" si="1"/>
        <v>-113.05199999999991</v>
      </c>
    </row>
    <row r="45" spans="1:7" ht="15.75" customHeight="1">
      <c r="A45" s="16">
        <v>2023000000</v>
      </c>
      <c r="B45" s="17" t="s">
        <v>22</v>
      </c>
      <c r="C45" s="12">
        <v>91.480999999999995</v>
      </c>
      <c r="D45" s="187">
        <v>83.986999999999995</v>
      </c>
      <c r="E45" s="9">
        <f t="shared" si="0"/>
        <v>91.808135022572984</v>
      </c>
      <c r="F45" s="9">
        <f t="shared" si="1"/>
        <v>-7.4939999999999998</v>
      </c>
    </row>
    <row r="46" spans="1:7" ht="19.5" customHeight="1">
      <c r="A46" s="16">
        <v>2024000000</v>
      </c>
      <c r="B46" s="17" t="s">
        <v>23</v>
      </c>
      <c r="C46" s="12">
        <v>207.66300000000001</v>
      </c>
      <c r="D46" s="188">
        <v>75</v>
      </c>
      <c r="E46" s="9">
        <f t="shared" si="0"/>
        <v>36.116207509281864</v>
      </c>
      <c r="F46" s="9">
        <f t="shared" si="1"/>
        <v>-132.66300000000001</v>
      </c>
    </row>
    <row r="47" spans="1:7" ht="20.2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2080500010</v>
      </c>
      <c r="B48" s="18" t="s">
        <v>255</v>
      </c>
      <c r="C48" s="12"/>
      <c r="D48" s="188"/>
      <c r="E48" s="9"/>
      <c r="F48" s="9"/>
    </row>
    <row r="49" spans="1:8" s="6" customFormat="1" ht="21.75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16">
        <v>2027000000</v>
      </c>
      <c r="B50" s="8" t="s">
        <v>352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7">
        <v>2070500010</v>
      </c>
      <c r="B51" s="4" t="s">
        <v>27</v>
      </c>
      <c r="C51" s="254">
        <f>C40+C41</f>
        <v>3789.5137800000002</v>
      </c>
      <c r="D51" s="255">
        <f>D40+D41</f>
        <v>3281.8020700000002</v>
      </c>
      <c r="E51" s="93">
        <f t="shared" si="0"/>
        <v>86.602193857176047</v>
      </c>
      <c r="F51" s="93">
        <f t="shared" si="1"/>
        <v>-507.71171000000004</v>
      </c>
      <c r="G51" s="94"/>
      <c r="H51" s="249"/>
    </row>
    <row r="52" spans="1:8" s="6" customFormat="1" ht="16.5" customHeight="1">
      <c r="A52" s="7"/>
      <c r="B52" s="21" t="s">
        <v>321</v>
      </c>
      <c r="C52" s="254">
        <f>C51-C98</f>
        <v>-170.14936999999918</v>
      </c>
      <c r="D52" s="254">
        <f>D51-D98</f>
        <v>129.99739000000045</v>
      </c>
      <c r="E52" s="195"/>
      <c r="F52" s="195"/>
    </row>
    <row r="53" spans="1:8">
      <c r="A53" s="3"/>
      <c r="B53" s="24"/>
      <c r="C53" s="218"/>
      <c r="D53" s="218"/>
      <c r="E53" s="26"/>
      <c r="F53" s="27"/>
    </row>
    <row r="54" spans="1:8" ht="32.25" customHeight="1">
      <c r="A54" s="23"/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8" ht="47.25" customHeight="1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30</v>
      </c>
      <c r="C56" s="488">
        <f>C57+C58+C59+C60+C61+C63+C62</f>
        <v>1123.241</v>
      </c>
      <c r="D56" s="33">
        <f>D57+D58+D59+D60+D61+D63+D62</f>
        <v>910.54770999999994</v>
      </c>
      <c r="E56" s="34">
        <f>SUM(D56/C56*100)</f>
        <v>81.064322794484895</v>
      </c>
      <c r="F56" s="34">
        <f>SUM(D56-C56)</f>
        <v>-212.69329000000005</v>
      </c>
    </row>
    <row r="57" spans="1:8" s="6" customFormat="1" ht="15.75" hidden="1" customHeight="1">
      <c r="A57" s="30" t="s">
        <v>29</v>
      </c>
      <c r="B57" s="36" t="s">
        <v>32</v>
      </c>
      <c r="C57" s="196"/>
      <c r="D57" s="196"/>
      <c r="E57" s="38"/>
      <c r="F57" s="38"/>
    </row>
    <row r="58" spans="1:8" ht="17.25" customHeight="1">
      <c r="A58" s="35" t="s">
        <v>33</v>
      </c>
      <c r="B58" s="39" t="s">
        <v>34</v>
      </c>
      <c r="C58" s="196">
        <v>1111.1410000000001</v>
      </c>
      <c r="D58" s="196">
        <v>903.56970999999999</v>
      </c>
      <c r="E58" s="38">
        <f t="shared" ref="E58:E98" si="3">SUM(D58/C58*100)</f>
        <v>81.319086416575388</v>
      </c>
      <c r="F58" s="38">
        <f t="shared" ref="F58:F98" si="4">SUM(D58-C58)</f>
        <v>-207.57129000000009</v>
      </c>
    </row>
    <row r="59" spans="1:8" ht="17.25" hidden="1" customHeight="1">
      <c r="A59" s="35" t="s">
        <v>33</v>
      </c>
      <c r="B59" s="39" t="s">
        <v>36</v>
      </c>
      <c r="C59" s="196"/>
      <c r="D59" s="196"/>
      <c r="E59" s="38"/>
      <c r="F59" s="38">
        <f t="shared" si="4"/>
        <v>0</v>
      </c>
    </row>
    <row r="60" spans="1:8" ht="15.75" hidden="1" customHeight="1">
      <c r="A60" s="35" t="s">
        <v>35</v>
      </c>
      <c r="B60" s="39" t="s">
        <v>38</v>
      </c>
      <c r="C60" s="196"/>
      <c r="D60" s="196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40</v>
      </c>
      <c r="C61" s="196">
        <v>0</v>
      </c>
      <c r="D61" s="196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197">
        <v>5</v>
      </c>
      <c r="D62" s="197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43</v>
      </c>
      <c r="B63" s="39" t="s">
        <v>44</v>
      </c>
      <c r="C63" s="196">
        <v>7.1</v>
      </c>
      <c r="D63" s="196">
        <v>6.9779999999999998</v>
      </c>
      <c r="E63" s="38">
        <f t="shared" si="3"/>
        <v>98.281690140845072</v>
      </c>
      <c r="F63" s="38">
        <f t="shared" si="4"/>
        <v>-0.12199999999999989</v>
      </c>
    </row>
    <row r="64" spans="1:8" s="6" customFormat="1">
      <c r="A64" s="30" t="s">
        <v>45</v>
      </c>
      <c r="B64" s="42" t="s">
        <v>46</v>
      </c>
      <c r="C64" s="33">
        <f>C65</f>
        <v>89.944999999999993</v>
      </c>
      <c r="D64" s="33">
        <f>D65</f>
        <v>77.015630000000002</v>
      </c>
      <c r="E64" s="34">
        <f t="shared" si="3"/>
        <v>85.62524876313303</v>
      </c>
      <c r="F64" s="34">
        <f t="shared" si="4"/>
        <v>-12.929369999999992</v>
      </c>
    </row>
    <row r="65" spans="1:9">
      <c r="A65" s="446" t="s">
        <v>47</v>
      </c>
      <c r="B65" s="44" t="s">
        <v>48</v>
      </c>
      <c r="C65" s="196">
        <v>89.944999999999993</v>
      </c>
      <c r="D65" s="196">
        <v>77.015630000000002</v>
      </c>
      <c r="E65" s="38">
        <f t="shared" si="3"/>
        <v>85.62524876313303</v>
      </c>
      <c r="F65" s="38">
        <f t="shared" si="4"/>
        <v>-12.929369999999992</v>
      </c>
    </row>
    <row r="66" spans="1:9" s="6" customFormat="1" ht="18" customHeight="1">
      <c r="A66" s="43" t="s">
        <v>49</v>
      </c>
      <c r="B66" s="31" t="s">
        <v>50</v>
      </c>
      <c r="C66" s="33">
        <f>C69+C70+C71</f>
        <v>9.7031100000000006</v>
      </c>
      <c r="D66" s="33">
        <f>D69+D70</f>
        <v>2.7031100000000001</v>
      </c>
      <c r="E66" s="34">
        <f t="shared" si="3"/>
        <v>27.858181552100302</v>
      </c>
      <c r="F66" s="34">
        <f t="shared" si="4"/>
        <v>-7</v>
      </c>
    </row>
    <row r="67" spans="1:9" ht="1.5" hidden="1" customHeight="1">
      <c r="A67" s="30" t="s">
        <v>49</v>
      </c>
      <c r="B67" s="39" t="s">
        <v>52</v>
      </c>
      <c r="C67" s="196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51</v>
      </c>
      <c r="B68" s="39" t="s">
        <v>54</v>
      </c>
      <c r="C68" s="196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55</v>
      </c>
      <c r="B69" s="47" t="s">
        <v>56</v>
      </c>
      <c r="C69" s="198">
        <v>2.7031100000000001</v>
      </c>
      <c r="D69" s="196">
        <v>2.7031100000000001</v>
      </c>
      <c r="E69" s="34">
        <f t="shared" si="3"/>
        <v>100</v>
      </c>
      <c r="F69" s="34">
        <f t="shared" si="4"/>
        <v>0</v>
      </c>
    </row>
    <row r="70" spans="1:9">
      <c r="A70" s="46" t="s">
        <v>218</v>
      </c>
      <c r="B70" s="47" t="s">
        <v>219</v>
      </c>
      <c r="C70" s="196">
        <v>5</v>
      </c>
      <c r="D70" s="196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357</v>
      </c>
      <c r="B71" s="47" t="s">
        <v>414</v>
      </c>
      <c r="C71" s="196">
        <v>2</v>
      </c>
      <c r="D71" s="196"/>
      <c r="E71" s="34"/>
      <c r="F71" s="34"/>
    </row>
    <row r="72" spans="1:9" s="6" customFormat="1" ht="17.25" customHeight="1">
      <c r="A72" s="447" t="s">
        <v>57</v>
      </c>
      <c r="B72" s="31" t="s">
        <v>58</v>
      </c>
      <c r="C72" s="33">
        <f>SUM(C73:C76)</f>
        <v>1541.5340399999998</v>
      </c>
      <c r="D72" s="33">
        <f>SUM(D73:D76)</f>
        <v>983.48115999999993</v>
      </c>
      <c r="E72" s="34">
        <f t="shared" si="3"/>
        <v>63.798861035854912</v>
      </c>
      <c r="F72" s="34">
        <f t="shared" si="4"/>
        <v>-558.05287999999985</v>
      </c>
      <c r="I72" s="108"/>
    </row>
    <row r="73" spans="1:9" ht="15.75" customHeight="1">
      <c r="A73" s="35" t="s">
        <v>59</v>
      </c>
      <c r="B73" s="39" t="s">
        <v>60</v>
      </c>
      <c r="C73" s="196">
        <v>4.0214999999999996</v>
      </c>
      <c r="D73" s="196">
        <v>4.0214999999999996</v>
      </c>
      <c r="E73" s="38">
        <f t="shared" si="3"/>
        <v>100</v>
      </c>
      <c r="F73" s="38">
        <f t="shared" si="4"/>
        <v>0</v>
      </c>
    </row>
    <row r="74" spans="1:9" s="6" customFormat="1" ht="19.5" customHeight="1">
      <c r="A74" s="35" t="s">
        <v>61</v>
      </c>
      <c r="B74" s="39" t="s">
        <v>62</v>
      </c>
      <c r="C74" s="196">
        <v>48.611890000000002</v>
      </c>
      <c r="D74" s="196">
        <v>36.606760000000001</v>
      </c>
      <c r="E74" s="38">
        <f t="shared" si="3"/>
        <v>75.304128269853322</v>
      </c>
      <c r="F74" s="38">
        <f t="shared" si="4"/>
        <v>-12.005130000000001</v>
      </c>
      <c r="G74" s="50"/>
    </row>
    <row r="75" spans="1:9">
      <c r="A75" s="35" t="s">
        <v>63</v>
      </c>
      <c r="B75" s="39" t="s">
        <v>64</v>
      </c>
      <c r="C75" s="196">
        <v>1340.8006499999999</v>
      </c>
      <c r="D75" s="196">
        <v>865.25289999999995</v>
      </c>
      <c r="E75" s="38">
        <f t="shared" si="3"/>
        <v>64.532553739439194</v>
      </c>
      <c r="F75" s="38">
        <f t="shared" si="4"/>
        <v>-475.54774999999995</v>
      </c>
    </row>
    <row r="76" spans="1:9">
      <c r="A76" s="35" t="s">
        <v>65</v>
      </c>
      <c r="B76" s="39" t="s">
        <v>66</v>
      </c>
      <c r="C76" s="196">
        <v>148.1</v>
      </c>
      <c r="D76" s="196">
        <v>77.599999999999994</v>
      </c>
      <c r="E76" s="38">
        <f t="shared" si="3"/>
        <v>52.397029034436194</v>
      </c>
      <c r="F76" s="38">
        <f t="shared" si="4"/>
        <v>-70.5</v>
      </c>
    </row>
    <row r="77" spans="1:9" s="6" customFormat="1" ht="18" customHeight="1">
      <c r="A77" s="30" t="s">
        <v>67</v>
      </c>
      <c r="B77" s="31" t="s">
        <v>68</v>
      </c>
      <c r="C77" s="33">
        <f>SUM(C78:C80)</f>
        <v>392.85</v>
      </c>
      <c r="D77" s="33">
        <f>SUM(D78:D80)</f>
        <v>375.66707000000002</v>
      </c>
      <c r="E77" s="34">
        <f t="shared" si="3"/>
        <v>95.626083746977216</v>
      </c>
      <c r="F77" s="34">
        <f t="shared" si="4"/>
        <v>-17.182929999999999</v>
      </c>
    </row>
    <row r="78" spans="1:9" ht="15" hidden="1" customHeight="1">
      <c r="A78" s="30" t="s">
        <v>67</v>
      </c>
      <c r="B78" s="51" t="s">
        <v>70</v>
      </c>
      <c r="C78" s="196"/>
      <c r="D78" s="196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69</v>
      </c>
      <c r="B79" s="51" t="s">
        <v>72</v>
      </c>
      <c r="C79" s="196"/>
      <c r="D79" s="196"/>
      <c r="E79" s="38" t="e">
        <f t="shared" si="3"/>
        <v>#DIV/0!</v>
      </c>
      <c r="F79" s="38">
        <f t="shared" si="4"/>
        <v>0</v>
      </c>
    </row>
    <row r="80" spans="1:9">
      <c r="A80" s="35" t="s">
        <v>73</v>
      </c>
      <c r="B80" s="39" t="s">
        <v>74</v>
      </c>
      <c r="C80" s="196">
        <v>392.85</v>
      </c>
      <c r="D80" s="196">
        <v>375.66707000000002</v>
      </c>
      <c r="E80" s="38">
        <f t="shared" si="3"/>
        <v>95.626083746977216</v>
      </c>
      <c r="F80" s="38">
        <f t="shared" si="4"/>
        <v>-17.182929999999999</v>
      </c>
    </row>
    <row r="81" spans="1:12" s="6" customFormat="1">
      <c r="A81" s="30" t="s">
        <v>85</v>
      </c>
      <c r="B81" s="31" t="s">
        <v>86</v>
      </c>
      <c r="C81" s="33">
        <f>C82</f>
        <v>801.4</v>
      </c>
      <c r="D81" s="33">
        <f>SUM(D82)</f>
        <v>801.4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87</v>
      </c>
      <c r="B82" s="39" t="s">
        <v>233</v>
      </c>
      <c r="C82" s="196">
        <v>801.4</v>
      </c>
      <c r="D82" s="196">
        <v>801.4</v>
      </c>
      <c r="E82" s="38">
        <f t="shared" si="3"/>
        <v>100</v>
      </c>
      <c r="F82" s="38">
        <f t="shared" si="4"/>
        <v>0</v>
      </c>
      <c r="L82" s="107"/>
    </row>
    <row r="83" spans="1:12" s="6" customFormat="1">
      <c r="A83" s="35" t="s">
        <v>211</v>
      </c>
      <c r="B83" s="31" t="s">
        <v>88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89</v>
      </c>
      <c r="C84" s="196"/>
      <c r="D84" s="196"/>
      <c r="E84" s="244" t="e">
        <f>SUM(D84/C84*100)</f>
        <v>#DIV/0!</v>
      </c>
      <c r="F84" s="244">
        <f>SUM(D84-C84)</f>
        <v>0</v>
      </c>
    </row>
    <row r="85" spans="1:12" hidden="1">
      <c r="A85" s="53">
        <v>1001</v>
      </c>
      <c r="B85" s="54" t="s">
        <v>90</v>
      </c>
      <c r="C85" s="196"/>
      <c r="D85" s="196"/>
      <c r="E85" s="244" t="e">
        <f>SUM(D85/C85*100)</f>
        <v>#DIV/0!</v>
      </c>
      <c r="F85" s="244">
        <f>SUM(D85-C85)</f>
        <v>0</v>
      </c>
    </row>
    <row r="86" spans="1:12" hidden="1">
      <c r="A86" s="53">
        <v>1003</v>
      </c>
      <c r="B86" s="54" t="s">
        <v>91</v>
      </c>
      <c r="C86" s="196"/>
      <c r="D86" s="199"/>
      <c r="E86" s="244" t="e">
        <f>SUM(D86/C86*100)</f>
        <v>#DIV/0!</v>
      </c>
      <c r="F86" s="244">
        <f>SUM(D86-C86)</f>
        <v>0</v>
      </c>
    </row>
    <row r="87" spans="1:12" ht="15" customHeight="1">
      <c r="A87" s="53">
        <v>1004</v>
      </c>
      <c r="B87" s="39" t="s">
        <v>93</v>
      </c>
      <c r="C87" s="196">
        <v>0</v>
      </c>
      <c r="D87" s="196">
        <v>0</v>
      </c>
      <c r="E87" s="244" t="e">
        <f>SUM(D87/C87*100)</f>
        <v>#DIV/0!</v>
      </c>
      <c r="F87" s="244">
        <f>SUM(D87-C87)</f>
        <v>0</v>
      </c>
    </row>
    <row r="88" spans="1:12" ht="19.5" customHeight="1">
      <c r="A88" s="30" t="s">
        <v>94</v>
      </c>
      <c r="B88" s="31" t="s">
        <v>95</v>
      </c>
      <c r="C88" s="33">
        <f>C89+C90+C91+C92+C93</f>
        <v>0.99</v>
      </c>
      <c r="D88" s="33">
        <f>D89+D90+D91+D92+D93</f>
        <v>0.99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96</v>
      </c>
      <c r="B89" s="39" t="s">
        <v>97</v>
      </c>
      <c r="C89" s="196">
        <v>0.99</v>
      </c>
      <c r="D89" s="196">
        <v>0.99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96</v>
      </c>
      <c r="B90" s="39" t="s">
        <v>99</v>
      </c>
      <c r="C90" s="196"/>
      <c r="D90" s="196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98</v>
      </c>
      <c r="B91" s="39" t="s">
        <v>101</v>
      </c>
      <c r="C91" s="196"/>
      <c r="D91" s="196"/>
      <c r="E91" s="38" t="e">
        <f t="shared" si="3"/>
        <v>#DIV/0!</v>
      </c>
      <c r="F91" s="38"/>
    </row>
    <row r="92" spans="1:12" ht="3" hidden="1" customHeight="1">
      <c r="A92" s="35" t="s">
        <v>100</v>
      </c>
      <c r="B92" s="39" t="s">
        <v>103</v>
      </c>
      <c r="C92" s="196"/>
      <c r="D92" s="196"/>
      <c r="E92" s="38" t="e">
        <f t="shared" si="3"/>
        <v>#DIV/0!</v>
      </c>
      <c r="F92" s="38"/>
    </row>
    <row r="93" spans="1:12" ht="15" hidden="1" customHeight="1">
      <c r="A93" s="35" t="s">
        <v>102</v>
      </c>
      <c r="B93" s="39" t="s">
        <v>105</v>
      </c>
      <c r="C93" s="196"/>
      <c r="D93" s="196"/>
      <c r="E93" s="38" t="e">
        <f t="shared" si="3"/>
        <v>#DIV/0!</v>
      </c>
      <c r="F93" s="38"/>
    </row>
    <row r="94" spans="1:12" s="6" customFormat="1" ht="12" hidden="1" customHeight="1">
      <c r="A94" s="35" t="s">
        <v>104</v>
      </c>
      <c r="B94" s="56" t="s">
        <v>114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115</v>
      </c>
      <c r="C95" s="196"/>
      <c r="D95" s="196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116</v>
      </c>
      <c r="C96" s="196"/>
      <c r="D96" s="196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117</v>
      </c>
      <c r="C97" s="196"/>
      <c r="D97" s="196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118</v>
      </c>
      <c r="C98" s="256">
        <f>C56+C64+C66+C72+C77+C81+C88+C83</f>
        <v>3959.6631499999994</v>
      </c>
      <c r="D98" s="256">
        <f>D56+D64+D66+D72+D77+D81+D88+D83</f>
        <v>3151.8046799999997</v>
      </c>
      <c r="E98" s="34">
        <f t="shared" si="3"/>
        <v>79.597798110680202</v>
      </c>
      <c r="F98" s="34">
        <f t="shared" si="4"/>
        <v>-807.85846999999967</v>
      </c>
      <c r="G98" s="151"/>
      <c r="H98" s="272"/>
    </row>
    <row r="99" spans="1:8" ht="20.25" customHeight="1">
      <c r="A99" s="52"/>
      <c r="C99" s="126"/>
      <c r="D99" s="101"/>
    </row>
    <row r="100" spans="1:8" s="65" customFormat="1" ht="13.5" customHeight="1">
      <c r="A100" s="58"/>
      <c r="B100" s="63"/>
      <c r="C100" s="116"/>
      <c r="D100" s="64"/>
      <c r="E100" s="64"/>
    </row>
    <row r="101" spans="1:8" s="65" customFormat="1" ht="12.75">
      <c r="A101" s="63" t="s">
        <v>119</v>
      </c>
      <c r="B101" s="66"/>
      <c r="C101" s="134" t="s">
        <v>121</v>
      </c>
      <c r="D101" s="134"/>
    </row>
    <row r="102" spans="1:8">
      <c r="A102" s="66" t="s">
        <v>120</v>
      </c>
      <c r="C102" s="120"/>
    </row>
    <row r="104" spans="1:8" ht="5.25" customHeight="1"/>
    <row r="142" hidden="1"/>
  </sheetData>
  <customSheetViews>
    <customSheetView guid="{120EA1E0-6265-45F1-AFBB-CEB5CB007D02}" scale="70" showPageBreaks="1" hiddenRows="1" view="pageBreakPreview" topLeftCell="A27">
      <selection activeCell="D38" sqref="D38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B31C8DB7-3E78-4144-A6B5-8DE36DE63F0E}" hiddenRows="1" topLeftCell="A46">
      <selection activeCell="C74" sqref="C74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7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8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 topLeftCell="A27">
      <selection activeCell="D38" sqref="D38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37" zoomScale="70" zoomScaleSheetLayoutView="70" workbookViewId="0">
      <selection activeCell="D88" sqref="D88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435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43.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2613.5920000000001</v>
      </c>
      <c r="D4" s="5">
        <f>D5+D12+D14+D17+D7</f>
        <v>2636.2045299999995</v>
      </c>
      <c r="E4" s="5">
        <f>SUM(D4/C4*100)</f>
        <v>100.86518974652508</v>
      </c>
      <c r="F4" s="5">
        <f>SUM(D4-C4)</f>
        <v>22.612529999999424</v>
      </c>
    </row>
    <row r="5" spans="1:6" s="6" customFormat="1">
      <c r="A5" s="68">
        <v>1010000000</v>
      </c>
      <c r="B5" s="67" t="s">
        <v>5</v>
      </c>
      <c r="C5" s="5">
        <f>C6</f>
        <v>132.63200000000001</v>
      </c>
      <c r="D5" s="5">
        <f>D6</f>
        <v>93.734849999999994</v>
      </c>
      <c r="E5" s="5">
        <f t="shared" ref="E5:E50" si="0">SUM(D5/C5*100)</f>
        <v>70.672876832137035</v>
      </c>
      <c r="F5" s="5">
        <f t="shared" ref="F5:F50" si="1">SUM(D5-C5)</f>
        <v>-38.897150000000011</v>
      </c>
    </row>
    <row r="6" spans="1:6">
      <c r="A6" s="7">
        <v>1010200001</v>
      </c>
      <c r="B6" s="8" t="s">
        <v>228</v>
      </c>
      <c r="C6" s="9">
        <v>132.63200000000001</v>
      </c>
      <c r="D6" s="10">
        <v>93.734849999999994</v>
      </c>
      <c r="E6" s="9">
        <f t="shared" ref="E6:E11" si="2">SUM(D6/C6*100)</f>
        <v>70.672876832137035</v>
      </c>
      <c r="F6" s="9">
        <f t="shared" si="1"/>
        <v>-38.897150000000011</v>
      </c>
    </row>
    <row r="7" spans="1:6" ht="31.5">
      <c r="A7" s="3">
        <v>1030000000</v>
      </c>
      <c r="B7" s="13" t="s">
        <v>280</v>
      </c>
      <c r="C7" s="5">
        <f>C8+C10+C9</f>
        <v>499.96000000000004</v>
      </c>
      <c r="D7" s="5">
        <f>D8+D10+D9+D11</f>
        <v>557.80040999999994</v>
      </c>
      <c r="E7" s="5">
        <f t="shared" si="2"/>
        <v>111.56900752060164</v>
      </c>
      <c r="F7" s="5">
        <f t="shared" si="1"/>
        <v>57.840409999999906</v>
      </c>
    </row>
    <row r="8" spans="1:6">
      <c r="A8" s="7">
        <v>1030223001</v>
      </c>
      <c r="B8" s="8" t="s">
        <v>282</v>
      </c>
      <c r="C8" s="9">
        <v>186.49</v>
      </c>
      <c r="D8" s="10">
        <v>253.52909</v>
      </c>
      <c r="E8" s="9">
        <f t="shared" si="2"/>
        <v>135.94782025845888</v>
      </c>
      <c r="F8" s="9">
        <f t="shared" si="1"/>
        <v>67.039089999999987</v>
      </c>
    </row>
    <row r="9" spans="1:6">
      <c r="A9" s="7">
        <v>1030224001</v>
      </c>
      <c r="B9" s="8" t="s">
        <v>288</v>
      </c>
      <c r="C9" s="9">
        <v>2</v>
      </c>
      <c r="D9" s="10">
        <v>1.8669100000000001</v>
      </c>
      <c r="E9" s="9">
        <f t="shared" si="2"/>
        <v>93.345500000000001</v>
      </c>
      <c r="F9" s="9">
        <f t="shared" si="1"/>
        <v>-0.13308999999999993</v>
      </c>
    </row>
    <row r="10" spans="1:6">
      <c r="A10" s="7">
        <v>1030225001</v>
      </c>
      <c r="B10" s="8" t="s">
        <v>281</v>
      </c>
      <c r="C10" s="9">
        <v>311.47000000000003</v>
      </c>
      <c r="D10" s="10">
        <v>340.58690000000001</v>
      </c>
      <c r="E10" s="9">
        <f t="shared" si="2"/>
        <v>109.34821973223745</v>
      </c>
      <c r="F10" s="9">
        <f t="shared" si="1"/>
        <v>29.116899999999987</v>
      </c>
    </row>
    <row r="11" spans="1:6">
      <c r="A11" s="7">
        <v>1030226001</v>
      </c>
      <c r="B11" s="8" t="s">
        <v>290</v>
      </c>
      <c r="C11" s="9">
        <v>0</v>
      </c>
      <c r="D11" s="10">
        <v>-38.182490000000001</v>
      </c>
      <c r="E11" s="9" t="e">
        <f t="shared" si="2"/>
        <v>#DIV/0!</v>
      </c>
      <c r="F11" s="9">
        <f t="shared" si="1"/>
        <v>-38.182490000000001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13.895189999999999</v>
      </c>
      <c r="E12" s="5">
        <f t="shared" si="0"/>
        <v>34.737974999999999</v>
      </c>
      <c r="F12" s="5">
        <f t="shared" si="1"/>
        <v>-26.104810000000001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13.895189999999999</v>
      </c>
      <c r="E13" s="9">
        <f t="shared" si="0"/>
        <v>34.737974999999999</v>
      </c>
      <c r="F13" s="9">
        <f t="shared" si="1"/>
        <v>-26.104810000000001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1929</v>
      </c>
      <c r="D14" s="5">
        <f>D15+D16</f>
        <v>1962.3240799999999</v>
      </c>
      <c r="E14" s="5">
        <f t="shared" si="0"/>
        <v>101.72753136340071</v>
      </c>
      <c r="F14" s="5">
        <f t="shared" si="1"/>
        <v>33.324079999999867</v>
      </c>
    </row>
    <row r="15" spans="1:6" s="6" customFormat="1" ht="15.75" customHeight="1">
      <c r="A15" s="7">
        <v>1060100000</v>
      </c>
      <c r="B15" s="11" t="s">
        <v>8</v>
      </c>
      <c r="C15" s="9">
        <v>229</v>
      </c>
      <c r="D15" s="10">
        <v>148.93655999999999</v>
      </c>
      <c r="E15" s="9">
        <f t="shared" si="0"/>
        <v>65.037799126637552</v>
      </c>
      <c r="F15" s="9">
        <f>SUM(D15-C15)</f>
        <v>-80.063440000000014</v>
      </c>
    </row>
    <row r="16" spans="1:6" ht="15.75" customHeight="1">
      <c r="A16" s="7">
        <v>1060600000</v>
      </c>
      <c r="B16" s="11" t="s">
        <v>7</v>
      </c>
      <c r="C16" s="9">
        <v>1700</v>
      </c>
      <c r="D16" s="10">
        <v>1813.38752</v>
      </c>
      <c r="E16" s="9">
        <f t="shared" si="0"/>
        <v>106.66985411764706</v>
      </c>
      <c r="F16" s="9">
        <f t="shared" si="1"/>
        <v>113.38751999999999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8.4499999999999993</v>
      </c>
      <c r="E17" s="5">
        <f t="shared" si="0"/>
        <v>70.416666666666657</v>
      </c>
      <c r="F17" s="5">
        <f t="shared" si="1"/>
        <v>-3.5500000000000007</v>
      </c>
    </row>
    <row r="18" spans="1:6" ht="15" customHeight="1">
      <c r="A18" s="7">
        <v>1080400001</v>
      </c>
      <c r="B18" s="8" t="s">
        <v>227</v>
      </c>
      <c r="C18" s="9">
        <v>12</v>
      </c>
      <c r="D18" s="10">
        <v>8.4499999999999993</v>
      </c>
      <c r="E18" s="9">
        <f t="shared" si="0"/>
        <v>70.416666666666657</v>
      </c>
      <c r="F18" s="9">
        <f t="shared" si="1"/>
        <v>-3.5500000000000007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315.10000000000002</v>
      </c>
      <c r="D25" s="5">
        <f>D26+D29+D31+D36+D34</f>
        <v>412.50554</v>
      </c>
      <c r="E25" s="5">
        <f t="shared" si="0"/>
        <v>130.91258013329102</v>
      </c>
      <c r="F25" s="5">
        <f t="shared" si="1"/>
        <v>97.405539999999974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275.10000000000002</v>
      </c>
      <c r="D26" s="5">
        <f>D27+D28</f>
        <v>327.12970000000001</v>
      </c>
      <c r="E26" s="5">
        <f t="shared" si="0"/>
        <v>118.91301344965466</v>
      </c>
      <c r="F26" s="5">
        <f t="shared" si="1"/>
        <v>52.029699999999991</v>
      </c>
    </row>
    <row r="27" spans="1:6">
      <c r="A27" s="16">
        <v>1110502510</v>
      </c>
      <c r="B27" s="17" t="s">
        <v>225</v>
      </c>
      <c r="C27" s="12">
        <v>224.4</v>
      </c>
      <c r="D27" s="10">
        <v>265.57848000000001</v>
      </c>
      <c r="E27" s="9">
        <f t="shared" si="0"/>
        <v>118.35048128342247</v>
      </c>
      <c r="F27" s="9">
        <f t="shared" si="1"/>
        <v>41.178480000000008</v>
      </c>
    </row>
    <row r="28" spans="1:6">
      <c r="A28" s="7">
        <v>1110503510</v>
      </c>
      <c r="B28" s="11" t="s">
        <v>224</v>
      </c>
      <c r="C28" s="12">
        <v>50.7</v>
      </c>
      <c r="D28" s="10">
        <v>61.551220000000001</v>
      </c>
      <c r="E28" s="9">
        <f t="shared" si="0"/>
        <v>121.40280078895462</v>
      </c>
      <c r="F28" s="9">
        <f t="shared" si="1"/>
        <v>10.851219999999998</v>
      </c>
    </row>
    <row r="29" spans="1:6" s="15" customFormat="1" ht="19.5" customHeight="1">
      <c r="A29" s="68">
        <v>1130000000</v>
      </c>
      <c r="B29" s="69" t="s">
        <v>130</v>
      </c>
      <c r="C29" s="5">
        <f>C30</f>
        <v>40</v>
      </c>
      <c r="D29" s="5">
        <f>D30</f>
        <v>77.646829999999994</v>
      </c>
      <c r="E29" s="5">
        <f t="shared" si="0"/>
        <v>194.117075</v>
      </c>
      <c r="F29" s="5">
        <f t="shared" si="1"/>
        <v>37.646829999999994</v>
      </c>
    </row>
    <row r="30" spans="1:6" ht="21" customHeight="1">
      <c r="A30" s="7">
        <v>1130206510</v>
      </c>
      <c r="B30" s="8" t="s">
        <v>14</v>
      </c>
      <c r="C30" s="9">
        <v>40</v>
      </c>
      <c r="D30" s="10">
        <v>77.646829999999994</v>
      </c>
      <c r="E30" s="9">
        <f t="shared" si="0"/>
        <v>194.117075</v>
      </c>
      <c r="F30" s="9">
        <f t="shared" si="1"/>
        <v>37.646829999999994</v>
      </c>
    </row>
    <row r="31" spans="1:6" ht="25.5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9">
        <v>0</v>
      </c>
      <c r="D34" s="14">
        <f>D35</f>
        <v>7.7290099999999997</v>
      </c>
      <c r="E34" s="9" t="e">
        <f t="shared" si="0"/>
        <v>#DIV/0!</v>
      </c>
      <c r="F34" s="9">
        <f t="shared" si="1"/>
        <v>7.7290099999999997</v>
      </c>
    </row>
    <row r="35" spans="1:7" ht="47.25">
      <c r="A35" s="7">
        <v>1163305010</v>
      </c>
      <c r="B35" s="8" t="s">
        <v>267</v>
      </c>
      <c r="C35" s="9">
        <v>0</v>
      </c>
      <c r="D35" s="10">
        <v>7.7290099999999997</v>
      </c>
      <c r="E35" s="9" t="e">
        <f t="shared" si="0"/>
        <v>#DIV/0!</v>
      </c>
      <c r="F35" s="9">
        <f t="shared" si="1"/>
        <v>7.7290099999999997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18</v>
      </c>
      <c r="C39" s="127">
        <f>SUM(C4,C25)</f>
        <v>2928.692</v>
      </c>
      <c r="D39" s="127">
        <f>SUM(D4,D25)</f>
        <v>3048.7100699999996</v>
      </c>
      <c r="E39" s="5">
        <f t="shared" si="0"/>
        <v>104.09800928195932</v>
      </c>
      <c r="F39" s="5">
        <f t="shared" si="1"/>
        <v>120.01806999999962</v>
      </c>
    </row>
    <row r="40" spans="1:7" s="6" customFormat="1">
      <c r="A40" s="3">
        <v>2000000000</v>
      </c>
      <c r="B40" s="4" t="s">
        <v>19</v>
      </c>
      <c r="C40" s="5">
        <f>C41+C43+C44+C45+C46+C47+C48+C42</f>
        <v>3947.6116199999997</v>
      </c>
      <c r="D40" s="5">
        <f>SUM(D41:D48)</f>
        <v>3530.8808799999997</v>
      </c>
      <c r="E40" s="5">
        <f t="shared" si="0"/>
        <v>89.443471645267877</v>
      </c>
      <c r="F40" s="5">
        <f t="shared" si="1"/>
        <v>-416.73073999999997</v>
      </c>
      <c r="G40" s="19"/>
    </row>
    <row r="41" spans="1:7" ht="15" customHeight="1">
      <c r="A41" s="16">
        <v>2021000000</v>
      </c>
      <c r="B41" s="17" t="s">
        <v>20</v>
      </c>
      <c r="C41" s="12">
        <v>767.8</v>
      </c>
      <c r="D41" s="265">
        <v>716.678</v>
      </c>
      <c r="E41" s="9">
        <f t="shared" si="0"/>
        <v>93.341755665537903</v>
      </c>
      <c r="F41" s="9">
        <f t="shared" si="1"/>
        <v>-51.121999999999957</v>
      </c>
    </row>
    <row r="42" spans="1:7" ht="15" customHeight="1">
      <c r="A42" s="16">
        <v>2021500200</v>
      </c>
      <c r="B42" s="17" t="s">
        <v>231</v>
      </c>
      <c r="C42" s="12">
        <v>830</v>
      </c>
      <c r="D42" s="20">
        <v>745</v>
      </c>
      <c r="E42" s="9">
        <f>SUM(D42/C42*100)</f>
        <v>89.759036144578303</v>
      </c>
      <c r="F42" s="9">
        <f>SUM(D42-C42)</f>
        <v>-85</v>
      </c>
    </row>
    <row r="43" spans="1:7">
      <c r="A43" s="16">
        <v>2022000000</v>
      </c>
      <c r="B43" s="17" t="s">
        <v>21</v>
      </c>
      <c r="C43" s="12">
        <v>1853.1594</v>
      </c>
      <c r="D43" s="10">
        <v>1736.59988</v>
      </c>
      <c r="E43" s="9">
        <f t="shared" si="0"/>
        <v>93.710226977776429</v>
      </c>
      <c r="F43" s="9">
        <f t="shared" si="1"/>
        <v>-116.55952000000002</v>
      </c>
    </row>
    <row r="44" spans="1:7" ht="18.75" customHeight="1">
      <c r="A44" s="16">
        <v>2023000000</v>
      </c>
      <c r="B44" s="17" t="s">
        <v>22</v>
      </c>
      <c r="C44" s="12">
        <v>91.736000000000004</v>
      </c>
      <c r="D44" s="187">
        <v>82.450999999999993</v>
      </c>
      <c r="E44" s="9">
        <f t="shared" si="0"/>
        <v>89.878564576611126</v>
      </c>
      <c r="F44" s="9">
        <f t="shared" si="1"/>
        <v>-9.2850000000000108</v>
      </c>
    </row>
    <row r="45" spans="1:7" ht="17.25" customHeight="1">
      <c r="A45" s="16">
        <v>2024000000</v>
      </c>
      <c r="B45" s="17" t="s">
        <v>23</v>
      </c>
      <c r="C45" s="12">
        <v>403.26621999999998</v>
      </c>
      <c r="D45" s="188">
        <v>248.50200000000001</v>
      </c>
      <c r="E45" s="9">
        <f t="shared" si="0"/>
        <v>61.622319866018039</v>
      </c>
      <c r="F45" s="9">
        <f t="shared" si="1"/>
        <v>-154.76421999999997</v>
      </c>
    </row>
    <row r="46" spans="1:7" ht="16.5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25</v>
      </c>
      <c r="C47" s="10">
        <v>0</v>
      </c>
      <c r="D47" s="267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302</v>
      </c>
      <c r="C48" s="10">
        <v>1.65</v>
      </c>
      <c r="D48" s="10">
        <v>1.65</v>
      </c>
      <c r="E48" s="9">
        <f>SUM(D48/C48*100)</f>
        <v>100</v>
      </c>
      <c r="F48" s="9">
        <f>SUM(D48-C48)</f>
        <v>0</v>
      </c>
    </row>
    <row r="49" spans="1:8" s="6" customFormat="1" ht="16.5" customHeight="1">
      <c r="A49" s="245">
        <v>2190000010</v>
      </c>
      <c r="B49" s="246" t="s">
        <v>25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27</v>
      </c>
      <c r="C50" s="250">
        <f>C39+C40</f>
        <v>6876.3036199999997</v>
      </c>
      <c r="D50" s="251">
        <f>D39+D40</f>
        <v>6579.5909499999998</v>
      </c>
      <c r="E50" s="5">
        <f t="shared" si="0"/>
        <v>95.684997545236371</v>
      </c>
      <c r="F50" s="5">
        <f t="shared" si="1"/>
        <v>-296.71266999999989</v>
      </c>
      <c r="G50" s="94"/>
      <c r="H50" s="271"/>
    </row>
    <row r="51" spans="1:8" s="6" customFormat="1">
      <c r="A51" s="3"/>
      <c r="B51" s="21" t="s">
        <v>320</v>
      </c>
      <c r="C51" s="93">
        <f>C50-C97</f>
        <v>-182.90052000000014</v>
      </c>
      <c r="D51" s="93">
        <f>D50-D97</f>
        <v>335.85838999999942</v>
      </c>
      <c r="E51" s="22"/>
      <c r="F51" s="22"/>
    </row>
    <row r="52" spans="1:8">
      <c r="A52" s="23"/>
      <c r="B52" s="24"/>
      <c r="C52" s="242"/>
      <c r="D52" s="242" t="s">
        <v>336</v>
      </c>
      <c r="E52" s="26"/>
      <c r="F52" s="92"/>
    </row>
    <row r="53" spans="1:8" ht="42.7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2.5" customHeight="1">
      <c r="A55" s="30" t="s">
        <v>29</v>
      </c>
      <c r="B55" s="31" t="s">
        <v>30</v>
      </c>
      <c r="C55" s="182">
        <f>C56+C57+C58+C59+C60+C62+C61</f>
        <v>1492.569</v>
      </c>
      <c r="D55" s="32">
        <f>D56+D57+D58+D59+D60+D62+D61</f>
        <v>1217.9212199999999</v>
      </c>
      <c r="E55" s="34">
        <f>SUM(D55/C55*100)</f>
        <v>81.598989393455184</v>
      </c>
      <c r="F55" s="34">
        <f>SUM(D55-C55)</f>
        <v>-274.64778000000001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33</v>
      </c>
      <c r="B57" s="39" t="s">
        <v>34</v>
      </c>
      <c r="C57" s="37">
        <v>1463.8869999999999</v>
      </c>
      <c r="D57" s="37">
        <v>1194.2392199999999</v>
      </c>
      <c r="E57" s="34">
        <f>SUM(D57/C57*100)</f>
        <v>81.580014031137651</v>
      </c>
      <c r="F57" s="38">
        <f t="shared" ref="F57:F97" si="3">SUM(D57-C57)</f>
        <v>-269.64778000000001</v>
      </c>
    </row>
    <row r="58" spans="1:8" ht="16.5" hidden="1" customHeight="1">
      <c r="A58" s="35" t="s">
        <v>35</v>
      </c>
      <c r="B58" s="39" t="s">
        <v>36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idden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41</v>
      </c>
      <c r="B61" s="39" t="s">
        <v>42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43</v>
      </c>
      <c r="B62" s="39" t="s">
        <v>44</v>
      </c>
      <c r="C62" s="37">
        <v>23.681999999999999</v>
      </c>
      <c r="D62" s="37">
        <v>23.681999999999999</v>
      </c>
      <c r="E62" s="38">
        <f t="shared" si="4"/>
        <v>100</v>
      </c>
      <c r="F62" s="38">
        <f t="shared" si="3"/>
        <v>0</v>
      </c>
    </row>
    <row r="63" spans="1:8" s="6" customFormat="1">
      <c r="A63" s="41" t="s">
        <v>45</v>
      </c>
      <c r="B63" s="42" t="s">
        <v>46</v>
      </c>
      <c r="C63" s="32">
        <f>C64</f>
        <v>89.945999999999998</v>
      </c>
      <c r="D63" s="32">
        <f>D64</f>
        <v>74.892340000000004</v>
      </c>
      <c r="E63" s="34">
        <f t="shared" si="4"/>
        <v>83.263669312698738</v>
      </c>
      <c r="F63" s="34">
        <f t="shared" si="3"/>
        <v>-15.053659999999994</v>
      </c>
    </row>
    <row r="64" spans="1:8">
      <c r="A64" s="43" t="s">
        <v>47</v>
      </c>
      <c r="B64" s="44" t="s">
        <v>48</v>
      </c>
      <c r="C64" s="37">
        <v>89.945999999999998</v>
      </c>
      <c r="D64" s="37">
        <v>74.892340000000004</v>
      </c>
      <c r="E64" s="38">
        <f t="shared" si="4"/>
        <v>83.263669312698738</v>
      </c>
      <c r="F64" s="38">
        <f t="shared" si="3"/>
        <v>-15.053659999999994</v>
      </c>
    </row>
    <row r="65" spans="1:7" s="6" customFormat="1" ht="21" customHeight="1">
      <c r="A65" s="30" t="s">
        <v>49</v>
      </c>
      <c r="B65" s="31" t="s">
        <v>50</v>
      </c>
      <c r="C65" s="32">
        <f>C68+C69+C70</f>
        <v>31.48011</v>
      </c>
      <c r="D65" s="32">
        <f>SUM(D68+D69+D70)</f>
        <v>24.978069999999999</v>
      </c>
      <c r="E65" s="34">
        <f t="shared" si="4"/>
        <v>79.345561371926593</v>
      </c>
      <c r="F65" s="34">
        <f t="shared" si="3"/>
        <v>-6.5020400000000009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55</v>
      </c>
      <c r="B68" s="47" t="s">
        <v>56</v>
      </c>
      <c r="C68" s="37">
        <v>2.7031100000000001</v>
      </c>
      <c r="D68" s="37">
        <v>2.7031100000000001</v>
      </c>
      <c r="E68" s="34">
        <f t="shared" si="4"/>
        <v>100</v>
      </c>
      <c r="F68" s="34">
        <f t="shared" si="3"/>
        <v>0</v>
      </c>
    </row>
    <row r="69" spans="1:7">
      <c r="A69" s="46" t="s">
        <v>218</v>
      </c>
      <c r="B69" s="47" t="s">
        <v>219</v>
      </c>
      <c r="C69" s="37">
        <v>26.777000000000001</v>
      </c>
      <c r="D69" s="37">
        <v>20.27496</v>
      </c>
      <c r="E69" s="34">
        <f t="shared" si="4"/>
        <v>75.71781752996975</v>
      </c>
      <c r="F69" s="34">
        <f t="shared" si="3"/>
        <v>-6.5020400000000009</v>
      </c>
    </row>
    <row r="70" spans="1:7">
      <c r="A70" s="46" t="s">
        <v>357</v>
      </c>
      <c r="B70" s="47" t="s">
        <v>414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57</v>
      </c>
      <c r="B71" s="31" t="s">
        <v>58</v>
      </c>
      <c r="C71" s="48">
        <f>SUM(C72:C75)</f>
        <v>3213.5745100000004</v>
      </c>
      <c r="D71" s="48">
        <f>SUM(D72:D75)</f>
        <v>3056.5086300000003</v>
      </c>
      <c r="E71" s="34">
        <f t="shared" si="4"/>
        <v>95.112424513225307</v>
      </c>
      <c r="F71" s="34">
        <f t="shared" si="3"/>
        <v>-157.06588000000011</v>
      </c>
    </row>
    <row r="72" spans="1:7">
      <c r="A72" s="35" t="s">
        <v>59</v>
      </c>
      <c r="B72" s="39" t="s">
        <v>60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61</v>
      </c>
      <c r="B73" s="39" t="s">
        <v>62</v>
      </c>
      <c r="C73" s="49">
        <v>1048.33529</v>
      </c>
      <c r="D73" s="37">
        <v>1003.22923</v>
      </c>
      <c r="E73" s="38">
        <f t="shared" si="4"/>
        <v>95.697363197608283</v>
      </c>
      <c r="F73" s="38">
        <f t="shared" si="3"/>
        <v>-45.106059999999957</v>
      </c>
      <c r="G73" s="50"/>
    </row>
    <row r="74" spans="1:7">
      <c r="A74" s="35" t="s">
        <v>63</v>
      </c>
      <c r="B74" s="39" t="s">
        <v>64</v>
      </c>
      <c r="C74" s="49">
        <v>1975.41372</v>
      </c>
      <c r="D74" s="37">
        <v>1871.9754</v>
      </c>
      <c r="E74" s="38">
        <f t="shared" si="4"/>
        <v>94.763713598182363</v>
      </c>
      <c r="F74" s="38">
        <f t="shared" si="3"/>
        <v>-103.43831999999998</v>
      </c>
    </row>
    <row r="75" spans="1:7">
      <c r="A75" s="35" t="s">
        <v>65</v>
      </c>
      <c r="B75" s="39" t="s">
        <v>66</v>
      </c>
      <c r="C75" s="49">
        <v>185.804</v>
      </c>
      <c r="D75" s="37">
        <v>181.304</v>
      </c>
      <c r="E75" s="38">
        <f t="shared" si="4"/>
        <v>97.578093044283222</v>
      </c>
      <c r="F75" s="38">
        <f t="shared" si="3"/>
        <v>-4.5</v>
      </c>
    </row>
    <row r="76" spans="1:7" s="6" customFormat="1" ht="16.5" customHeight="1">
      <c r="A76" s="30" t="s">
        <v>67</v>
      </c>
      <c r="B76" s="31" t="s">
        <v>68</v>
      </c>
      <c r="C76" s="32">
        <f>SUM(C77:C79)</f>
        <v>533.59951999999998</v>
      </c>
      <c r="D76" s="32">
        <f>SUM(D77:D79)</f>
        <v>256.30013000000002</v>
      </c>
      <c r="E76" s="34">
        <f t="shared" si="4"/>
        <v>48.032301453344637</v>
      </c>
      <c r="F76" s="34">
        <f t="shared" si="3"/>
        <v>-277.29938999999996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73</v>
      </c>
      <c r="B79" s="39" t="s">
        <v>74</v>
      </c>
      <c r="C79" s="37">
        <v>533.59951999999998</v>
      </c>
      <c r="D79" s="37">
        <v>256.30013000000002</v>
      </c>
      <c r="E79" s="38">
        <f t="shared" si="4"/>
        <v>48.032301453344637</v>
      </c>
      <c r="F79" s="38">
        <f t="shared" si="3"/>
        <v>-277.29938999999996</v>
      </c>
    </row>
    <row r="80" spans="1:7" s="6" customFormat="1">
      <c r="A80" s="30" t="s">
        <v>85</v>
      </c>
      <c r="B80" s="31" t="s">
        <v>86</v>
      </c>
      <c r="C80" s="32">
        <f>C81</f>
        <v>1677.702</v>
      </c>
      <c r="D80" s="32">
        <f>SUM(D81)</f>
        <v>1592.79917</v>
      </c>
      <c r="E80" s="34">
        <f t="shared" si="4"/>
        <v>94.939337856186626</v>
      </c>
      <c r="F80" s="34">
        <f t="shared" si="3"/>
        <v>-84.902829999999994</v>
      </c>
    </row>
    <row r="81" spans="1:6" ht="15.75" customHeight="1">
      <c r="A81" s="35" t="s">
        <v>87</v>
      </c>
      <c r="B81" s="39" t="s">
        <v>233</v>
      </c>
      <c r="C81" s="37">
        <v>1677.702</v>
      </c>
      <c r="D81" s="37">
        <v>1592.79917</v>
      </c>
      <c r="E81" s="38">
        <f t="shared" si="4"/>
        <v>94.939337856186626</v>
      </c>
      <c r="F81" s="38">
        <f t="shared" si="3"/>
        <v>-84.902829999999994</v>
      </c>
    </row>
    <row r="82" spans="1:6" s="6" customFormat="1" ht="0.7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89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91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92</v>
      </c>
      <c r="B86" s="39" t="s">
        <v>93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94</v>
      </c>
      <c r="B87" s="31" t="s">
        <v>95</v>
      </c>
      <c r="C87" s="32">
        <f>C88+C89+C90+C91+C92</f>
        <v>20.332999999999998</v>
      </c>
      <c r="D87" s="32">
        <f>D88+D89+D90+D91+D92</f>
        <v>20.332999999999998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96</v>
      </c>
      <c r="B88" s="39" t="s">
        <v>97</v>
      </c>
      <c r="C88" s="37">
        <v>20.332999999999998</v>
      </c>
      <c r="D88" s="37">
        <v>20.332999999999998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104</v>
      </c>
      <c r="B92" s="39" t="s">
        <v>105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115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116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117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118</v>
      </c>
      <c r="C97" s="253">
        <f>C55+C63+C71+C76+C80+C82+C87+C65+C93</f>
        <v>7059.2041399999998</v>
      </c>
      <c r="D97" s="253">
        <f>D55+D63+D71+D76+D80+D82+D87+D65+D93</f>
        <v>6243.7325600000004</v>
      </c>
      <c r="E97" s="34">
        <f t="shared" si="4"/>
        <v>88.448108826046791</v>
      </c>
      <c r="F97" s="34">
        <f t="shared" si="3"/>
        <v>-815.47157999999945</v>
      </c>
      <c r="G97" s="200"/>
      <c r="H97" s="200"/>
    </row>
    <row r="98" spans="1:8">
      <c r="C98" s="126"/>
      <c r="D98" s="101"/>
    </row>
    <row r="99" spans="1:8" s="65" customFormat="1" ht="16.5" customHeight="1">
      <c r="A99" s="63" t="s">
        <v>119</v>
      </c>
      <c r="B99" s="63"/>
      <c r="C99" s="185"/>
      <c r="D99" s="185"/>
      <c r="E99" s="64"/>
    </row>
    <row r="100" spans="1:8" s="65" customFormat="1" ht="20.25" customHeight="1">
      <c r="A100" s="66" t="s">
        <v>120</v>
      </c>
      <c r="B100" s="66"/>
      <c r="C100" s="65" t="s">
        <v>121</v>
      </c>
    </row>
    <row r="101" spans="1:8" ht="13.5" customHeight="1">
      <c r="C101" s="120"/>
    </row>
    <row r="103" spans="1:8" ht="5.25" customHeight="1"/>
    <row r="142" hidden="1"/>
  </sheetData>
  <customSheetViews>
    <customSheetView guid="{120EA1E0-6265-45F1-AFBB-CEB5CB007D02}" scale="70" showPageBreaks="1" printArea="1" hiddenRows="1" view="pageBreakPreview" topLeftCell="A37">
      <selection activeCell="D88" sqref="D88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46">
      <selection activeCell="D76" sqref="D76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8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printArea="1" hiddenRows="1" view="pageBreakPreview" topLeftCell="A37">
      <selection activeCell="D88" sqref="D88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2"/>
  <sheetViews>
    <sheetView view="pageBreakPreview" zoomScale="7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431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1272.8040000000001</v>
      </c>
      <c r="D4" s="5">
        <f>D5+D12+D14+D17+D7</f>
        <v>1271.2711099999999</v>
      </c>
      <c r="E4" s="5">
        <f>SUM(D4/C4*100)</f>
        <v>99.879565903312667</v>
      </c>
      <c r="F4" s="5">
        <f>SUM(D4-C4)</f>
        <v>-1.5328900000001795</v>
      </c>
    </row>
    <row r="5" spans="1:6" s="6" customFormat="1">
      <c r="A5" s="68">
        <v>1010000000</v>
      </c>
      <c r="B5" s="67" t="s">
        <v>5</v>
      </c>
      <c r="C5" s="5">
        <f>C6</f>
        <v>132.44399999999999</v>
      </c>
      <c r="D5" s="5">
        <f>D6</f>
        <v>125.35448</v>
      </c>
      <c r="E5" s="5">
        <f t="shared" ref="E5:E52" si="0">SUM(D5/C5*100)</f>
        <v>94.647156534082328</v>
      </c>
      <c r="F5" s="5">
        <f t="shared" ref="F5:F52" si="1">SUM(D5-C5)</f>
        <v>-7.0895199999999932</v>
      </c>
    </row>
    <row r="6" spans="1:6">
      <c r="A6" s="7">
        <v>1010200001</v>
      </c>
      <c r="B6" s="8" t="s">
        <v>228</v>
      </c>
      <c r="C6" s="9">
        <v>132.44399999999999</v>
      </c>
      <c r="D6" s="10">
        <v>125.35448</v>
      </c>
      <c r="E6" s="9">
        <f t="shared" ref="E6:E11" si="2">SUM(D6/C6*100)</f>
        <v>94.647156534082328</v>
      </c>
      <c r="F6" s="9">
        <f t="shared" si="1"/>
        <v>-7.0895199999999932</v>
      </c>
    </row>
    <row r="7" spans="1:6" ht="31.5">
      <c r="A7" s="3">
        <v>1030000000</v>
      </c>
      <c r="B7" s="13" t="s">
        <v>280</v>
      </c>
      <c r="C7" s="5">
        <f>C8+C10+C9</f>
        <v>672.36</v>
      </c>
      <c r="D7" s="234">
        <f>D8+D10+D9+D11</f>
        <v>750.14538999999991</v>
      </c>
      <c r="E7" s="5">
        <f t="shared" si="2"/>
        <v>111.56900916175856</v>
      </c>
      <c r="F7" s="5">
        <f t="shared" si="1"/>
        <v>77.785389999999893</v>
      </c>
    </row>
    <row r="8" spans="1:6">
      <c r="A8" s="7">
        <v>1030223001</v>
      </c>
      <c r="B8" s="8" t="s">
        <v>282</v>
      </c>
      <c r="C8" s="9">
        <v>250.79</v>
      </c>
      <c r="D8" s="10">
        <v>340.9529</v>
      </c>
      <c r="E8" s="9">
        <f t="shared" si="2"/>
        <v>135.95155309222858</v>
      </c>
      <c r="F8" s="9">
        <f t="shared" si="1"/>
        <v>90.162900000000008</v>
      </c>
    </row>
    <row r="9" spans="1:6">
      <c r="A9" s="7">
        <v>1030224001</v>
      </c>
      <c r="B9" s="8" t="s">
        <v>288</v>
      </c>
      <c r="C9" s="9">
        <v>2.69</v>
      </c>
      <c r="D9" s="10">
        <v>2.5106899999999999</v>
      </c>
      <c r="E9" s="9">
        <f t="shared" si="2"/>
        <v>93.334200743494421</v>
      </c>
      <c r="F9" s="9">
        <f t="shared" si="1"/>
        <v>-0.17931000000000008</v>
      </c>
    </row>
    <row r="10" spans="1:6">
      <c r="A10" s="7">
        <v>1030225001</v>
      </c>
      <c r="B10" s="8" t="s">
        <v>281</v>
      </c>
      <c r="C10" s="9">
        <v>418.88</v>
      </c>
      <c r="D10" s="10">
        <v>458.03064999999998</v>
      </c>
      <c r="E10" s="9">
        <f t="shared" si="2"/>
        <v>109.34650735294117</v>
      </c>
      <c r="F10" s="9">
        <f t="shared" si="1"/>
        <v>39.150649999999985</v>
      </c>
    </row>
    <row r="11" spans="1:6">
      <c r="A11" s="7">
        <v>1030226001</v>
      </c>
      <c r="B11" s="8" t="s">
        <v>290</v>
      </c>
      <c r="C11" s="9">
        <v>0</v>
      </c>
      <c r="D11" s="10">
        <v>-51.348849999999999</v>
      </c>
      <c r="E11" s="9" t="e">
        <f t="shared" si="2"/>
        <v>#DIV/0!</v>
      </c>
      <c r="F11" s="9">
        <f t="shared" si="1"/>
        <v>-51.348849999999999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0.31428</v>
      </c>
      <c r="E12" s="5">
        <f t="shared" si="0"/>
        <v>3.1427999999999998</v>
      </c>
      <c r="F12" s="5">
        <f t="shared" si="1"/>
        <v>-9.6857199999999999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0.31428</v>
      </c>
      <c r="E13" s="9">
        <f t="shared" si="0"/>
        <v>3.1427999999999998</v>
      </c>
      <c r="F13" s="9">
        <f t="shared" si="1"/>
        <v>-9.6857199999999999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453</v>
      </c>
      <c r="D14" s="5">
        <f>D15+D16</f>
        <v>386.15696000000003</v>
      </c>
      <c r="E14" s="5">
        <f t="shared" si="0"/>
        <v>85.24436203090508</v>
      </c>
      <c r="F14" s="5">
        <f t="shared" si="1"/>
        <v>-66.843039999999974</v>
      </c>
    </row>
    <row r="15" spans="1:6" s="6" customFormat="1" ht="15.75" customHeight="1">
      <c r="A15" s="7">
        <v>1060100000</v>
      </c>
      <c r="B15" s="11" t="s">
        <v>8</v>
      </c>
      <c r="C15" s="9">
        <v>128</v>
      </c>
      <c r="D15" s="10">
        <v>101.43239</v>
      </c>
      <c r="E15" s="9">
        <f t="shared" si="0"/>
        <v>79.244054687499997</v>
      </c>
      <c r="F15" s="9">
        <f>SUM(D15-C15)</f>
        <v>-26.567610000000002</v>
      </c>
    </row>
    <row r="16" spans="1:6" ht="15.75" customHeight="1">
      <c r="A16" s="7">
        <v>1060600000</v>
      </c>
      <c r="B16" s="11" t="s">
        <v>7</v>
      </c>
      <c r="C16" s="9">
        <v>325</v>
      </c>
      <c r="D16" s="10">
        <v>284.72457000000003</v>
      </c>
      <c r="E16" s="9">
        <f t="shared" si="0"/>
        <v>87.607560000000007</v>
      </c>
      <c r="F16" s="9">
        <f t="shared" si="1"/>
        <v>-40.275429999999972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9.3000000000000007</v>
      </c>
      <c r="E17" s="5">
        <f t="shared" si="0"/>
        <v>186</v>
      </c>
      <c r="F17" s="5">
        <f t="shared" si="1"/>
        <v>4.3000000000000007</v>
      </c>
    </row>
    <row r="18" spans="1:6" ht="17.25" customHeight="1">
      <c r="A18" s="7">
        <v>1080400001</v>
      </c>
      <c r="B18" s="8" t="s">
        <v>271</v>
      </c>
      <c r="C18" s="9">
        <v>5</v>
      </c>
      <c r="D18" s="10">
        <v>9.3000000000000007</v>
      </c>
      <c r="E18" s="9">
        <f t="shared" si="0"/>
        <v>186</v>
      </c>
      <c r="F18" s="9">
        <f t="shared" si="1"/>
        <v>4.3000000000000007</v>
      </c>
    </row>
    <row r="19" spans="1:6" ht="49.5" hidden="1" customHeight="1">
      <c r="A19" s="7">
        <v>1080714001</v>
      </c>
      <c r="B19" s="8" t="s">
        <v>226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410</v>
      </c>
      <c r="D25" s="5">
        <f>D26+D29+D31+D34</f>
        <v>391.56225000000001</v>
      </c>
      <c r="E25" s="5">
        <f t="shared" si="0"/>
        <v>95.502987804878046</v>
      </c>
      <c r="F25" s="5">
        <f t="shared" si="1"/>
        <v>-18.437749999999994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50</v>
      </c>
      <c r="D26" s="5">
        <f>D27+D28</f>
        <v>61.5</v>
      </c>
      <c r="E26" s="5">
        <f t="shared" si="0"/>
        <v>123</v>
      </c>
      <c r="F26" s="5">
        <f t="shared" si="1"/>
        <v>11.5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50</v>
      </c>
      <c r="D28" s="10">
        <v>61.5</v>
      </c>
      <c r="E28" s="9">
        <f t="shared" si="0"/>
        <v>123</v>
      </c>
      <c r="F28" s="9">
        <f t="shared" si="1"/>
        <v>11.5</v>
      </c>
    </row>
    <row r="29" spans="1:6" s="15" customFormat="1" ht="27.75" customHeight="1">
      <c r="A29" s="68">
        <v>1130000000</v>
      </c>
      <c r="B29" s="69" t="s">
        <v>130</v>
      </c>
      <c r="C29" s="5">
        <f>C30</f>
        <v>360</v>
      </c>
      <c r="D29" s="5">
        <f>D30</f>
        <v>325.90424999999999</v>
      </c>
      <c r="E29" s="5">
        <f t="shared" si="0"/>
        <v>90.528958333333335</v>
      </c>
      <c r="F29" s="5">
        <f t="shared" si="1"/>
        <v>-34.09575000000001</v>
      </c>
    </row>
    <row r="30" spans="1:6" ht="15.75" customHeight="1">
      <c r="A30" s="7">
        <v>1130206005</v>
      </c>
      <c r="B30" s="8" t="s">
        <v>14</v>
      </c>
      <c r="C30" s="9">
        <v>360</v>
      </c>
      <c r="D30" s="10">
        <v>325.90424999999999</v>
      </c>
      <c r="E30" s="9">
        <f t="shared" si="0"/>
        <v>90.528958333333335</v>
      </c>
      <c r="F30" s="9">
        <f t="shared" si="1"/>
        <v>-34.09575000000001</v>
      </c>
    </row>
    <row r="31" spans="1:6" ht="14.25" customHeight="1">
      <c r="A31" s="70">
        <v>1140000000</v>
      </c>
      <c r="B31" s="71" t="s">
        <v>131</v>
      </c>
      <c r="C31" s="5">
        <f>C32+C33</f>
        <v>0</v>
      </c>
      <c r="D31" s="5">
        <f>D32+D33</f>
        <v>4.1580000000000004</v>
      </c>
      <c r="E31" s="5" t="e">
        <f t="shared" si="0"/>
        <v>#DIV/0!</v>
      </c>
      <c r="F31" s="5">
        <f t="shared" si="1"/>
        <v>4.1580000000000004</v>
      </c>
    </row>
    <row r="32" spans="1:6" ht="14.25" customHeight="1">
      <c r="A32" s="16">
        <v>1140200000</v>
      </c>
      <c r="B32" s="18" t="s">
        <v>132</v>
      </c>
      <c r="C32" s="9">
        <v>0</v>
      </c>
      <c r="D32" s="10">
        <v>4.1580000000000004</v>
      </c>
      <c r="E32" s="9" t="e">
        <f t="shared" si="0"/>
        <v>#DIV/0!</v>
      </c>
      <c r="F32" s="9">
        <f t="shared" si="1"/>
        <v>4.1580000000000004</v>
      </c>
    </row>
    <row r="33" spans="1:7" ht="14.2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18</v>
      </c>
      <c r="C37" s="127">
        <f>SUM(C4,C25)</f>
        <v>1682.8040000000001</v>
      </c>
      <c r="D37" s="127">
        <f>D4+D25</f>
        <v>1662.8333599999999</v>
      </c>
      <c r="E37" s="5">
        <f t="shared" si="0"/>
        <v>98.813252167216135</v>
      </c>
      <c r="F37" s="5">
        <f t="shared" si="1"/>
        <v>-19.97064000000023</v>
      </c>
    </row>
    <row r="38" spans="1:7" s="6" customFormat="1">
      <c r="A38" s="3">
        <v>2000000000</v>
      </c>
      <c r="B38" s="4" t="s">
        <v>19</v>
      </c>
      <c r="C38" s="5">
        <f>C39+C41+C42+C43+C50+C51</f>
        <v>5434.9940000000006</v>
      </c>
      <c r="D38" s="5">
        <f>D39+D41+D42+D43+D50+D51</f>
        <v>4933.6234000000004</v>
      </c>
      <c r="E38" s="5">
        <f t="shared" si="0"/>
        <v>90.775139770163491</v>
      </c>
      <c r="F38" s="5">
        <f t="shared" si="1"/>
        <v>-501.37060000000019</v>
      </c>
      <c r="G38" s="19"/>
    </row>
    <row r="39" spans="1:7" ht="16.5" customHeight="1">
      <c r="A39" s="16">
        <v>2021000000</v>
      </c>
      <c r="B39" s="17" t="s">
        <v>20</v>
      </c>
      <c r="C39" s="12">
        <v>3029</v>
      </c>
      <c r="D39" s="20">
        <v>2827.3319999999999</v>
      </c>
      <c r="E39" s="9">
        <v>0</v>
      </c>
      <c r="F39" s="9">
        <f t="shared" si="1"/>
        <v>-201.66800000000012</v>
      </c>
    </row>
    <row r="40" spans="1:7" ht="14.25" customHeight="1">
      <c r="A40" s="16">
        <v>2020100310</v>
      </c>
      <c r="B40" s="17" t="s">
        <v>231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231</v>
      </c>
      <c r="C41" s="12">
        <v>712.5</v>
      </c>
      <c r="D41" s="20">
        <v>681.25</v>
      </c>
      <c r="E41" s="9">
        <f t="shared" si="0"/>
        <v>95.614035087719301</v>
      </c>
      <c r="F41" s="9">
        <f t="shared" si="1"/>
        <v>-31.25</v>
      </c>
    </row>
    <row r="42" spans="1:7">
      <c r="A42" s="16">
        <v>2022000000</v>
      </c>
      <c r="B42" s="17" t="s">
        <v>21</v>
      </c>
      <c r="C42" s="12">
        <v>1262.047</v>
      </c>
      <c r="D42" s="10">
        <v>1199.5450000000001</v>
      </c>
      <c r="E42" s="9">
        <f t="shared" si="0"/>
        <v>95.047569543765007</v>
      </c>
      <c r="F42" s="9">
        <f t="shared" si="1"/>
        <v>-62.501999999999953</v>
      </c>
    </row>
    <row r="43" spans="1:7" ht="17.25" customHeight="1">
      <c r="A43" s="16">
        <v>2023000000</v>
      </c>
      <c r="B43" s="17" t="s">
        <v>22</v>
      </c>
      <c r="C43" s="12">
        <v>182.65700000000001</v>
      </c>
      <c r="D43" s="187">
        <v>165.49639999999999</v>
      </c>
      <c r="E43" s="9">
        <f t="shared" si="0"/>
        <v>90.605013768976818</v>
      </c>
      <c r="F43" s="9">
        <f t="shared" si="1"/>
        <v>-17.160600000000017</v>
      </c>
    </row>
    <row r="44" spans="1:7" ht="18" hidden="1" customHeight="1">
      <c r="A44" s="16">
        <v>2020400000</v>
      </c>
      <c r="B44" s="17" t="s">
        <v>23</v>
      </c>
      <c r="C44" s="12"/>
      <c r="D44" s="188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24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301</v>
      </c>
      <c r="C46" s="191">
        <f>C47</f>
        <v>0</v>
      </c>
      <c r="D46" s="243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300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7">
        <v>2190500005</v>
      </c>
      <c r="B48" s="11" t="s">
        <v>25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35.25" hidden="1" customHeight="1">
      <c r="A49" s="3">
        <v>3000000000</v>
      </c>
      <c r="B49" s="13" t="s">
        <v>26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hidden="1" customHeight="1">
      <c r="A50" s="7">
        <v>2020400000</v>
      </c>
      <c r="B50" s="8" t="s">
        <v>23</v>
      </c>
      <c r="C50" s="12">
        <v>248.79</v>
      </c>
      <c r="D50" s="10">
        <v>60</v>
      </c>
      <c r="E50" s="9">
        <f t="shared" si="0"/>
        <v>24.116724948751962</v>
      </c>
      <c r="F50" s="9">
        <f t="shared" si="1"/>
        <v>-188.79</v>
      </c>
    </row>
    <row r="51" spans="1:8" s="6" customFormat="1" ht="15" customHeight="1">
      <c r="A51" s="7">
        <v>2070500010</v>
      </c>
      <c r="B51" s="11" t="s">
        <v>302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27</v>
      </c>
      <c r="C52" s="250">
        <f>C37+C38</f>
        <v>7117.7980000000007</v>
      </c>
      <c r="D52" s="250">
        <f>D37+D38</f>
        <v>6596.45676</v>
      </c>
      <c r="E52" s="5">
        <f t="shared" si="0"/>
        <v>92.67552633553241</v>
      </c>
      <c r="F52" s="5">
        <f t="shared" si="1"/>
        <v>-521.34124000000065</v>
      </c>
      <c r="G52" s="94"/>
      <c r="H52" s="200"/>
    </row>
    <row r="53" spans="1:8" s="6" customFormat="1">
      <c r="A53" s="3"/>
      <c r="B53" s="21" t="s">
        <v>320</v>
      </c>
      <c r="C53" s="93">
        <f>C52-C99</f>
        <v>-260.56954999999925</v>
      </c>
      <c r="D53" s="93">
        <f>D52-D99</f>
        <v>-43.723750000000109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432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29</v>
      </c>
      <c r="B57" s="31" t="s">
        <v>30</v>
      </c>
      <c r="C57" s="32">
        <f>C58+C59+C60+C61+C62+C64+C63</f>
        <v>1409.2740000000001</v>
      </c>
      <c r="D57" s="33">
        <f>D58+D59+D60+D61+D62+D64+D63</f>
        <v>1162.9982299999999</v>
      </c>
      <c r="E57" s="34">
        <f>SUM(D57/C57*100)</f>
        <v>82.524635379635185</v>
      </c>
      <c r="F57" s="34">
        <f>SUM(D57-C57)</f>
        <v>-246.27577000000019</v>
      </c>
    </row>
    <row r="58" spans="1:8" s="6" customFormat="1" ht="16.5" hidden="1" customHeight="1">
      <c r="A58" s="35" t="s">
        <v>31</v>
      </c>
      <c r="B58" s="36" t="s">
        <v>32</v>
      </c>
      <c r="C58" s="37"/>
      <c r="D58" s="37"/>
      <c r="E58" s="38"/>
      <c r="F58" s="38"/>
    </row>
    <row r="59" spans="1:8" ht="15" customHeight="1">
      <c r="A59" s="35" t="s">
        <v>33</v>
      </c>
      <c r="B59" s="39" t="s">
        <v>34</v>
      </c>
      <c r="C59" s="37">
        <v>1350.0820000000001</v>
      </c>
      <c r="D59" s="37">
        <v>1108.8062299999999</v>
      </c>
      <c r="E59" s="38">
        <f t="shared" ref="E59:E99" si="3">SUM(D59/C59*100)</f>
        <v>82.128806250287013</v>
      </c>
      <c r="F59" s="38">
        <f t="shared" ref="F59:F99" si="4">SUM(D59-C59)</f>
        <v>-241.27577000000019</v>
      </c>
    </row>
    <row r="60" spans="1:8" ht="15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18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37">
        <v>54.192</v>
      </c>
      <c r="D64" s="37">
        <v>54.192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45</v>
      </c>
      <c r="B65" s="42" t="s">
        <v>46</v>
      </c>
      <c r="C65" s="32">
        <f>C66</f>
        <v>179.892</v>
      </c>
      <c r="D65" s="32">
        <f>D66</f>
        <v>151.84827000000001</v>
      </c>
      <c r="E65" s="34">
        <f t="shared" si="3"/>
        <v>84.410796477886734</v>
      </c>
      <c r="F65" s="34">
        <f t="shared" si="4"/>
        <v>-28.043729999999982</v>
      </c>
    </row>
    <row r="66" spans="1:7">
      <c r="A66" s="43" t="s">
        <v>47</v>
      </c>
      <c r="B66" s="44" t="s">
        <v>48</v>
      </c>
      <c r="C66" s="37">
        <v>179.892</v>
      </c>
      <c r="D66" s="37">
        <v>151.84827000000001</v>
      </c>
      <c r="E66" s="38">
        <f t="shared" si="3"/>
        <v>84.410796477886734</v>
      </c>
      <c r="F66" s="38">
        <f t="shared" si="4"/>
        <v>-28.043729999999982</v>
      </c>
    </row>
    <row r="67" spans="1:7" s="6" customFormat="1" ht="16.5" customHeight="1">
      <c r="A67" s="30" t="s">
        <v>49</v>
      </c>
      <c r="B67" s="31" t="s">
        <v>50</v>
      </c>
      <c r="C67" s="32">
        <f>C70+C71+C72</f>
        <v>18.703109999999999</v>
      </c>
      <c r="D67" s="32">
        <f>SUM(D70+D71+D72)</f>
        <v>10.703110000000001</v>
      </c>
      <c r="E67" s="34">
        <f t="shared" si="3"/>
        <v>57.226365026992845</v>
      </c>
      <c r="F67" s="34">
        <f t="shared" si="4"/>
        <v>-7.9999999999999982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6">
        <v>2.7031100000000001</v>
      </c>
      <c r="D70" s="37">
        <v>2.7031100000000001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218</v>
      </c>
      <c r="B71" s="47" t="s">
        <v>219</v>
      </c>
      <c r="C71" s="37">
        <v>14</v>
      </c>
      <c r="D71" s="37">
        <v>6</v>
      </c>
      <c r="E71" s="34">
        <f t="shared" si="3"/>
        <v>42.857142857142854</v>
      </c>
      <c r="F71" s="34">
        <f t="shared" si="4"/>
        <v>-8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2</v>
      </c>
      <c r="E72" s="34"/>
      <c r="F72" s="34"/>
    </row>
    <row r="73" spans="1:7" s="6" customFormat="1" ht="15" customHeight="1">
      <c r="A73" s="30" t="s">
        <v>57</v>
      </c>
      <c r="B73" s="31" t="s">
        <v>58</v>
      </c>
      <c r="C73" s="48">
        <f>SUM(C74:C77)</f>
        <v>2483.6485499999999</v>
      </c>
      <c r="D73" s="48">
        <f>SUM(D74:D77)</f>
        <v>2225.0988000000002</v>
      </c>
      <c r="E73" s="34">
        <f t="shared" si="3"/>
        <v>89.589922052377347</v>
      </c>
      <c r="F73" s="34">
        <f t="shared" si="4"/>
        <v>-258.54974999999968</v>
      </c>
    </row>
    <row r="74" spans="1:7" ht="17.25" customHeight="1">
      <c r="A74" s="35" t="s">
        <v>59</v>
      </c>
      <c r="B74" s="39" t="s">
        <v>60</v>
      </c>
      <c r="C74" s="49">
        <v>6.7024999999999997</v>
      </c>
      <c r="D74" s="37">
        <v>1.3405</v>
      </c>
      <c r="E74" s="38">
        <f t="shared" si="3"/>
        <v>20</v>
      </c>
      <c r="F74" s="38">
        <f t="shared" si="4"/>
        <v>-5.3620000000000001</v>
      </c>
    </row>
    <row r="75" spans="1:7" s="6" customFormat="1" ht="19.5" customHeight="1">
      <c r="A75" s="35" t="s">
        <v>61</v>
      </c>
      <c r="B75" s="39" t="s">
        <v>62</v>
      </c>
      <c r="C75" s="49">
        <v>433.6</v>
      </c>
      <c r="D75" s="37">
        <v>315.43700000000001</v>
      </c>
      <c r="E75" s="38">
        <f t="shared" si="3"/>
        <v>72.748385608856097</v>
      </c>
      <c r="F75" s="38">
        <f t="shared" si="4"/>
        <v>-118.16300000000001</v>
      </c>
      <c r="G75" s="50"/>
    </row>
    <row r="76" spans="1:7">
      <c r="A76" s="35" t="s">
        <v>63</v>
      </c>
      <c r="B76" s="39" t="s">
        <v>64</v>
      </c>
      <c r="C76" s="49">
        <v>1977.3460500000001</v>
      </c>
      <c r="D76" s="37">
        <v>1906.3213000000001</v>
      </c>
      <c r="E76" s="38">
        <f t="shared" si="3"/>
        <v>96.408076876579088</v>
      </c>
      <c r="F76" s="38">
        <f t="shared" si="4"/>
        <v>-71.02475000000004</v>
      </c>
    </row>
    <row r="77" spans="1:7">
      <c r="A77" s="35" t="s">
        <v>65</v>
      </c>
      <c r="B77" s="39" t="s">
        <v>66</v>
      </c>
      <c r="C77" s="49">
        <v>66</v>
      </c>
      <c r="D77" s="37">
        <v>2</v>
      </c>
      <c r="E77" s="38">
        <f t="shared" si="3"/>
        <v>3.0303030303030303</v>
      </c>
      <c r="F77" s="38">
        <f t="shared" si="4"/>
        <v>-64</v>
      </c>
    </row>
    <row r="78" spans="1:7" s="6" customFormat="1" ht="14.25" customHeight="1">
      <c r="A78" s="30" t="s">
        <v>67</v>
      </c>
      <c r="B78" s="31" t="s">
        <v>68</v>
      </c>
      <c r="C78" s="32">
        <f>SUM(C79:C81)</f>
        <v>504.66699999999997</v>
      </c>
      <c r="D78" s="32">
        <f>SUM(D79:D81)</f>
        <v>460.01364999999998</v>
      </c>
      <c r="E78" s="34">
        <f t="shared" si="3"/>
        <v>91.151917997412156</v>
      </c>
      <c r="F78" s="34">
        <f t="shared" si="4"/>
        <v>-44.653349999999989</v>
      </c>
    </row>
    <row r="79" spans="1:7" ht="16.5" hidden="1" customHeight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hidden="1" customHeight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504.66699999999997</v>
      </c>
      <c r="D81" s="37">
        <v>460.01364999999998</v>
      </c>
      <c r="E81" s="38">
        <f t="shared" si="3"/>
        <v>91.151917997412156</v>
      </c>
      <c r="F81" s="38">
        <f t="shared" si="4"/>
        <v>-44.653349999999989</v>
      </c>
    </row>
    <row r="82" spans="1:6" s="6" customFormat="1">
      <c r="A82" s="30" t="s">
        <v>85</v>
      </c>
      <c r="B82" s="31" t="s">
        <v>86</v>
      </c>
      <c r="C82" s="32">
        <f>C83</f>
        <v>2755.18289</v>
      </c>
      <c r="D82" s="32">
        <f>SUM(D83)</f>
        <v>2608.51845</v>
      </c>
      <c r="E82" s="34">
        <f t="shared" si="3"/>
        <v>94.676780240893549</v>
      </c>
      <c r="F82" s="34">
        <f t="shared" si="4"/>
        <v>-146.66444000000001</v>
      </c>
    </row>
    <row r="83" spans="1:6" ht="15" customHeight="1">
      <c r="A83" s="35" t="s">
        <v>87</v>
      </c>
      <c r="B83" s="39" t="s">
        <v>233</v>
      </c>
      <c r="C83" s="37">
        <v>2755.18289</v>
      </c>
      <c r="D83" s="37">
        <v>2608.51845</v>
      </c>
      <c r="E83" s="38">
        <f t="shared" si="3"/>
        <v>94.676780240893549</v>
      </c>
      <c r="F83" s="38">
        <f t="shared" si="4"/>
        <v>-146.66444000000001</v>
      </c>
    </row>
    <row r="84" spans="1:6" s="6" customFormat="1" ht="15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</f>
        <v>27</v>
      </c>
      <c r="D89" s="32">
        <f>D90+D91+D92+D93+D94</f>
        <v>21</v>
      </c>
      <c r="E89" s="38"/>
      <c r="F89" s="22">
        <f>F90+F91+F92+F93+F94</f>
        <v>-6</v>
      </c>
    </row>
    <row r="90" spans="1:6" ht="16.5" customHeight="1">
      <c r="A90" s="35" t="s">
        <v>96</v>
      </c>
      <c r="B90" s="39" t="s">
        <v>97</v>
      </c>
      <c r="C90" s="37">
        <v>27</v>
      </c>
      <c r="D90" s="37">
        <v>21</v>
      </c>
      <c r="E90" s="38"/>
      <c r="F90" s="38">
        <f>SUM(D90-C90)</f>
        <v>-6</v>
      </c>
    </row>
    <row r="91" spans="1:6" ht="1.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114</v>
      </c>
      <c r="C95" s="48">
        <f>C96+C97+C98</f>
        <v>0</v>
      </c>
      <c r="D95" s="177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117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118</v>
      </c>
      <c r="C99" s="253">
        <f>C57+C65+C67+C73+C78+C82+C89+C84</f>
        <v>7378.3675499999999</v>
      </c>
      <c r="D99" s="253">
        <f>D57+D65+D67+D73+D78+D82+D89+D84</f>
        <v>6640.1805100000001</v>
      </c>
      <c r="E99" s="34">
        <f t="shared" si="3"/>
        <v>89.995252540651762</v>
      </c>
      <c r="F99" s="34">
        <f t="shared" si="4"/>
        <v>-738.1870399999998</v>
      </c>
    </row>
    <row r="100" spans="1:6">
      <c r="D100" s="181"/>
    </row>
    <row r="101" spans="1:6" s="65" customFormat="1" ht="18" customHeight="1">
      <c r="A101" s="63" t="s">
        <v>119</v>
      </c>
      <c r="B101" s="63"/>
      <c r="C101" s="131"/>
      <c r="D101" s="64"/>
      <c r="E101" s="64"/>
    </row>
    <row r="102" spans="1:6" s="65" customFormat="1" ht="12.75">
      <c r="A102" s="66" t="s">
        <v>120</v>
      </c>
      <c r="B102" s="66"/>
      <c r="C102" s="65" t="s">
        <v>121</v>
      </c>
    </row>
    <row r="103" spans="1:6">
      <c r="C103" s="120"/>
    </row>
    <row r="142" hidden="1"/>
  </sheetData>
  <customSheetViews>
    <customSheetView guid="{120EA1E0-6265-45F1-AFBB-CEB5CB007D02}" scale="70" showPageBreaks="1" hiddenRows="1" view="pageBreakPreview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6">
      <selection activeCell="C83" sqref="C83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8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40" zoomScale="70" zoomScaleSheetLayoutView="70" workbookViewId="0">
      <selection activeCell="D90" sqref="D9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37" t="s">
        <v>430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2602.7242899999997</v>
      </c>
      <c r="D4" s="5">
        <f>D5+D12+D14+D17+D7</f>
        <v>2154.3407800000004</v>
      </c>
      <c r="E4" s="5">
        <f>SUM(D4/C4*100)</f>
        <v>82.772531392481866</v>
      </c>
      <c r="F4" s="5">
        <f>SUM(D4-C4)</f>
        <v>-448.38350999999921</v>
      </c>
    </row>
    <row r="5" spans="1:6" s="6" customFormat="1">
      <c r="A5" s="68">
        <v>1010000000</v>
      </c>
      <c r="B5" s="67" t="s">
        <v>5</v>
      </c>
      <c r="C5" s="5">
        <f>C6</f>
        <v>137.33699999999999</v>
      </c>
      <c r="D5" s="5">
        <f>D6</f>
        <v>93.87921</v>
      </c>
      <c r="E5" s="5">
        <f t="shared" ref="E5:E52" si="0">SUM(D5/C5*100)</f>
        <v>68.35682299744424</v>
      </c>
      <c r="F5" s="5">
        <f t="shared" ref="F5:F52" si="1">SUM(D5-C5)</f>
        <v>-43.457789999999989</v>
      </c>
    </row>
    <row r="6" spans="1:6">
      <c r="A6" s="7">
        <v>1010200001</v>
      </c>
      <c r="B6" s="8" t="s">
        <v>228</v>
      </c>
      <c r="C6" s="9">
        <v>137.33699999999999</v>
      </c>
      <c r="D6" s="10">
        <v>93.87921</v>
      </c>
      <c r="E6" s="9">
        <f t="shared" ref="E6:E11" si="2">SUM(D6/C6*100)</f>
        <v>68.35682299744424</v>
      </c>
      <c r="F6" s="9">
        <f t="shared" si="1"/>
        <v>-43.457789999999989</v>
      </c>
    </row>
    <row r="7" spans="1:6" ht="31.5">
      <c r="A7" s="3">
        <v>1030000000</v>
      </c>
      <c r="B7" s="13" t="s">
        <v>280</v>
      </c>
      <c r="C7" s="5">
        <f>C8+C10+C9</f>
        <v>737.00999999999988</v>
      </c>
      <c r="D7" s="5">
        <f>D8+D10+D9+D11</f>
        <v>822.27479999999991</v>
      </c>
      <c r="E7" s="5">
        <f t="shared" si="2"/>
        <v>111.56901534578907</v>
      </c>
      <c r="F7" s="5">
        <f t="shared" si="1"/>
        <v>85.264800000000037</v>
      </c>
    </row>
    <row r="8" spans="1:6">
      <c r="A8" s="7">
        <v>1030223001</v>
      </c>
      <c r="B8" s="8" t="s">
        <v>282</v>
      </c>
      <c r="C8" s="9">
        <v>274.90499999999997</v>
      </c>
      <c r="D8" s="10">
        <v>373.73687999999999</v>
      </c>
      <c r="E8" s="9">
        <f t="shared" si="2"/>
        <v>135.95128498935998</v>
      </c>
      <c r="F8" s="9">
        <f t="shared" si="1"/>
        <v>98.831880000000012</v>
      </c>
    </row>
    <row r="9" spans="1:6">
      <c r="A9" s="7">
        <v>1030224001</v>
      </c>
      <c r="B9" s="8" t="s">
        <v>288</v>
      </c>
      <c r="C9" s="9">
        <v>2.948</v>
      </c>
      <c r="D9" s="10">
        <v>2.7520899999999999</v>
      </c>
      <c r="E9" s="9">
        <f t="shared" si="2"/>
        <v>93.354477611940297</v>
      </c>
      <c r="F9" s="9">
        <f t="shared" si="1"/>
        <v>-0.19591000000000003</v>
      </c>
    </row>
    <row r="10" spans="1:6">
      <c r="A10" s="7">
        <v>1030225001</v>
      </c>
      <c r="B10" s="8" t="s">
        <v>281</v>
      </c>
      <c r="C10" s="9">
        <v>459.15699999999998</v>
      </c>
      <c r="D10" s="10">
        <v>502.07206000000002</v>
      </c>
      <c r="E10" s="9">
        <f t="shared" si="2"/>
        <v>109.34648932718002</v>
      </c>
      <c r="F10" s="9">
        <f>SUM(D10-C10)</f>
        <v>42.91506000000004</v>
      </c>
    </row>
    <row r="11" spans="1:6">
      <c r="A11" s="7">
        <v>1030226001</v>
      </c>
      <c r="B11" s="8" t="s">
        <v>290</v>
      </c>
      <c r="C11" s="9">
        <v>0</v>
      </c>
      <c r="D11" s="10">
        <v>-56.286230000000003</v>
      </c>
      <c r="E11" s="9" t="e">
        <f t="shared" si="2"/>
        <v>#DIV/0!</v>
      </c>
      <c r="F11" s="9">
        <f>SUM(D11-C11)</f>
        <v>-56.286230000000003</v>
      </c>
    </row>
    <row r="12" spans="1:6" s="6" customFormat="1">
      <c r="A12" s="68">
        <v>1050000000</v>
      </c>
      <c r="B12" s="67" t="s">
        <v>6</v>
      </c>
      <c r="C12" s="5">
        <f>SUM(C13:C13)</f>
        <v>21</v>
      </c>
      <c r="D12" s="5">
        <f>SUM(D13:D13)</f>
        <v>18.882000000000001</v>
      </c>
      <c r="E12" s="5">
        <f t="shared" si="0"/>
        <v>89.914285714285725</v>
      </c>
      <c r="F12" s="5">
        <f t="shared" si="1"/>
        <v>-2.1179999999999986</v>
      </c>
    </row>
    <row r="13" spans="1:6" ht="15.75" customHeight="1">
      <c r="A13" s="7">
        <v>1050300000</v>
      </c>
      <c r="B13" s="11" t="s">
        <v>229</v>
      </c>
      <c r="C13" s="12">
        <v>21</v>
      </c>
      <c r="D13" s="10">
        <v>18.882000000000001</v>
      </c>
      <c r="E13" s="9">
        <f t="shared" si="0"/>
        <v>89.914285714285725</v>
      </c>
      <c r="F13" s="9">
        <f t="shared" si="1"/>
        <v>-2.1179999999999986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1695.3772899999999</v>
      </c>
      <c r="D14" s="5">
        <f>D15+D16</f>
        <v>1199.4297700000002</v>
      </c>
      <c r="E14" s="5">
        <f t="shared" si="0"/>
        <v>70.747070700705223</v>
      </c>
      <c r="F14" s="5">
        <f t="shared" si="1"/>
        <v>-495.94751999999971</v>
      </c>
    </row>
    <row r="15" spans="1:6" s="6" customFormat="1" ht="15.75" customHeight="1">
      <c r="A15" s="7">
        <v>1060100000</v>
      </c>
      <c r="B15" s="11" t="s">
        <v>8</v>
      </c>
      <c r="C15" s="9">
        <v>201</v>
      </c>
      <c r="D15" s="10">
        <v>166.17935</v>
      </c>
      <c r="E15" s="9">
        <f t="shared" si="0"/>
        <v>82.676293532338306</v>
      </c>
      <c r="F15" s="9">
        <f>SUM(D15-C15)</f>
        <v>-34.820650000000001</v>
      </c>
    </row>
    <row r="16" spans="1:6" ht="15.75" customHeight="1">
      <c r="A16" s="7">
        <v>1060600000</v>
      </c>
      <c r="B16" s="11" t="s">
        <v>7</v>
      </c>
      <c r="C16" s="9">
        <v>1494.3772899999999</v>
      </c>
      <c r="D16" s="10">
        <v>1033.2504200000001</v>
      </c>
      <c r="E16" s="9">
        <f t="shared" si="0"/>
        <v>69.142540301853771</v>
      </c>
      <c r="F16" s="9">
        <f t="shared" si="1"/>
        <v>-461.12686999999983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19.875</v>
      </c>
      <c r="E17" s="5">
        <f t="shared" si="0"/>
        <v>165.625</v>
      </c>
      <c r="F17" s="5">
        <f t="shared" si="1"/>
        <v>7.875</v>
      </c>
    </row>
    <row r="18" spans="1:6" ht="18" customHeight="1">
      <c r="A18" s="7">
        <v>1080400001</v>
      </c>
      <c r="B18" s="8" t="s">
        <v>227</v>
      </c>
      <c r="C18" s="9">
        <v>12</v>
      </c>
      <c r="D18" s="10">
        <v>19.875</v>
      </c>
      <c r="E18" s="9">
        <f t="shared" si="0"/>
        <v>165.625</v>
      </c>
      <c r="F18" s="9">
        <f t="shared" si="1"/>
        <v>7.875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440.58499999999998</v>
      </c>
      <c r="D25" s="5">
        <f>D30+D37+D26+D35</f>
        <v>246.20740999999998</v>
      </c>
      <c r="E25" s="5">
        <f t="shared" si="0"/>
        <v>55.881931976803564</v>
      </c>
      <c r="F25" s="5">
        <f t="shared" si="1"/>
        <v>-194.37759</v>
      </c>
    </row>
    <row r="26" spans="1:6" s="6" customFormat="1" ht="33.75" customHeight="1">
      <c r="A26" s="68">
        <v>1110000000</v>
      </c>
      <c r="B26" s="69" t="s">
        <v>128</v>
      </c>
      <c r="C26" s="5">
        <f>C27+C28</f>
        <v>10</v>
      </c>
      <c r="D26" s="5">
        <f>D27+D28</f>
        <v>44.082520000000002</v>
      </c>
      <c r="E26" s="5">
        <f t="shared" si="0"/>
        <v>440.8252</v>
      </c>
      <c r="F26" s="5">
        <f t="shared" si="1"/>
        <v>34.082520000000002</v>
      </c>
    </row>
    <row r="27" spans="1:6" ht="15" customHeight="1">
      <c r="A27" s="16">
        <v>1110502510</v>
      </c>
      <c r="B27" s="17" t="s">
        <v>225</v>
      </c>
      <c r="C27" s="12">
        <v>10</v>
      </c>
      <c r="D27" s="10">
        <v>44.082520000000002</v>
      </c>
      <c r="E27" s="9">
        <f t="shared" si="0"/>
        <v>440.8252</v>
      </c>
      <c r="F27" s="9">
        <f t="shared" si="1"/>
        <v>34.082520000000002</v>
      </c>
    </row>
    <row r="28" spans="1:6" ht="15.75" hidden="1" customHeight="1">
      <c r="A28" s="7">
        <v>1110503510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359</v>
      </c>
      <c r="C29" s="12">
        <v>0</v>
      </c>
      <c r="D29" s="181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130</v>
      </c>
      <c r="C30" s="5">
        <f>C31</f>
        <v>0</v>
      </c>
      <c r="D30" s="5">
        <f>D31</f>
        <v>77.994919999999993</v>
      </c>
      <c r="E30" s="5" t="e">
        <f t="shared" si="0"/>
        <v>#DIV/0!</v>
      </c>
      <c r="F30" s="5">
        <f t="shared" si="1"/>
        <v>77.994919999999993</v>
      </c>
    </row>
    <row r="31" spans="1:6" ht="17.25" customHeight="1">
      <c r="A31" s="7">
        <v>1130206005</v>
      </c>
      <c r="B31" s="8" t="s">
        <v>223</v>
      </c>
      <c r="C31" s="9">
        <v>0</v>
      </c>
      <c r="D31" s="10">
        <v>77.994919999999993</v>
      </c>
      <c r="E31" s="9" t="e">
        <f t="shared" si="0"/>
        <v>#DIV/0!</v>
      </c>
      <c r="F31" s="9">
        <f t="shared" si="1"/>
        <v>77.994919999999993</v>
      </c>
    </row>
    <row r="32" spans="1:6" ht="34.5" customHeight="1">
      <c r="A32" s="70">
        <v>1140000000</v>
      </c>
      <c r="B32" s="71" t="s">
        <v>131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hidden="1" customHeight="1">
      <c r="A33" s="16">
        <v>1140200000</v>
      </c>
      <c r="B33" s="18" t="s">
        <v>221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222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251</v>
      </c>
      <c r="C35" s="5">
        <f>C36</f>
        <v>0</v>
      </c>
      <c r="D35" s="14">
        <f>D36</f>
        <v>124.12997</v>
      </c>
      <c r="E35" s="5" t="e">
        <f>SUM(D35/C35*100)</f>
        <v>#DIV/0!</v>
      </c>
      <c r="F35" s="5">
        <f>SUM(D35-C35)</f>
        <v>124.12997</v>
      </c>
    </row>
    <row r="36" spans="1:7" ht="47.25">
      <c r="A36" s="7">
        <v>1163305010</v>
      </c>
      <c r="B36" s="8" t="s">
        <v>267</v>
      </c>
      <c r="C36" s="9">
        <v>0</v>
      </c>
      <c r="D36" s="10">
        <v>124.12997</v>
      </c>
      <c r="E36" s="9" t="e">
        <f>SUM(D36/C36*100)</f>
        <v>#DIV/0!</v>
      </c>
      <c r="F36" s="9">
        <f>SUM(D36-C36)</f>
        <v>124.12997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18</v>
      </c>
      <c r="C40" s="127">
        <f>SUM(C4,C25)</f>
        <v>3043.3092899999997</v>
      </c>
      <c r="D40" s="127">
        <f>D4+D25</f>
        <v>2400.5481900000004</v>
      </c>
      <c r="E40" s="5">
        <f t="shared" si="0"/>
        <v>78.879534127140943</v>
      </c>
      <c r="F40" s="5">
        <f t="shared" si="1"/>
        <v>-642.76109999999926</v>
      </c>
    </row>
    <row r="41" spans="1:7" s="6" customFormat="1">
      <c r="A41" s="3">
        <v>2000000000</v>
      </c>
      <c r="B41" s="4" t="s">
        <v>19</v>
      </c>
      <c r="C41" s="5">
        <f>C42+C44+C45+C47+C48+C49+C43+C51</f>
        <v>10170.469150000001</v>
      </c>
      <c r="D41" s="5">
        <f>D42+D44+D45+D47+D48+D49+D43+D51</f>
        <v>4375.5433300000004</v>
      </c>
      <c r="E41" s="5">
        <f t="shared" si="0"/>
        <v>43.022040236954062</v>
      </c>
      <c r="F41" s="5">
        <f t="shared" si="1"/>
        <v>-5794.9258200000004</v>
      </c>
      <c r="G41" s="19"/>
    </row>
    <row r="42" spans="1:7" ht="17.25" customHeight="1">
      <c r="A42" s="16">
        <v>2021000000</v>
      </c>
      <c r="B42" s="17" t="s">
        <v>20</v>
      </c>
      <c r="C42" s="12">
        <v>1852.8</v>
      </c>
      <c r="D42" s="265">
        <v>1729.441</v>
      </c>
      <c r="E42" s="9">
        <f t="shared" si="0"/>
        <v>93.342022884283253</v>
      </c>
      <c r="F42" s="9">
        <f t="shared" si="1"/>
        <v>-123.35899999999992</v>
      </c>
    </row>
    <row r="43" spans="1:7" ht="17.25" customHeight="1">
      <c r="A43" s="16">
        <v>2021500200</v>
      </c>
      <c r="B43" s="17" t="s">
        <v>231</v>
      </c>
      <c r="C43" s="266">
        <v>494</v>
      </c>
      <c r="D43" s="20">
        <v>397</v>
      </c>
      <c r="E43" s="9">
        <f t="shared" si="0"/>
        <v>80.364372469635626</v>
      </c>
      <c r="F43" s="9">
        <f t="shared" si="1"/>
        <v>-97</v>
      </c>
    </row>
    <row r="44" spans="1:7">
      <c r="A44" s="16">
        <v>2022000000</v>
      </c>
      <c r="B44" s="17" t="s">
        <v>21</v>
      </c>
      <c r="C44" s="12">
        <v>4591.6011500000004</v>
      </c>
      <c r="D44" s="10">
        <v>750.57375999999999</v>
      </c>
      <c r="E44" s="9">
        <f t="shared" si="0"/>
        <v>16.34666721868906</v>
      </c>
      <c r="F44" s="9">
        <f t="shared" si="1"/>
        <v>-3841.0273900000002</v>
      </c>
    </row>
    <row r="45" spans="1:7" ht="15.75" customHeight="1">
      <c r="A45" s="16">
        <v>2023000000</v>
      </c>
      <c r="B45" s="17" t="s">
        <v>22</v>
      </c>
      <c r="C45" s="12">
        <v>182.04300000000001</v>
      </c>
      <c r="D45" s="187">
        <v>165.49639999999999</v>
      </c>
      <c r="E45" s="9">
        <f t="shared" si="0"/>
        <v>90.910609031932012</v>
      </c>
      <c r="F45" s="9">
        <f t="shared" si="1"/>
        <v>-16.546600000000012</v>
      </c>
    </row>
    <row r="46" spans="1:7" ht="15" hidden="1" customHeight="1">
      <c r="A46" s="16">
        <v>2070503010</v>
      </c>
      <c r="B46" s="17" t="s">
        <v>270</v>
      </c>
      <c r="C46" s="12">
        <v>0</v>
      </c>
      <c r="D46" s="187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2020400000</v>
      </c>
      <c r="B47" s="17" t="s">
        <v>23</v>
      </c>
      <c r="C47" s="12">
        <v>3050.0250000000001</v>
      </c>
      <c r="D47" s="188">
        <v>1333.03217</v>
      </c>
      <c r="E47" s="9">
        <f t="shared" si="0"/>
        <v>43.705614544143081</v>
      </c>
      <c r="F47" s="9">
        <f t="shared" si="1"/>
        <v>-1716.9928300000001</v>
      </c>
    </row>
    <row r="48" spans="1:7" ht="23.2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8" s="6" customFormat="1" ht="19.5" hidden="1" customHeight="1">
      <c r="A50" s="3">
        <v>3000000000</v>
      </c>
      <c r="B50" s="13" t="s">
        <v>26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302</v>
      </c>
      <c r="C51" s="219">
        <v>0</v>
      </c>
      <c r="D51" s="220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27</v>
      </c>
      <c r="C52" s="250">
        <f>SUM(C40,C41,C50)</f>
        <v>13213.77844</v>
      </c>
      <c r="D52" s="251">
        <f>D40+D41</f>
        <v>6776.0915200000009</v>
      </c>
      <c r="E52" s="5">
        <f t="shared" si="0"/>
        <v>51.280498994048529</v>
      </c>
      <c r="F52" s="5">
        <f t="shared" si="1"/>
        <v>-6437.6869199999992</v>
      </c>
      <c r="G52" s="94"/>
      <c r="H52" s="200"/>
    </row>
    <row r="53" spans="1:8" s="6" customFormat="1">
      <c r="A53" s="3"/>
      <c r="B53" s="21" t="s">
        <v>320</v>
      </c>
      <c r="C53" s="277">
        <f>C52-C99</f>
        <v>-1214.8990599999997</v>
      </c>
      <c r="D53" s="277">
        <f>D52-D99</f>
        <v>368.87741000000096</v>
      </c>
      <c r="E53" s="22"/>
      <c r="F53" s="22"/>
    </row>
    <row r="54" spans="1:8" ht="9" customHeight="1">
      <c r="A54" s="23"/>
      <c r="B54" s="24"/>
      <c r="C54" s="183"/>
      <c r="D54" s="25"/>
      <c r="E54" s="26"/>
      <c r="F54" s="27"/>
    </row>
    <row r="55" spans="1:8" ht="55.5" customHeight="1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29</v>
      </c>
      <c r="B57" s="31" t="s">
        <v>30</v>
      </c>
      <c r="C57" s="32">
        <f>C58+C59+C60+C61+C62+C64+C63</f>
        <v>1556.9650000000001</v>
      </c>
      <c r="D57" s="33">
        <f>D58+D59+D60+D61+D62+D64+D63</f>
        <v>1300.1494000000002</v>
      </c>
      <c r="E57" s="34">
        <f>SUM(D57/C57*100)</f>
        <v>83.505371026323658</v>
      </c>
      <c r="F57" s="34">
        <f>SUM(D57-C57)</f>
        <v>-256.8155999999999</v>
      </c>
    </row>
    <row r="58" spans="1:8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8" ht="18.75" customHeight="1">
      <c r="A59" s="35" t="s">
        <v>33</v>
      </c>
      <c r="B59" s="39" t="s">
        <v>34</v>
      </c>
      <c r="C59" s="37">
        <v>1504.0650000000001</v>
      </c>
      <c r="D59" s="37">
        <v>1272.2499</v>
      </c>
      <c r="E59" s="38">
        <f t="shared" ref="E59:E99" si="3">SUM(D59/C59*100)</f>
        <v>84.587428069930482</v>
      </c>
      <c r="F59" s="38">
        <f t="shared" ref="F59:F99" si="4">SUM(D59-C59)</f>
        <v>-231.81510000000003</v>
      </c>
    </row>
    <row r="60" spans="1:8" ht="16.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20.13</v>
      </c>
      <c r="D62" s="37">
        <v>20.13</v>
      </c>
      <c r="E62" s="38">
        <f t="shared" si="3"/>
        <v>100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43</v>
      </c>
      <c r="B64" s="39" t="s">
        <v>44</v>
      </c>
      <c r="C64" s="37">
        <v>27.77</v>
      </c>
      <c r="D64" s="37">
        <v>7.7694999999999999</v>
      </c>
      <c r="E64" s="38">
        <f t="shared" si="3"/>
        <v>27.97803384947785</v>
      </c>
      <c r="F64" s="38">
        <f t="shared" si="4"/>
        <v>-20.000499999999999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153.79621</v>
      </c>
      <c r="E65" s="34">
        <f t="shared" si="3"/>
        <v>85.493635069930846</v>
      </c>
      <c r="F65" s="34">
        <f t="shared" si="4"/>
        <v>-26.095789999999994</v>
      </c>
    </row>
    <row r="66" spans="1:7">
      <c r="A66" s="43" t="s">
        <v>47</v>
      </c>
      <c r="B66" s="44" t="s">
        <v>48</v>
      </c>
      <c r="C66" s="37">
        <v>179.892</v>
      </c>
      <c r="D66" s="37">
        <v>153.79621</v>
      </c>
      <c r="E66" s="38">
        <f t="shared" si="3"/>
        <v>85.493635069930846</v>
      </c>
      <c r="F66" s="38">
        <f t="shared" si="4"/>
        <v>-26.095789999999994</v>
      </c>
    </row>
    <row r="67" spans="1:7" s="6" customFormat="1" ht="16.5" customHeight="1">
      <c r="A67" s="30" t="s">
        <v>49</v>
      </c>
      <c r="B67" s="31" t="s">
        <v>50</v>
      </c>
      <c r="C67" s="32">
        <f>C71+C70+C72</f>
        <v>12.175000000000001</v>
      </c>
      <c r="D67" s="32">
        <f>D71+D70+D72</f>
        <v>5.1749999999999998</v>
      </c>
      <c r="E67" s="34">
        <f t="shared" si="3"/>
        <v>42.505133470225871</v>
      </c>
      <c r="F67" s="34">
        <f t="shared" si="4"/>
        <v>-7.0000000000000009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218</v>
      </c>
      <c r="B71" s="47" t="s">
        <v>219</v>
      </c>
      <c r="C71" s="37">
        <v>9.1750000000000007</v>
      </c>
      <c r="D71" s="37">
        <v>3.1749999999999998</v>
      </c>
      <c r="E71" s="34">
        <f t="shared" si="3"/>
        <v>34.604904632152582</v>
      </c>
      <c r="F71" s="34">
        <f t="shared" si="4"/>
        <v>-6.0000000000000009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24" customHeight="1">
      <c r="A73" s="30" t="s">
        <v>57</v>
      </c>
      <c r="B73" s="31" t="s">
        <v>58</v>
      </c>
      <c r="C73" s="48">
        <f>C74+C75+C76+C77</f>
        <v>5435.1126599999998</v>
      </c>
      <c r="D73" s="48">
        <f>SUM(D74:D77)</f>
        <v>1403.58106</v>
      </c>
      <c r="E73" s="34">
        <f t="shared" si="3"/>
        <v>25.824323207313242</v>
      </c>
      <c r="F73" s="34">
        <f t="shared" si="4"/>
        <v>-4031.5315999999998</v>
      </c>
    </row>
    <row r="74" spans="1:7" ht="16.5" customHeight="1">
      <c r="A74" s="35" t="s">
        <v>59</v>
      </c>
      <c r="B74" s="39" t="s">
        <v>60</v>
      </c>
      <c r="C74" s="49">
        <v>5.3620000000000001</v>
      </c>
      <c r="D74" s="37">
        <v>1.3405</v>
      </c>
      <c r="E74" s="38">
        <f t="shared" si="3"/>
        <v>25</v>
      </c>
      <c r="F74" s="38">
        <f t="shared" si="4"/>
        <v>-4.0214999999999996</v>
      </c>
    </row>
    <row r="75" spans="1:7" s="6" customFormat="1" ht="17.25" customHeight="1">
      <c r="A75" s="35" t="s">
        <v>61</v>
      </c>
      <c r="B75" s="39" t="s">
        <v>62</v>
      </c>
      <c r="C75" s="49">
        <v>264</v>
      </c>
      <c r="D75" s="37">
        <v>128.81775999999999</v>
      </c>
      <c r="E75" s="38">
        <f t="shared" si="3"/>
        <v>48.794606060606057</v>
      </c>
      <c r="F75" s="38">
        <f t="shared" si="4"/>
        <v>-135.18224000000001</v>
      </c>
      <c r="G75" s="50"/>
    </row>
    <row r="76" spans="1:7" ht="18" customHeight="1">
      <c r="A76" s="35" t="s">
        <v>63</v>
      </c>
      <c r="B76" s="39" t="s">
        <v>64</v>
      </c>
      <c r="C76" s="49">
        <v>5005.7506599999997</v>
      </c>
      <c r="D76" s="37">
        <v>1213.7019</v>
      </c>
      <c r="E76" s="38">
        <f t="shared" si="3"/>
        <v>24.246151725024195</v>
      </c>
      <c r="F76" s="38">
        <f t="shared" si="4"/>
        <v>-3792.0487599999997</v>
      </c>
    </row>
    <row r="77" spans="1:7">
      <c r="A77" s="35" t="s">
        <v>65</v>
      </c>
      <c r="B77" s="39" t="s">
        <v>66</v>
      </c>
      <c r="C77" s="49">
        <v>160</v>
      </c>
      <c r="D77" s="37">
        <v>59.7209</v>
      </c>
      <c r="E77" s="38">
        <f t="shared" si="3"/>
        <v>37.325562499999997</v>
      </c>
      <c r="F77" s="38">
        <f t="shared" si="4"/>
        <v>-100.2791</v>
      </c>
    </row>
    <row r="78" spans="1:7" s="6" customFormat="1" ht="15.75" customHeight="1">
      <c r="A78" s="30" t="s">
        <v>67</v>
      </c>
      <c r="B78" s="31" t="s">
        <v>68</v>
      </c>
      <c r="C78" s="32">
        <f>SUM(C79:C81)</f>
        <v>730.34400000000005</v>
      </c>
      <c r="D78" s="32">
        <f>SUM(D79:D81)</f>
        <v>684.11188000000004</v>
      </c>
      <c r="E78" s="34">
        <f t="shared" si="3"/>
        <v>93.669815867591169</v>
      </c>
      <c r="F78" s="34">
        <f t="shared" si="4"/>
        <v>-46.232120000000009</v>
      </c>
    </row>
    <row r="79" spans="1:7" hidden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730.34400000000005</v>
      </c>
      <c r="D81" s="37">
        <v>684.11188000000004</v>
      </c>
      <c r="E81" s="38">
        <f>SUM(D81/C81*100)</f>
        <v>93.669815867591169</v>
      </c>
      <c r="F81" s="38">
        <f t="shared" si="4"/>
        <v>-46.232120000000009</v>
      </c>
    </row>
    <row r="82" spans="1:6" s="6" customFormat="1">
      <c r="A82" s="30" t="s">
        <v>85</v>
      </c>
      <c r="B82" s="31" t="s">
        <v>86</v>
      </c>
      <c r="C82" s="32">
        <f>C83</f>
        <v>6480.9698399999997</v>
      </c>
      <c r="D82" s="32">
        <f>SUM(D83)</f>
        <v>2827.18156</v>
      </c>
      <c r="E82" s="34">
        <f t="shared" si="3"/>
        <v>43.622816180240086</v>
      </c>
      <c r="F82" s="34">
        <f t="shared" si="4"/>
        <v>-3653.7882799999998</v>
      </c>
    </row>
    <row r="83" spans="1:6" ht="18.75" customHeight="1">
      <c r="A83" s="35" t="s">
        <v>87</v>
      </c>
      <c r="B83" s="39" t="s">
        <v>233</v>
      </c>
      <c r="C83" s="37">
        <v>6480.9698399999997</v>
      </c>
      <c r="D83" s="37">
        <v>2827.18156</v>
      </c>
      <c r="E83" s="38">
        <f t="shared" si="3"/>
        <v>43.622816180240086</v>
      </c>
      <c r="F83" s="38">
        <f t="shared" si="4"/>
        <v>-3653.7882799999998</v>
      </c>
    </row>
    <row r="84" spans="1:6" s="6" customFormat="1" ht="0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92</v>
      </c>
      <c r="B88" s="39" t="s">
        <v>93</v>
      </c>
      <c r="C88" s="37"/>
      <c r="D88" s="37"/>
      <c r="E88" s="38"/>
      <c r="F88" s="38">
        <f t="shared" si="4"/>
        <v>0</v>
      </c>
    </row>
    <row r="89" spans="1:6">
      <c r="A89" s="30" t="s">
        <v>94</v>
      </c>
      <c r="B89" s="31" t="s">
        <v>95</v>
      </c>
      <c r="C89" s="32">
        <f>C90+C91+C92+C93+C94</f>
        <v>33.219000000000001</v>
      </c>
      <c r="D89" s="32">
        <f>D90+D91+D92+D93+D94</f>
        <v>33.219000000000001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96</v>
      </c>
      <c r="B90" s="39" t="s">
        <v>97</v>
      </c>
      <c r="C90" s="37">
        <v>33.219000000000001</v>
      </c>
      <c r="D90" s="37">
        <v>33.219000000000001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118</v>
      </c>
      <c r="C99" s="256">
        <f>C57+C65+C67+C73+C78+C82+C84+C89+C95</f>
        <v>14428.6775</v>
      </c>
      <c r="D99" s="256">
        <f>D57+D65+D67+D73+D78+D82+D84+D89+D95</f>
        <v>6407.2141099999999</v>
      </c>
      <c r="E99" s="34">
        <f t="shared" si="3"/>
        <v>44.406107974899292</v>
      </c>
      <c r="F99" s="34">
        <f t="shared" si="4"/>
        <v>-8021.4633899999999</v>
      </c>
      <c r="G99" s="200"/>
      <c r="H99" s="151"/>
    </row>
    <row r="100" spans="1:8" ht="13.5" customHeight="1">
      <c r="C100" s="117"/>
      <c r="D100" s="61"/>
    </row>
    <row r="101" spans="1:8" s="65" customFormat="1" ht="12.75">
      <c r="A101" s="63" t="s">
        <v>119</v>
      </c>
      <c r="B101" s="63"/>
      <c r="C101" s="134"/>
      <c r="D101" s="134"/>
    </row>
    <row r="102" spans="1:8" s="65" customFormat="1" ht="12.75">
      <c r="A102" s="66" t="s">
        <v>120</v>
      </c>
      <c r="B102" s="66"/>
      <c r="C102" s="119" t="s">
        <v>121</v>
      </c>
    </row>
    <row r="104" spans="1:8" ht="5.25" customHeight="1"/>
    <row r="143" hidden="1"/>
  </sheetData>
  <customSheetViews>
    <customSheetView guid="{120EA1E0-6265-45F1-AFBB-CEB5CB007D02}" scale="70" showPageBreaks="1" printArea="1" hiddenRows="1" view="pageBreakPreview" topLeftCell="A40">
      <selection activeCell="D90" sqref="D90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B31C8DB7-3E78-4144-A6B5-8DE36DE63F0E}" showPageBreaks="1" printArea="1" hiddenRows="1" topLeftCell="A47">
      <selection activeCell="C81" sqref="C8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3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8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printArea="1" hiddenRows="1" view="pageBreakPreview" topLeftCell="A40">
      <selection activeCell="D90" sqref="D90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topLeftCell="A29" zoomScale="70" zoomScaleSheetLayoutView="70" workbookViewId="0">
      <selection activeCell="D95" sqref="D95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37" t="s">
        <v>428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47.2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1798.069</v>
      </c>
      <c r="D4" s="5">
        <f>D5+D12+D14+D17+D7</f>
        <v>1578.1917899999999</v>
      </c>
      <c r="E4" s="5">
        <f>SUM(D4/C4*100)</f>
        <v>87.771480960964226</v>
      </c>
      <c r="F4" s="5">
        <f>SUM(D4-C4)</f>
        <v>-219.8772100000001</v>
      </c>
    </row>
    <row r="5" spans="1:6" s="6" customFormat="1">
      <c r="A5" s="3">
        <v>1010000000</v>
      </c>
      <c r="B5" s="4" t="s">
        <v>5</v>
      </c>
      <c r="C5" s="5">
        <f>C6</f>
        <v>109.68899999999999</v>
      </c>
      <c r="D5" s="5">
        <f>D6</f>
        <v>99.479140000000001</v>
      </c>
      <c r="E5" s="5">
        <f t="shared" ref="E5:E48" si="0">SUM(D5/C5*100)</f>
        <v>90.691992816052675</v>
      </c>
      <c r="F5" s="5">
        <f t="shared" ref="F5:F48" si="1">SUM(D5-C5)</f>
        <v>-10.209859999999992</v>
      </c>
    </row>
    <row r="6" spans="1:6">
      <c r="A6" s="7">
        <v>1010200001</v>
      </c>
      <c r="B6" s="8" t="s">
        <v>228</v>
      </c>
      <c r="C6" s="9">
        <v>109.68899999999999</v>
      </c>
      <c r="D6" s="10">
        <v>99.479140000000001</v>
      </c>
      <c r="E6" s="9">
        <f t="shared" ref="E6:E11" si="2">SUM(D6/C6*100)</f>
        <v>90.691992816052675</v>
      </c>
      <c r="F6" s="9">
        <f t="shared" si="1"/>
        <v>-10.209859999999992</v>
      </c>
    </row>
    <row r="7" spans="1:6" ht="31.5">
      <c r="A7" s="3">
        <v>1030000000</v>
      </c>
      <c r="B7" s="13" t="s">
        <v>280</v>
      </c>
      <c r="C7" s="5">
        <f>C8+C10+C9</f>
        <v>422.38</v>
      </c>
      <c r="D7" s="5">
        <f>D8+D10+D9+D11</f>
        <v>471.24519999999995</v>
      </c>
      <c r="E7" s="5">
        <f t="shared" si="2"/>
        <v>111.56901368436006</v>
      </c>
      <c r="F7" s="5">
        <f t="shared" si="1"/>
        <v>48.865199999999959</v>
      </c>
    </row>
    <row r="8" spans="1:6">
      <c r="A8" s="7">
        <v>1030223001</v>
      </c>
      <c r="B8" s="8" t="s">
        <v>282</v>
      </c>
      <c r="C8" s="9">
        <v>157.55000000000001</v>
      </c>
      <c r="D8" s="10">
        <v>214.18839</v>
      </c>
      <c r="E8" s="9">
        <f t="shared" si="2"/>
        <v>135.94947000952078</v>
      </c>
      <c r="F8" s="9">
        <f t="shared" si="1"/>
        <v>56.638389999999987</v>
      </c>
    </row>
    <row r="9" spans="1:6">
      <c r="A9" s="7">
        <v>1030224001</v>
      </c>
      <c r="B9" s="8" t="s">
        <v>288</v>
      </c>
      <c r="C9" s="9">
        <v>1.69</v>
      </c>
      <c r="D9" s="10">
        <v>1.57721</v>
      </c>
      <c r="E9" s="9">
        <f t="shared" si="2"/>
        <v>93.326035502958575</v>
      </c>
      <c r="F9" s="9">
        <f t="shared" si="1"/>
        <v>-0.11278999999999995</v>
      </c>
    </row>
    <row r="10" spans="1:6">
      <c r="A10" s="7">
        <v>1030225001</v>
      </c>
      <c r="B10" s="8" t="s">
        <v>281</v>
      </c>
      <c r="C10" s="9">
        <v>263.14</v>
      </c>
      <c r="D10" s="10">
        <v>287.73719999999997</v>
      </c>
      <c r="E10" s="9">
        <f t="shared" si="2"/>
        <v>109.34757163487117</v>
      </c>
      <c r="F10" s="9">
        <f t="shared" si="1"/>
        <v>24.597199999999987</v>
      </c>
    </row>
    <row r="11" spans="1:6">
      <c r="A11" s="7">
        <v>1030226001</v>
      </c>
      <c r="B11" s="8" t="s">
        <v>290</v>
      </c>
      <c r="C11" s="9">
        <v>0</v>
      </c>
      <c r="D11" s="10">
        <v>-32.257599999999996</v>
      </c>
      <c r="E11" s="9" t="e">
        <f t="shared" si="2"/>
        <v>#DIV/0!</v>
      </c>
      <c r="F11" s="9">
        <f t="shared" si="1"/>
        <v>-32.257599999999996</v>
      </c>
    </row>
    <row r="12" spans="1:6" s="6" customFormat="1">
      <c r="A12" s="3">
        <v>1050000000</v>
      </c>
      <c r="B12" s="4" t="s">
        <v>6</v>
      </c>
      <c r="C12" s="5">
        <f>SUM(C13:C13)</f>
        <v>5</v>
      </c>
      <c r="D12" s="5">
        <f>SUM(D13:D13)</f>
        <v>0.77749999999999997</v>
      </c>
      <c r="E12" s="5">
        <f t="shared" si="0"/>
        <v>15.55</v>
      </c>
      <c r="F12" s="5">
        <f t="shared" si="1"/>
        <v>-4.2225000000000001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0.77749999999999997</v>
      </c>
      <c r="E13" s="9">
        <f t="shared" si="0"/>
        <v>15.55</v>
      </c>
      <c r="F13" s="9">
        <f t="shared" si="1"/>
        <v>-4.2225000000000001</v>
      </c>
    </row>
    <row r="14" spans="1:6" s="6" customFormat="1" ht="15.75" customHeight="1">
      <c r="A14" s="3">
        <v>1060000000</v>
      </c>
      <c r="B14" s="4" t="s">
        <v>135</v>
      </c>
      <c r="C14" s="5">
        <f>C15+C16</f>
        <v>1256</v>
      </c>
      <c r="D14" s="5">
        <f>D15+D16</f>
        <v>1002.73995</v>
      </c>
      <c r="E14" s="5">
        <f t="shared" si="0"/>
        <v>79.83598328025478</v>
      </c>
      <c r="F14" s="5">
        <f t="shared" si="1"/>
        <v>-253.26004999999998</v>
      </c>
    </row>
    <row r="15" spans="1:6" s="6" customFormat="1" ht="15.75" customHeight="1">
      <c r="A15" s="7">
        <v>1060100000</v>
      </c>
      <c r="B15" s="11" t="s">
        <v>8</v>
      </c>
      <c r="C15" s="9">
        <v>228</v>
      </c>
      <c r="D15" s="10">
        <v>179.36788000000001</v>
      </c>
      <c r="E15" s="9">
        <f t="shared" si="0"/>
        <v>78.670122807017549</v>
      </c>
      <c r="F15" s="9">
        <f>SUM(D15-C15)</f>
        <v>-48.632119999999986</v>
      </c>
    </row>
    <row r="16" spans="1:6" ht="15.75" customHeight="1">
      <c r="A16" s="7">
        <v>1060600000</v>
      </c>
      <c r="B16" s="11" t="s">
        <v>7</v>
      </c>
      <c r="C16" s="9">
        <v>1028</v>
      </c>
      <c r="D16" s="10">
        <v>823.37207000000001</v>
      </c>
      <c r="E16" s="9">
        <f t="shared" si="0"/>
        <v>80.094559338521393</v>
      </c>
      <c r="F16" s="9">
        <f t="shared" si="1"/>
        <v>-204.62792999999999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3.95</v>
      </c>
      <c r="E17" s="5">
        <f t="shared" si="0"/>
        <v>79</v>
      </c>
      <c r="F17" s="5">
        <f t="shared" si="1"/>
        <v>-1.0499999999999998</v>
      </c>
    </row>
    <row r="18" spans="1:6">
      <c r="A18" s="7">
        <v>1080400001</v>
      </c>
      <c r="B18" s="8" t="s">
        <v>227</v>
      </c>
      <c r="C18" s="9">
        <v>5</v>
      </c>
      <c r="D18" s="10">
        <v>3.95</v>
      </c>
      <c r="E18" s="9">
        <f t="shared" si="0"/>
        <v>79</v>
      </c>
      <c r="F18" s="9">
        <f t="shared" si="1"/>
        <v>-1.0499999999999998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317.59127999999998</v>
      </c>
      <c r="D25" s="5">
        <f>D26+D29+D31+D34</f>
        <v>237.44381000000001</v>
      </c>
      <c r="E25" s="5">
        <f t="shared" si="0"/>
        <v>74.763957625033044</v>
      </c>
      <c r="F25" s="5">
        <f t="shared" si="1"/>
        <v>-80.14746999999997</v>
      </c>
    </row>
    <row r="26" spans="1:6" s="6" customFormat="1" ht="32.25" customHeight="1">
      <c r="A26" s="3">
        <v>1110000000</v>
      </c>
      <c r="B26" s="13" t="s">
        <v>128</v>
      </c>
      <c r="C26" s="5">
        <f>C27+C28</f>
        <v>300</v>
      </c>
      <c r="D26" s="5">
        <f>D27</f>
        <v>220.10954000000001</v>
      </c>
      <c r="E26" s="5">
        <f t="shared" si="0"/>
        <v>73.369846666666675</v>
      </c>
      <c r="F26" s="5">
        <f t="shared" si="1"/>
        <v>-79.89045999999999</v>
      </c>
    </row>
    <row r="27" spans="1:6" ht="15" customHeight="1">
      <c r="A27" s="16">
        <v>1110502510</v>
      </c>
      <c r="B27" s="17" t="s">
        <v>225</v>
      </c>
      <c r="C27" s="12">
        <v>300</v>
      </c>
      <c r="D27" s="10">
        <v>220.10954000000001</v>
      </c>
      <c r="E27" s="5">
        <f t="shared" si="0"/>
        <v>73.369846666666675</v>
      </c>
      <c r="F27" s="9">
        <f t="shared" si="1"/>
        <v>-79.89045999999999</v>
      </c>
    </row>
    <row r="28" spans="1:6" ht="19.5" hidden="1" customHeight="1">
      <c r="A28" s="7">
        <v>1110503505</v>
      </c>
      <c r="B28" s="11" t="s">
        <v>224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130</v>
      </c>
      <c r="C29" s="5">
        <f>C30</f>
        <v>0</v>
      </c>
      <c r="D29" s="5">
        <f>D30</f>
        <v>5.4325999999999999</v>
      </c>
      <c r="E29" s="5" t="e">
        <f t="shared" si="0"/>
        <v>#DIV/0!</v>
      </c>
      <c r="F29" s="5">
        <f t="shared" si="1"/>
        <v>5.4325999999999999</v>
      </c>
    </row>
    <row r="30" spans="1:6">
      <c r="A30" s="7">
        <v>1130305005</v>
      </c>
      <c r="B30" s="8" t="s">
        <v>223</v>
      </c>
      <c r="C30" s="9">
        <v>0</v>
      </c>
      <c r="D30" s="10">
        <v>5.4325999999999999</v>
      </c>
      <c r="E30" s="9" t="e">
        <f t="shared" si="0"/>
        <v>#DIV/0!</v>
      </c>
      <c r="F30" s="9">
        <f t="shared" si="1"/>
        <v>5.4325999999999999</v>
      </c>
    </row>
    <row r="31" spans="1:6" ht="33" customHeight="1">
      <c r="A31" s="109">
        <v>1140000000</v>
      </c>
      <c r="B31" s="110" t="s">
        <v>131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14.25" customHeight="1">
      <c r="A32" s="16">
        <v>1140200000</v>
      </c>
      <c r="B32" s="18" t="s">
        <v>221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17.25" customHeight="1">
      <c r="A33" s="7">
        <v>1140600000</v>
      </c>
      <c r="B33" s="8" t="s">
        <v>222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18.75" customHeight="1">
      <c r="A34" s="3">
        <v>1160000000</v>
      </c>
      <c r="B34" s="13" t="s">
        <v>251</v>
      </c>
      <c r="C34" s="5">
        <f>C35+C36</f>
        <v>0</v>
      </c>
      <c r="D34" s="5">
        <f>D35+D36</f>
        <v>5.5026700000000002</v>
      </c>
      <c r="E34" s="5" t="e">
        <f t="shared" si="0"/>
        <v>#DIV/0!</v>
      </c>
      <c r="F34" s="5">
        <f t="shared" si="1"/>
        <v>5.5026700000000002</v>
      </c>
    </row>
    <row r="35" spans="1:8" ht="18.75" customHeight="1">
      <c r="A35" s="7">
        <v>1163305010</v>
      </c>
      <c r="B35" s="8" t="s">
        <v>267</v>
      </c>
      <c r="C35" s="9">
        <v>0</v>
      </c>
      <c r="D35" s="9">
        <v>5.5026700000000002</v>
      </c>
      <c r="E35" s="9" t="e">
        <f t="shared" si="0"/>
        <v>#DIV/0!</v>
      </c>
      <c r="F35" s="9">
        <f t="shared" si="1"/>
        <v>5.5026700000000002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18</v>
      </c>
      <c r="C37" s="127">
        <f>SUM(C4,C25)</f>
        <v>2115.6602800000001</v>
      </c>
      <c r="D37" s="127">
        <f>D4+D25</f>
        <v>1815.6355999999998</v>
      </c>
      <c r="E37" s="5">
        <f t="shared" si="0"/>
        <v>85.818863130521123</v>
      </c>
      <c r="F37" s="5">
        <f t="shared" si="1"/>
        <v>-300.02468000000022</v>
      </c>
    </row>
    <row r="38" spans="1:8" s="6" customFormat="1">
      <c r="A38" s="3">
        <v>2000000000</v>
      </c>
      <c r="B38" s="4" t="s">
        <v>19</v>
      </c>
      <c r="C38" s="5">
        <f>C39+C41+C42+C44+C45+C46+C40</f>
        <v>10312.25014</v>
      </c>
      <c r="D38" s="5">
        <f>D39+D41+D42+D44+D45+D46+D40</f>
        <v>9629.1600800000015</v>
      </c>
      <c r="E38" s="5">
        <f t="shared" si="0"/>
        <v>93.37593589443324</v>
      </c>
      <c r="F38" s="5">
        <f t="shared" si="1"/>
        <v>-683.09005999999863</v>
      </c>
      <c r="G38" s="19"/>
    </row>
    <row r="39" spans="1:8">
      <c r="A39" s="16">
        <v>2021000000</v>
      </c>
      <c r="B39" s="17" t="s">
        <v>20</v>
      </c>
      <c r="C39" s="12">
        <v>550.70000000000005</v>
      </c>
      <c r="D39" s="265">
        <v>514.03599999999994</v>
      </c>
      <c r="E39" s="9">
        <f t="shared" si="0"/>
        <v>93.342291628836008</v>
      </c>
      <c r="F39" s="9">
        <f t="shared" si="1"/>
        <v>-36.664000000000101</v>
      </c>
    </row>
    <row r="40" spans="1:8" ht="15.75" customHeight="1">
      <c r="A40" s="16">
        <v>2021500200</v>
      </c>
      <c r="B40" s="17" t="s">
        <v>231</v>
      </c>
      <c r="C40" s="12">
        <v>2195</v>
      </c>
      <c r="D40" s="20">
        <v>1692.1428000000001</v>
      </c>
      <c r="E40" s="9">
        <f t="shared" si="0"/>
        <v>77.090788154897496</v>
      </c>
      <c r="F40" s="9">
        <f t="shared" si="1"/>
        <v>-502.85719999999992</v>
      </c>
    </row>
    <row r="41" spans="1:8">
      <c r="A41" s="16">
        <v>2022000000</v>
      </c>
      <c r="B41" s="17" t="s">
        <v>21</v>
      </c>
      <c r="C41" s="12">
        <v>1797.84664</v>
      </c>
      <c r="D41" s="10">
        <v>1723.192</v>
      </c>
      <c r="E41" s="9">
        <f t="shared" si="0"/>
        <v>95.847552380774815</v>
      </c>
      <c r="F41" s="9">
        <f t="shared" si="1"/>
        <v>-74.654639999999972</v>
      </c>
    </row>
    <row r="42" spans="1:8" ht="13.5" customHeight="1">
      <c r="A42" s="16">
        <v>2023000000</v>
      </c>
      <c r="B42" s="17" t="s">
        <v>22</v>
      </c>
      <c r="C42" s="12">
        <v>93.018000000000001</v>
      </c>
      <c r="D42" s="187">
        <v>84.843599999999995</v>
      </c>
      <c r="E42" s="9">
        <f t="shared" si="0"/>
        <v>91.212023479326575</v>
      </c>
      <c r="F42" s="9">
        <f t="shared" si="1"/>
        <v>-8.1744000000000057</v>
      </c>
    </row>
    <row r="43" spans="1:8" hidden="1">
      <c r="A43" s="16">
        <v>2070503010</v>
      </c>
      <c r="B43" s="17" t="s">
        <v>270</v>
      </c>
      <c r="C43" s="12">
        <v>0</v>
      </c>
      <c r="D43" s="187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23</v>
      </c>
      <c r="C44" s="12">
        <v>5435.2018200000002</v>
      </c>
      <c r="D44" s="188">
        <v>5374.4620000000004</v>
      </c>
      <c r="E44" s="9">
        <f t="shared" si="0"/>
        <v>98.882473512271531</v>
      </c>
      <c r="F44" s="9">
        <f t="shared" si="1"/>
        <v>-60.739819999999781</v>
      </c>
    </row>
    <row r="45" spans="1:8" ht="18" customHeight="1">
      <c r="A45" s="16">
        <v>2070000000</v>
      </c>
      <c r="B45" s="18" t="s">
        <v>297</v>
      </c>
      <c r="C45" s="12">
        <v>240.48367999999999</v>
      </c>
      <c r="D45" s="188">
        <v>240.48367999999999</v>
      </c>
      <c r="E45" s="9">
        <v>922</v>
      </c>
      <c r="F45" s="9">
        <f t="shared" si="1"/>
        <v>0</v>
      </c>
      <c r="G45" s="247"/>
      <c r="H45" s="247"/>
    </row>
    <row r="46" spans="1:8" ht="15.7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27</v>
      </c>
      <c r="C48" s="448">
        <f>SUM(C37,C38,C47)</f>
        <v>12427.91042</v>
      </c>
      <c r="D48" s="449">
        <f>D37+D38</f>
        <v>11444.795680000001</v>
      </c>
      <c r="E48" s="5">
        <f t="shared" si="0"/>
        <v>92.089460683447712</v>
      </c>
      <c r="F48" s="5">
        <f t="shared" si="1"/>
        <v>-983.11473999999907</v>
      </c>
      <c r="G48" s="200"/>
      <c r="H48" s="200"/>
    </row>
    <row r="49" spans="1:6" s="6" customFormat="1">
      <c r="A49" s="3"/>
      <c r="B49" s="21" t="s">
        <v>320</v>
      </c>
      <c r="C49" s="250">
        <f>C48-C95</f>
        <v>-52.274429999999484</v>
      </c>
      <c r="D49" s="250">
        <f>D48-D95</f>
        <v>292.65564000000086</v>
      </c>
      <c r="E49" s="22"/>
      <c r="F49" s="22"/>
    </row>
    <row r="50" spans="1:6" ht="8.25" customHeight="1">
      <c r="A50" s="23"/>
      <c r="B50" s="24"/>
      <c r="C50" s="218"/>
      <c r="D50" s="218"/>
      <c r="E50" s="26"/>
      <c r="F50" s="27"/>
    </row>
    <row r="51" spans="1:6" ht="50.25" customHeight="1">
      <c r="A51" s="28" t="s">
        <v>0</v>
      </c>
      <c r="B51" s="28" t="s">
        <v>28</v>
      </c>
      <c r="C51" s="72" t="s">
        <v>411</v>
      </c>
      <c r="D51" s="73" t="s">
        <v>422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29</v>
      </c>
      <c r="B53" s="31" t="s">
        <v>30</v>
      </c>
      <c r="C53" s="32">
        <f>C54+C55+C56+C57+C58+C60+C59</f>
        <v>1343.5059999999999</v>
      </c>
      <c r="D53" s="32">
        <f>D54+D55+D56+D57+D58+D60+D59</f>
        <v>1109.3751</v>
      </c>
      <c r="E53" s="34">
        <f>SUM(D53/C53*100)</f>
        <v>82.573140722854987</v>
      </c>
      <c r="F53" s="34">
        <f>SUM(D53-C53)</f>
        <v>-234.13089999999988</v>
      </c>
    </row>
    <row r="54" spans="1:6" s="6" customFormat="1" ht="31.5" hidden="1">
      <c r="A54" s="35" t="s">
        <v>31</v>
      </c>
      <c r="B54" s="36" t="s">
        <v>32</v>
      </c>
      <c r="C54" s="37"/>
      <c r="D54" s="37"/>
      <c r="E54" s="38"/>
      <c r="F54" s="38"/>
    </row>
    <row r="55" spans="1:6" ht="20.25" customHeight="1">
      <c r="A55" s="35" t="s">
        <v>33</v>
      </c>
      <c r="B55" s="39" t="s">
        <v>34</v>
      </c>
      <c r="C55" s="37">
        <v>1332.4159999999999</v>
      </c>
      <c r="D55" s="37">
        <v>1106.2855999999999</v>
      </c>
      <c r="E55" s="38">
        <f t="shared" ref="E55:E95" si="3">SUM(D55/C55*100)</f>
        <v>83.028543638022953</v>
      </c>
      <c r="F55" s="38">
        <f t="shared" ref="F55:F95" si="4">SUM(D55-C55)</f>
        <v>-226.13040000000001</v>
      </c>
    </row>
    <row r="56" spans="1:6" ht="16.5" hidden="1" customHeight="1">
      <c r="A56" s="35" t="s">
        <v>35</v>
      </c>
      <c r="B56" s="39" t="s">
        <v>36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37</v>
      </c>
      <c r="B57" s="39" t="s">
        <v>38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39</v>
      </c>
      <c r="B58" s="39" t="s">
        <v>40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41</v>
      </c>
      <c r="B59" s="39" t="s">
        <v>42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43</v>
      </c>
      <c r="B60" s="39" t="s">
        <v>44</v>
      </c>
      <c r="C60" s="37">
        <v>6.09</v>
      </c>
      <c r="D60" s="37">
        <v>3.0895000000000001</v>
      </c>
      <c r="E60" s="38">
        <f t="shared" si="3"/>
        <v>50.730706075533661</v>
      </c>
      <c r="F60" s="38">
        <f t="shared" si="4"/>
        <v>-3.0004999999999997</v>
      </c>
    </row>
    <row r="61" spans="1:6" s="6" customFormat="1">
      <c r="A61" s="41" t="s">
        <v>45</v>
      </c>
      <c r="B61" s="42" t="s">
        <v>46</v>
      </c>
      <c r="C61" s="32">
        <f>C62</f>
        <v>89.944999999999993</v>
      </c>
      <c r="D61" s="32">
        <f>D62</f>
        <v>56.83222</v>
      </c>
      <c r="E61" s="34">
        <f t="shared" si="3"/>
        <v>63.185524487186619</v>
      </c>
      <c r="F61" s="34">
        <f t="shared" si="4"/>
        <v>-33.112779999999994</v>
      </c>
    </row>
    <row r="62" spans="1:6">
      <c r="A62" s="43" t="s">
        <v>47</v>
      </c>
      <c r="B62" s="44" t="s">
        <v>48</v>
      </c>
      <c r="C62" s="37">
        <v>89.944999999999993</v>
      </c>
      <c r="D62" s="37">
        <v>56.83222</v>
      </c>
      <c r="E62" s="38">
        <f t="shared" si="3"/>
        <v>63.185524487186619</v>
      </c>
      <c r="F62" s="38">
        <f t="shared" si="4"/>
        <v>-33.112779999999994</v>
      </c>
    </row>
    <row r="63" spans="1:6" s="6" customFormat="1" ht="16.5" customHeight="1">
      <c r="A63" s="30" t="s">
        <v>49</v>
      </c>
      <c r="B63" s="31" t="s">
        <v>50</v>
      </c>
      <c r="C63" s="32">
        <f>C67+C66+C68</f>
        <v>16</v>
      </c>
      <c r="D63" s="32">
        <f>D67+D66</f>
        <v>7.6354300000000004</v>
      </c>
      <c r="E63" s="34">
        <f t="shared" si="3"/>
        <v>47.7214375</v>
      </c>
      <c r="F63" s="34">
        <f t="shared" si="4"/>
        <v>-8.3645700000000005</v>
      </c>
    </row>
    <row r="64" spans="1:6" hidden="1">
      <c r="A64" s="35" t="s">
        <v>51</v>
      </c>
      <c r="B64" s="39" t="s">
        <v>52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53</v>
      </c>
      <c r="B65" s="39" t="s">
        <v>54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55</v>
      </c>
      <c r="B66" s="47" t="s">
        <v>56</v>
      </c>
      <c r="C66" s="96">
        <v>0</v>
      </c>
      <c r="D66" s="37">
        <v>0</v>
      </c>
      <c r="E66" s="34" t="e">
        <f t="shared" si="3"/>
        <v>#DIV/0!</v>
      </c>
      <c r="F66" s="34">
        <f t="shared" si="4"/>
        <v>0</v>
      </c>
    </row>
    <row r="67" spans="1:7" ht="15.75" customHeight="1">
      <c r="A67" s="46" t="s">
        <v>218</v>
      </c>
      <c r="B67" s="47" t="s">
        <v>219</v>
      </c>
      <c r="C67" s="37">
        <v>14</v>
      </c>
      <c r="D67" s="37">
        <v>7.6354300000000004</v>
      </c>
      <c r="E67" s="34">
        <f t="shared" si="3"/>
        <v>54.538785714285723</v>
      </c>
      <c r="F67" s="34">
        <f t="shared" si="4"/>
        <v>-6.3645699999999996</v>
      </c>
    </row>
    <row r="68" spans="1:7" ht="15.75" customHeight="1">
      <c r="A68" s="46" t="s">
        <v>357</v>
      </c>
      <c r="B68" s="47" t="s">
        <v>358</v>
      </c>
      <c r="C68" s="37">
        <v>2</v>
      </c>
      <c r="D68" s="37"/>
      <c r="E68" s="34"/>
      <c r="F68" s="34"/>
    </row>
    <row r="69" spans="1:7" s="6" customFormat="1">
      <c r="A69" s="30" t="s">
        <v>57</v>
      </c>
      <c r="B69" s="31" t="s">
        <v>58</v>
      </c>
      <c r="C69" s="48">
        <f>SUM(C70:C73)</f>
        <v>4195.6548999999995</v>
      </c>
      <c r="D69" s="48">
        <f>SUM(D70:D73)</f>
        <v>3794.4299900000001</v>
      </c>
      <c r="E69" s="34">
        <f t="shared" si="3"/>
        <v>90.437132710795652</v>
      </c>
      <c r="F69" s="34">
        <f t="shared" si="4"/>
        <v>-401.22490999999945</v>
      </c>
    </row>
    <row r="70" spans="1:7" ht="15" customHeight="1">
      <c r="A70" s="35" t="s">
        <v>59</v>
      </c>
      <c r="B70" s="39" t="s">
        <v>60</v>
      </c>
      <c r="C70" s="49">
        <v>8.0429999999999993</v>
      </c>
      <c r="D70" s="37">
        <v>5.3620000000000001</v>
      </c>
      <c r="E70" s="38">
        <f t="shared" si="3"/>
        <v>66.666666666666671</v>
      </c>
      <c r="F70" s="38">
        <f t="shared" si="4"/>
        <v>-2.6809999999999992</v>
      </c>
    </row>
    <row r="71" spans="1:7" s="6" customFormat="1" ht="18" customHeight="1">
      <c r="A71" s="35" t="s">
        <v>61</v>
      </c>
      <c r="B71" s="39" t="s">
        <v>62</v>
      </c>
      <c r="C71" s="49">
        <v>1281.0358699999999</v>
      </c>
      <c r="D71" s="37">
        <v>1229.20525</v>
      </c>
      <c r="E71" s="38">
        <f t="shared" si="3"/>
        <v>95.954007127060393</v>
      </c>
      <c r="F71" s="38">
        <f t="shared" si="4"/>
        <v>-51.830619999999954</v>
      </c>
      <c r="G71" s="50"/>
    </row>
    <row r="72" spans="1:7">
      <c r="A72" s="35" t="s">
        <v>63</v>
      </c>
      <c r="B72" s="39" t="s">
        <v>64</v>
      </c>
      <c r="C72" s="49">
        <v>2680.5760300000002</v>
      </c>
      <c r="D72" s="37">
        <v>2348.4081200000001</v>
      </c>
      <c r="E72" s="38">
        <f t="shared" si="3"/>
        <v>87.608338421201211</v>
      </c>
      <c r="F72" s="38">
        <f t="shared" si="4"/>
        <v>-332.16791000000012</v>
      </c>
    </row>
    <row r="73" spans="1:7">
      <c r="A73" s="35" t="s">
        <v>65</v>
      </c>
      <c r="B73" s="39" t="s">
        <v>66</v>
      </c>
      <c r="C73" s="49">
        <v>226</v>
      </c>
      <c r="D73" s="37">
        <v>211.45462000000001</v>
      </c>
      <c r="E73" s="38">
        <f t="shared" si="3"/>
        <v>93.563991150442476</v>
      </c>
      <c r="F73" s="38">
        <f t="shared" si="4"/>
        <v>-14.545379999999994</v>
      </c>
    </row>
    <row r="74" spans="1:7" s="6" customFormat="1" ht="16.5" customHeight="1">
      <c r="A74" s="30" t="s">
        <v>67</v>
      </c>
      <c r="B74" s="31" t="s">
        <v>68</v>
      </c>
      <c r="C74" s="32">
        <f>SUM(C75:C77)</f>
        <v>448.79333000000003</v>
      </c>
      <c r="D74" s="32">
        <f>SUM(D76:D77)</f>
        <v>381.47750000000002</v>
      </c>
      <c r="E74" s="34">
        <f t="shared" si="3"/>
        <v>85.00070622707338</v>
      </c>
      <c r="F74" s="34">
        <f t="shared" si="4"/>
        <v>-67.315830000000005</v>
      </c>
    </row>
    <row r="75" spans="1:7" hidden="1">
      <c r="A75" s="35" t="s">
        <v>69</v>
      </c>
      <c r="B75" s="51" t="s">
        <v>70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71</v>
      </c>
      <c r="B76" s="51" t="s">
        <v>72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73</v>
      </c>
      <c r="B77" s="39" t="s">
        <v>74</v>
      </c>
      <c r="C77" s="37">
        <v>448.79333000000003</v>
      </c>
      <c r="D77" s="37">
        <v>381.47750000000002</v>
      </c>
      <c r="E77" s="38">
        <f>SUM(D77/C77*100)</f>
        <v>85.00070622707338</v>
      </c>
      <c r="F77" s="38">
        <f t="shared" si="4"/>
        <v>-67.315830000000005</v>
      </c>
    </row>
    <row r="78" spans="1:7" s="6" customFormat="1">
      <c r="A78" s="30" t="s">
        <v>85</v>
      </c>
      <c r="B78" s="31" t="s">
        <v>86</v>
      </c>
      <c r="C78" s="32">
        <f>C79</f>
        <v>6384.0006199999998</v>
      </c>
      <c r="D78" s="32">
        <f>SUM(D79)</f>
        <v>5801.1048000000001</v>
      </c>
      <c r="E78" s="34">
        <f t="shared" si="3"/>
        <v>90.869427265187213</v>
      </c>
      <c r="F78" s="34">
        <f t="shared" si="4"/>
        <v>-582.89581999999973</v>
      </c>
    </row>
    <row r="79" spans="1:7" ht="20.25" customHeight="1">
      <c r="A79" s="35" t="s">
        <v>87</v>
      </c>
      <c r="B79" s="39" t="s">
        <v>233</v>
      </c>
      <c r="C79" s="37">
        <v>6384.0006199999998</v>
      </c>
      <c r="D79" s="37">
        <v>5801.1048000000001</v>
      </c>
      <c r="E79" s="38">
        <f t="shared" si="3"/>
        <v>90.869427265187213</v>
      </c>
      <c r="F79" s="38">
        <f t="shared" si="4"/>
        <v>-582.89581999999973</v>
      </c>
    </row>
    <row r="80" spans="1:7" s="6" customFormat="1" ht="0.75" customHeight="1">
      <c r="A80" s="52">
        <v>1000</v>
      </c>
      <c r="B80" s="31" t="s">
        <v>88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89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91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92</v>
      </c>
      <c r="B84" s="39" t="s">
        <v>93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94</v>
      </c>
      <c r="B85" s="31" t="s">
        <v>95</v>
      </c>
      <c r="C85" s="32">
        <f>C86+C87+C88+C89+C90</f>
        <v>2.2850000000000001</v>
      </c>
      <c r="D85" s="32">
        <f>D86+D87+D88+D89+D90</f>
        <v>1.2849999999999999</v>
      </c>
      <c r="E85" s="38">
        <f t="shared" si="3"/>
        <v>56.236323851203494</v>
      </c>
      <c r="F85" s="22">
        <f>F86+F87+F88+F89+F90</f>
        <v>-1.0000000000000002</v>
      </c>
    </row>
    <row r="86" spans="1:6" ht="15" customHeight="1">
      <c r="A86" s="35" t="s">
        <v>96</v>
      </c>
      <c r="B86" s="39" t="s">
        <v>97</v>
      </c>
      <c r="C86" s="237">
        <v>2.2850000000000001</v>
      </c>
      <c r="D86" s="237">
        <v>1.2849999999999999</v>
      </c>
      <c r="E86" s="38">
        <f t="shared" si="3"/>
        <v>56.236323851203494</v>
      </c>
      <c r="F86" s="38">
        <f>SUM(D86-C86)</f>
        <v>-1.0000000000000002</v>
      </c>
    </row>
    <row r="87" spans="1:6" ht="15.75" hidden="1" customHeight="1">
      <c r="A87" s="35" t="s">
        <v>98</v>
      </c>
      <c r="B87" s="39" t="s">
        <v>99</v>
      </c>
      <c r="C87" s="237"/>
      <c r="D87" s="237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100</v>
      </c>
      <c r="B88" s="39" t="s">
        <v>101</v>
      </c>
      <c r="C88" s="237"/>
      <c r="D88" s="237"/>
      <c r="E88" s="38" t="e">
        <f t="shared" si="3"/>
        <v>#DIV/0!</v>
      </c>
      <c r="F88" s="38"/>
    </row>
    <row r="89" spans="1:6" ht="15.75" hidden="1" customHeight="1">
      <c r="A89" s="35" t="s">
        <v>102</v>
      </c>
      <c r="B89" s="39" t="s">
        <v>103</v>
      </c>
      <c r="C89" s="237"/>
      <c r="D89" s="237"/>
      <c r="E89" s="38" t="e">
        <f t="shared" si="3"/>
        <v>#DIV/0!</v>
      </c>
      <c r="F89" s="38"/>
    </row>
    <row r="90" spans="1:6" ht="15.75" hidden="1" customHeight="1">
      <c r="A90" s="35" t="s">
        <v>104</v>
      </c>
      <c r="B90" s="39" t="s">
        <v>105</v>
      </c>
      <c r="C90" s="237"/>
      <c r="D90" s="237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114</v>
      </c>
      <c r="C91" s="238">
        <f>C92+C93+C94</f>
        <v>0</v>
      </c>
      <c r="D91" s="238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115</v>
      </c>
      <c r="C92" s="239"/>
      <c r="D92" s="237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116</v>
      </c>
      <c r="C93" s="239"/>
      <c r="D93" s="237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117</v>
      </c>
      <c r="C94" s="240">
        <v>0</v>
      </c>
      <c r="D94" s="241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118</v>
      </c>
      <c r="C95" s="449">
        <f>C53+C61+C63+C69+C74+C78+C85</f>
        <v>12480.18485</v>
      </c>
      <c r="D95" s="449">
        <f>D53+D61+D63+D69+D74+D78+D85</f>
        <v>11152.14004</v>
      </c>
      <c r="E95" s="34">
        <f t="shared" si="3"/>
        <v>89.358772919136698</v>
      </c>
      <c r="F95" s="34">
        <f t="shared" si="4"/>
        <v>-1328.0448099999994</v>
      </c>
    </row>
    <row r="96" spans="1:6" ht="16.5" customHeight="1">
      <c r="C96" s="126"/>
      <c r="D96" s="101"/>
    </row>
    <row r="97" spans="1:4" s="113" customFormat="1" ht="20.25" customHeight="1">
      <c r="A97" s="111" t="s">
        <v>119</v>
      </c>
      <c r="B97" s="111"/>
      <c r="C97" s="129"/>
      <c r="D97" s="112"/>
    </row>
    <row r="98" spans="1:4" s="113" customFormat="1" ht="13.5" customHeight="1">
      <c r="A98" s="114" t="s">
        <v>120</v>
      </c>
      <c r="B98" s="114"/>
      <c r="C98" s="118" t="s">
        <v>121</v>
      </c>
    </row>
    <row r="100" spans="1:4" ht="5.25" customHeight="1"/>
  </sheetData>
  <customSheetViews>
    <customSheetView guid="{120EA1E0-6265-45F1-AFBB-CEB5CB007D02}" scale="70" showPageBreaks="1" hiddenRows="1" view="pageBreakPreview" topLeftCell="A29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44">
      <selection activeCell="D86" sqref="D86"/>
      <pageMargins left="0.7" right="0.7" top="0.75" bottom="0.75" header="0.3" footer="0.3"/>
      <pageSetup paperSize="9" scale="62" orientation="portrait" r:id="rId2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4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5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8"/>
    </customSheetView>
    <customSheetView guid="{5BFCA170-DEAE-4D2C-98A0-1E68B427AC01}" scale="70" showPageBreaks="1" hiddenRows="1" view="pageBreakPreview">
      <selection activeCell="I74" sqref="I73:I74"/>
      <pageMargins left="0.7" right="0.7" top="0.75" bottom="0.75" header="0.3" footer="0.3"/>
      <pageSetup paperSize="9" scale="56" orientation="portrait" r:id="rId9"/>
    </customSheetView>
    <customSheetView guid="{61528DAC-5C4C-48F4-ADE2-8A724B05A086}" scale="70" showPageBreaks="1" hiddenRows="1" view="pageBreakPreview" topLeftCell="A29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zoomScale="70" zoomScaleSheetLayoutView="70" workbookViewId="0">
      <selection activeCell="CP18" sqref="CP18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710937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7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0" style="153" customWidth="1"/>
    <col min="21" max="21" width="13.5703125" style="153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3.42578125" style="153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3.28515625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6" style="153" customWidth="1"/>
    <col min="60" max="61" width="9.7109375" style="153" hidden="1" customWidth="1"/>
    <col min="62" max="62" width="17.7109375" style="153" hidden="1" customWidth="1"/>
    <col min="63" max="63" width="0.42578125" style="153" customWidth="1"/>
    <col min="64" max="64" width="20.5703125" style="153" hidden="1" customWidth="1"/>
    <col min="65" max="65" width="10.140625" style="153" hidden="1" customWidth="1"/>
    <col min="66" max="66" width="15.42578125" style="153" customWidth="1"/>
    <col min="67" max="67" width="18.85546875" style="153" customWidth="1"/>
    <col min="68" max="68" width="25.5703125" style="153" customWidth="1"/>
    <col min="69" max="69" width="15.28515625" style="153" customWidth="1"/>
    <col min="70" max="70" width="15" style="153" customWidth="1"/>
    <col min="71" max="71" width="12.42578125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23.8554687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2.140625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4" width="18.7109375" style="153" customWidth="1"/>
    <col min="95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17.57031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4.285156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8" style="153" bestFit="1" customWidth="1"/>
    <col min="134" max="134" width="10.140625" style="153" customWidth="1"/>
    <col min="135" max="135" width="20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6.425781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17" t="s">
        <v>136</v>
      </c>
      <c r="Y1" s="517"/>
      <c r="Z1" s="517"/>
      <c r="AA1" s="156"/>
      <c r="AB1" s="156"/>
      <c r="AC1" s="156"/>
      <c r="AD1" s="512"/>
      <c r="AE1" s="512"/>
      <c r="AF1" s="512"/>
      <c r="AG1" s="157"/>
      <c r="AH1" s="157"/>
      <c r="AI1" s="157"/>
      <c r="AJ1" s="157"/>
      <c r="AK1" s="157"/>
      <c r="AL1" s="157"/>
    </row>
    <row r="2" spans="1:159" ht="19.5" customHeight="1">
      <c r="X2" s="157" t="s">
        <v>137</v>
      </c>
      <c r="Y2" s="157"/>
      <c r="Z2" s="157"/>
      <c r="AA2" s="155"/>
      <c r="AB2" s="155"/>
      <c r="AC2" s="155"/>
      <c r="AD2" s="512"/>
      <c r="AE2" s="512"/>
      <c r="AF2" s="512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361"/>
      <c r="C3" s="361"/>
      <c r="D3" s="362"/>
      <c r="E3" s="361"/>
      <c r="F3" s="361"/>
      <c r="G3" s="361"/>
      <c r="H3" s="361"/>
      <c r="I3" s="361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522" t="s">
        <v>138</v>
      </c>
      <c r="Y3" s="522"/>
      <c r="Z3" s="522"/>
      <c r="AA3" s="158"/>
      <c r="AB3" s="158"/>
      <c r="AC3" s="158"/>
      <c r="AD3" s="516"/>
      <c r="AE3" s="516"/>
      <c r="AF3" s="516"/>
      <c r="AG3" s="159"/>
      <c r="AH3" s="159"/>
      <c r="AI3" s="159"/>
      <c r="AJ3" s="159"/>
      <c r="AK3" s="159"/>
      <c r="AL3" s="159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20" t="s">
        <v>139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160"/>
      <c r="AB4" s="160"/>
      <c r="AC4" s="160"/>
      <c r="AD4" s="160"/>
      <c r="AE4" s="160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18" t="s">
        <v>440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Z5" s="518"/>
      <c r="AA5" s="161"/>
      <c r="AB5" s="161"/>
      <c r="AC5" s="161"/>
      <c r="AD5" s="161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364"/>
      <c r="C6" s="365"/>
      <c r="D6" s="366"/>
      <c r="E6" s="364"/>
      <c r="F6" s="364"/>
      <c r="G6" s="367"/>
      <c r="H6" s="367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364"/>
      <c r="Z6" s="367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2" customFormat="1" ht="15" customHeight="1">
      <c r="A7" s="511" t="s">
        <v>140</v>
      </c>
      <c r="B7" s="511" t="s">
        <v>141</v>
      </c>
      <c r="C7" s="502" t="s">
        <v>142</v>
      </c>
      <c r="D7" s="503"/>
      <c r="E7" s="504"/>
      <c r="F7" s="286" t="s">
        <v>143</v>
      </c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7"/>
      <c r="DA7" s="287"/>
      <c r="DB7" s="287"/>
      <c r="DC7" s="288"/>
      <c r="DD7" s="287"/>
      <c r="DE7" s="287"/>
      <c r="DF7" s="288"/>
      <c r="DG7" s="502" t="s">
        <v>144</v>
      </c>
      <c r="DH7" s="503"/>
      <c r="DI7" s="504"/>
      <c r="DJ7" s="502"/>
      <c r="DK7" s="503"/>
      <c r="DL7" s="503"/>
      <c r="DM7" s="503"/>
      <c r="DN7" s="503"/>
      <c r="DO7" s="503"/>
      <c r="DP7" s="503"/>
      <c r="DQ7" s="503"/>
      <c r="DR7" s="503"/>
      <c r="DS7" s="503"/>
      <c r="DT7" s="503"/>
      <c r="DU7" s="503"/>
      <c r="DV7" s="503"/>
      <c r="DW7" s="503"/>
      <c r="DX7" s="503"/>
      <c r="DY7" s="503"/>
      <c r="DZ7" s="503"/>
      <c r="EA7" s="503"/>
      <c r="EB7" s="503"/>
      <c r="EC7" s="503"/>
      <c r="ED7" s="503"/>
      <c r="EE7" s="503"/>
      <c r="EF7" s="503"/>
      <c r="EG7" s="503"/>
      <c r="EH7" s="503"/>
      <c r="EI7" s="503"/>
      <c r="EJ7" s="503"/>
      <c r="EK7" s="503"/>
      <c r="EL7" s="503"/>
      <c r="EM7" s="503"/>
      <c r="EN7" s="503"/>
      <c r="EO7" s="503"/>
      <c r="EP7" s="503"/>
      <c r="EQ7" s="503"/>
      <c r="ER7" s="503"/>
      <c r="ES7" s="503"/>
      <c r="ET7" s="503"/>
      <c r="EU7" s="503"/>
      <c r="EV7" s="504"/>
      <c r="EW7" s="502" t="s">
        <v>145</v>
      </c>
      <c r="EX7" s="503"/>
      <c r="EY7" s="504"/>
    </row>
    <row r="8" spans="1:159" s="162" customFormat="1" ht="15" customHeight="1">
      <c r="A8" s="511"/>
      <c r="B8" s="511"/>
      <c r="C8" s="505"/>
      <c r="D8" s="506"/>
      <c r="E8" s="507"/>
      <c r="F8" s="505" t="s">
        <v>146</v>
      </c>
      <c r="G8" s="506"/>
      <c r="H8" s="507"/>
      <c r="I8" s="513" t="s">
        <v>147</v>
      </c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4"/>
      <c r="AR8" s="514"/>
      <c r="AS8" s="514"/>
      <c r="AT8" s="514"/>
      <c r="AU8" s="514"/>
      <c r="AV8" s="514"/>
      <c r="AW8" s="514"/>
      <c r="AX8" s="515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90"/>
      <c r="BT8" s="291"/>
      <c r="BU8" s="291"/>
      <c r="BV8" s="291"/>
      <c r="BW8" s="292"/>
      <c r="BX8" s="292"/>
      <c r="BY8" s="292"/>
      <c r="BZ8" s="511" t="s">
        <v>148</v>
      </c>
      <c r="CA8" s="511"/>
      <c r="CB8" s="511"/>
      <c r="CC8" s="508" t="s">
        <v>147</v>
      </c>
      <c r="CD8" s="509"/>
      <c r="CE8" s="509"/>
      <c r="CF8" s="509"/>
      <c r="CG8" s="509"/>
      <c r="CH8" s="509"/>
      <c r="CI8" s="509"/>
      <c r="CJ8" s="509"/>
      <c r="CK8" s="509"/>
      <c r="CL8" s="509"/>
      <c r="CM8" s="509"/>
      <c r="CN8" s="509"/>
      <c r="CO8" s="293"/>
      <c r="CP8" s="293"/>
      <c r="CQ8" s="293"/>
      <c r="CR8" s="293"/>
      <c r="CS8" s="293"/>
      <c r="CT8" s="293"/>
      <c r="CU8" s="294"/>
      <c r="CV8" s="294"/>
      <c r="CW8" s="295"/>
      <c r="CX8" s="505" t="s">
        <v>149</v>
      </c>
      <c r="CY8" s="506"/>
      <c r="CZ8" s="507"/>
      <c r="DA8" s="499"/>
      <c r="DB8" s="500"/>
      <c r="DC8" s="501"/>
      <c r="DD8" s="499"/>
      <c r="DE8" s="500"/>
      <c r="DF8" s="501"/>
      <c r="DG8" s="505"/>
      <c r="DH8" s="506"/>
      <c r="DI8" s="507"/>
      <c r="DJ8" s="505" t="s">
        <v>147</v>
      </c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6"/>
      <c r="DW8" s="506"/>
      <c r="DX8" s="506"/>
      <c r="DY8" s="506"/>
      <c r="DZ8" s="506"/>
      <c r="EA8" s="506"/>
      <c r="EB8" s="506"/>
      <c r="EC8" s="506"/>
      <c r="ED8" s="506"/>
      <c r="EE8" s="506"/>
      <c r="EF8" s="506"/>
      <c r="EG8" s="506"/>
      <c r="EH8" s="506"/>
      <c r="EI8" s="506"/>
      <c r="EJ8" s="506"/>
      <c r="EK8" s="506"/>
      <c r="EL8" s="506"/>
      <c r="EM8" s="506"/>
      <c r="EN8" s="506"/>
      <c r="EO8" s="506"/>
      <c r="EP8" s="506"/>
      <c r="EQ8" s="506"/>
      <c r="ER8" s="506"/>
      <c r="ES8" s="506"/>
      <c r="ET8" s="506"/>
      <c r="EU8" s="506"/>
      <c r="EV8" s="507"/>
      <c r="EW8" s="505"/>
      <c r="EX8" s="506"/>
      <c r="EY8" s="507"/>
    </row>
    <row r="9" spans="1:159" s="162" customFormat="1" ht="15" customHeight="1">
      <c r="A9" s="511"/>
      <c r="B9" s="511"/>
      <c r="C9" s="505"/>
      <c r="D9" s="506"/>
      <c r="E9" s="507"/>
      <c r="F9" s="505"/>
      <c r="G9" s="506"/>
      <c r="H9" s="507"/>
      <c r="I9" s="502" t="s">
        <v>150</v>
      </c>
      <c r="J9" s="503"/>
      <c r="K9" s="504"/>
      <c r="L9" s="502" t="s">
        <v>292</v>
      </c>
      <c r="M9" s="503"/>
      <c r="N9" s="504"/>
      <c r="O9" s="502" t="s">
        <v>295</v>
      </c>
      <c r="P9" s="503"/>
      <c r="Q9" s="504"/>
      <c r="R9" s="502" t="s">
        <v>293</v>
      </c>
      <c r="S9" s="503"/>
      <c r="T9" s="504"/>
      <c r="U9" s="502" t="s">
        <v>294</v>
      </c>
      <c r="V9" s="503"/>
      <c r="W9" s="504"/>
      <c r="X9" s="502" t="s">
        <v>151</v>
      </c>
      <c r="Y9" s="503"/>
      <c r="Z9" s="504"/>
      <c r="AA9" s="502" t="s">
        <v>152</v>
      </c>
      <c r="AB9" s="503"/>
      <c r="AC9" s="504"/>
      <c r="AD9" s="502" t="s">
        <v>153</v>
      </c>
      <c r="AE9" s="503"/>
      <c r="AF9" s="504"/>
      <c r="AG9" s="511" t="s">
        <v>154</v>
      </c>
      <c r="AH9" s="511"/>
      <c r="AI9" s="511"/>
      <c r="AJ9" s="502" t="s">
        <v>254</v>
      </c>
      <c r="AK9" s="503"/>
      <c r="AL9" s="504"/>
      <c r="AM9" s="502" t="s">
        <v>155</v>
      </c>
      <c r="AN9" s="503"/>
      <c r="AO9" s="504"/>
      <c r="AP9" s="502" t="s">
        <v>345</v>
      </c>
      <c r="AQ9" s="503"/>
      <c r="AR9" s="504"/>
      <c r="AS9" s="502" t="s">
        <v>156</v>
      </c>
      <c r="AT9" s="503"/>
      <c r="AU9" s="504"/>
      <c r="AV9" s="502" t="s">
        <v>157</v>
      </c>
      <c r="AW9" s="503"/>
      <c r="AX9" s="504"/>
      <c r="AY9" s="502" t="s">
        <v>256</v>
      </c>
      <c r="AZ9" s="503"/>
      <c r="BA9" s="504"/>
      <c r="BB9" s="502" t="s">
        <v>355</v>
      </c>
      <c r="BC9" s="503"/>
      <c r="BD9" s="504"/>
      <c r="BE9" s="502" t="s">
        <v>158</v>
      </c>
      <c r="BF9" s="503"/>
      <c r="BG9" s="504"/>
      <c r="BH9" s="502" t="s">
        <v>159</v>
      </c>
      <c r="BI9" s="503"/>
      <c r="BJ9" s="504"/>
      <c r="BK9" s="502" t="s">
        <v>285</v>
      </c>
      <c r="BL9" s="503"/>
      <c r="BM9" s="504"/>
      <c r="BN9" s="502" t="s">
        <v>252</v>
      </c>
      <c r="BO9" s="503"/>
      <c r="BP9" s="504"/>
      <c r="BQ9" s="502" t="s">
        <v>160</v>
      </c>
      <c r="BR9" s="503"/>
      <c r="BS9" s="504"/>
      <c r="BT9" s="502" t="s">
        <v>161</v>
      </c>
      <c r="BU9" s="503"/>
      <c r="BV9" s="504"/>
      <c r="BW9" s="505" t="s">
        <v>162</v>
      </c>
      <c r="BX9" s="506"/>
      <c r="BY9" s="506"/>
      <c r="BZ9" s="511"/>
      <c r="CA9" s="511"/>
      <c r="CB9" s="511"/>
      <c r="CC9" s="502" t="s">
        <v>346</v>
      </c>
      <c r="CD9" s="503"/>
      <c r="CE9" s="504"/>
      <c r="CF9" s="502" t="s">
        <v>347</v>
      </c>
      <c r="CG9" s="503"/>
      <c r="CH9" s="504"/>
      <c r="CI9" s="502" t="s">
        <v>163</v>
      </c>
      <c r="CJ9" s="503"/>
      <c r="CK9" s="504"/>
      <c r="CL9" s="502" t="s">
        <v>164</v>
      </c>
      <c r="CM9" s="503"/>
      <c r="CN9" s="504"/>
      <c r="CO9" s="502" t="s">
        <v>23</v>
      </c>
      <c r="CP9" s="503"/>
      <c r="CQ9" s="504"/>
      <c r="CR9" s="502" t="s">
        <v>302</v>
      </c>
      <c r="CS9" s="503"/>
      <c r="CT9" s="504"/>
      <c r="CU9" s="502" t="s">
        <v>348</v>
      </c>
      <c r="CV9" s="503"/>
      <c r="CW9" s="504"/>
      <c r="CX9" s="505"/>
      <c r="CY9" s="506"/>
      <c r="CZ9" s="507"/>
      <c r="DA9" s="502" t="s">
        <v>270</v>
      </c>
      <c r="DB9" s="503"/>
      <c r="DC9" s="504"/>
      <c r="DD9" s="511" t="s">
        <v>165</v>
      </c>
      <c r="DE9" s="511"/>
      <c r="DF9" s="511"/>
      <c r="DG9" s="505"/>
      <c r="DH9" s="506"/>
      <c r="DI9" s="507"/>
      <c r="DJ9" s="531" t="s">
        <v>166</v>
      </c>
      <c r="DK9" s="532"/>
      <c r="DL9" s="533"/>
      <c r="DM9" s="525" t="s">
        <v>143</v>
      </c>
      <c r="DN9" s="526"/>
      <c r="DO9" s="526"/>
      <c r="DP9" s="526"/>
      <c r="DQ9" s="526"/>
      <c r="DR9" s="526"/>
      <c r="DS9" s="526"/>
      <c r="DT9" s="526"/>
      <c r="DU9" s="526"/>
      <c r="DV9" s="526"/>
      <c r="DW9" s="526"/>
      <c r="DX9" s="527"/>
      <c r="DY9" s="531" t="s">
        <v>167</v>
      </c>
      <c r="DZ9" s="532"/>
      <c r="EA9" s="533"/>
      <c r="EB9" s="531" t="s">
        <v>168</v>
      </c>
      <c r="EC9" s="532"/>
      <c r="ED9" s="533"/>
      <c r="EE9" s="531" t="s">
        <v>169</v>
      </c>
      <c r="EF9" s="532"/>
      <c r="EG9" s="533"/>
      <c r="EH9" s="531" t="s">
        <v>170</v>
      </c>
      <c r="EI9" s="532"/>
      <c r="EJ9" s="533"/>
      <c r="EK9" s="502" t="s">
        <v>296</v>
      </c>
      <c r="EL9" s="503"/>
      <c r="EM9" s="504"/>
      <c r="EN9" s="502" t="s">
        <v>171</v>
      </c>
      <c r="EO9" s="503"/>
      <c r="EP9" s="504"/>
      <c r="EQ9" s="502" t="s">
        <v>328</v>
      </c>
      <c r="ER9" s="503"/>
      <c r="ES9" s="504"/>
      <c r="ET9" s="511" t="s">
        <v>298</v>
      </c>
      <c r="EU9" s="511"/>
      <c r="EV9" s="511"/>
      <c r="EW9" s="505"/>
      <c r="EX9" s="506"/>
      <c r="EY9" s="507"/>
    </row>
    <row r="10" spans="1:159" s="162" customFormat="1" ht="62.25" customHeight="1">
      <c r="A10" s="511"/>
      <c r="B10" s="511"/>
      <c r="C10" s="505"/>
      <c r="D10" s="506"/>
      <c r="E10" s="507"/>
      <c r="F10" s="505"/>
      <c r="G10" s="506"/>
      <c r="H10" s="507"/>
      <c r="I10" s="505"/>
      <c r="J10" s="506"/>
      <c r="K10" s="507"/>
      <c r="L10" s="505"/>
      <c r="M10" s="506"/>
      <c r="N10" s="507"/>
      <c r="O10" s="505"/>
      <c r="P10" s="506"/>
      <c r="Q10" s="507"/>
      <c r="R10" s="505"/>
      <c r="S10" s="506"/>
      <c r="T10" s="507"/>
      <c r="U10" s="505"/>
      <c r="V10" s="506"/>
      <c r="W10" s="507"/>
      <c r="X10" s="505"/>
      <c r="Y10" s="506"/>
      <c r="Z10" s="507"/>
      <c r="AA10" s="505"/>
      <c r="AB10" s="506"/>
      <c r="AC10" s="507"/>
      <c r="AD10" s="505"/>
      <c r="AE10" s="506"/>
      <c r="AF10" s="507"/>
      <c r="AG10" s="511"/>
      <c r="AH10" s="511"/>
      <c r="AI10" s="511"/>
      <c r="AJ10" s="505"/>
      <c r="AK10" s="506"/>
      <c r="AL10" s="507"/>
      <c r="AM10" s="505"/>
      <c r="AN10" s="506"/>
      <c r="AO10" s="507"/>
      <c r="AP10" s="505"/>
      <c r="AQ10" s="506"/>
      <c r="AR10" s="507"/>
      <c r="AS10" s="505"/>
      <c r="AT10" s="506"/>
      <c r="AU10" s="507"/>
      <c r="AV10" s="505"/>
      <c r="AW10" s="506"/>
      <c r="AX10" s="507"/>
      <c r="AY10" s="505"/>
      <c r="AZ10" s="506"/>
      <c r="BA10" s="507"/>
      <c r="BB10" s="505"/>
      <c r="BC10" s="506"/>
      <c r="BD10" s="507"/>
      <c r="BE10" s="505"/>
      <c r="BF10" s="506"/>
      <c r="BG10" s="507"/>
      <c r="BH10" s="505"/>
      <c r="BI10" s="506"/>
      <c r="BJ10" s="507"/>
      <c r="BK10" s="505"/>
      <c r="BL10" s="506"/>
      <c r="BM10" s="507"/>
      <c r="BN10" s="505"/>
      <c r="BO10" s="506"/>
      <c r="BP10" s="507"/>
      <c r="BQ10" s="505"/>
      <c r="BR10" s="506"/>
      <c r="BS10" s="507"/>
      <c r="BT10" s="505"/>
      <c r="BU10" s="506"/>
      <c r="BV10" s="507"/>
      <c r="BW10" s="505"/>
      <c r="BX10" s="506"/>
      <c r="BY10" s="506"/>
      <c r="BZ10" s="511"/>
      <c r="CA10" s="511"/>
      <c r="CB10" s="511"/>
      <c r="CC10" s="505"/>
      <c r="CD10" s="506"/>
      <c r="CE10" s="507"/>
      <c r="CF10" s="505"/>
      <c r="CG10" s="506"/>
      <c r="CH10" s="507"/>
      <c r="CI10" s="505"/>
      <c r="CJ10" s="506"/>
      <c r="CK10" s="507"/>
      <c r="CL10" s="505"/>
      <c r="CM10" s="506"/>
      <c r="CN10" s="507"/>
      <c r="CO10" s="505"/>
      <c r="CP10" s="506"/>
      <c r="CQ10" s="507"/>
      <c r="CR10" s="505"/>
      <c r="CS10" s="506"/>
      <c r="CT10" s="507"/>
      <c r="CU10" s="505"/>
      <c r="CV10" s="506"/>
      <c r="CW10" s="507"/>
      <c r="CX10" s="505"/>
      <c r="CY10" s="506"/>
      <c r="CZ10" s="507"/>
      <c r="DA10" s="505"/>
      <c r="DB10" s="506"/>
      <c r="DC10" s="507"/>
      <c r="DD10" s="511"/>
      <c r="DE10" s="511"/>
      <c r="DF10" s="511"/>
      <c r="DG10" s="505"/>
      <c r="DH10" s="506"/>
      <c r="DI10" s="507"/>
      <c r="DJ10" s="534"/>
      <c r="DK10" s="535"/>
      <c r="DL10" s="536"/>
      <c r="DM10" s="296"/>
      <c r="DN10" s="297"/>
      <c r="DO10" s="297"/>
      <c r="DP10" s="298"/>
      <c r="DQ10" s="298"/>
      <c r="DR10" s="298"/>
      <c r="DS10" s="297"/>
      <c r="DT10" s="297"/>
      <c r="DU10" s="297"/>
      <c r="DV10" s="297"/>
      <c r="DW10" s="297"/>
      <c r="DX10" s="299"/>
      <c r="DY10" s="534"/>
      <c r="DZ10" s="535"/>
      <c r="EA10" s="536"/>
      <c r="EB10" s="534"/>
      <c r="EC10" s="535"/>
      <c r="ED10" s="536"/>
      <c r="EE10" s="534"/>
      <c r="EF10" s="535"/>
      <c r="EG10" s="536"/>
      <c r="EH10" s="534"/>
      <c r="EI10" s="535"/>
      <c r="EJ10" s="536"/>
      <c r="EK10" s="505"/>
      <c r="EL10" s="506"/>
      <c r="EM10" s="507"/>
      <c r="EN10" s="505"/>
      <c r="EO10" s="506"/>
      <c r="EP10" s="507"/>
      <c r="EQ10" s="505"/>
      <c r="ER10" s="506"/>
      <c r="ES10" s="507"/>
      <c r="ET10" s="511"/>
      <c r="EU10" s="511"/>
      <c r="EV10" s="511"/>
      <c r="EW10" s="505"/>
      <c r="EX10" s="506"/>
      <c r="EY10" s="507"/>
    </row>
    <row r="11" spans="1:159" s="162" customFormat="1" ht="109.5" customHeight="1">
      <c r="A11" s="511"/>
      <c r="B11" s="511"/>
      <c r="C11" s="508"/>
      <c r="D11" s="509"/>
      <c r="E11" s="521"/>
      <c r="F11" s="508"/>
      <c r="G11" s="509"/>
      <c r="H11" s="510"/>
      <c r="I11" s="508"/>
      <c r="J11" s="509"/>
      <c r="K11" s="510"/>
      <c r="L11" s="508"/>
      <c r="M11" s="509"/>
      <c r="N11" s="510"/>
      <c r="O11" s="508"/>
      <c r="P11" s="509"/>
      <c r="Q11" s="510"/>
      <c r="R11" s="508"/>
      <c r="S11" s="509"/>
      <c r="T11" s="510"/>
      <c r="U11" s="508"/>
      <c r="V11" s="509"/>
      <c r="W11" s="510"/>
      <c r="X11" s="508"/>
      <c r="Y11" s="509"/>
      <c r="Z11" s="510"/>
      <c r="AA11" s="508"/>
      <c r="AB11" s="509"/>
      <c r="AC11" s="510"/>
      <c r="AD11" s="508"/>
      <c r="AE11" s="509"/>
      <c r="AF11" s="510"/>
      <c r="AG11" s="511"/>
      <c r="AH11" s="511"/>
      <c r="AI11" s="511"/>
      <c r="AJ11" s="508"/>
      <c r="AK11" s="509"/>
      <c r="AL11" s="510"/>
      <c r="AM11" s="508"/>
      <c r="AN11" s="509"/>
      <c r="AO11" s="510"/>
      <c r="AP11" s="508"/>
      <c r="AQ11" s="509"/>
      <c r="AR11" s="510"/>
      <c r="AS11" s="508"/>
      <c r="AT11" s="509"/>
      <c r="AU11" s="510"/>
      <c r="AV11" s="508"/>
      <c r="AW11" s="509"/>
      <c r="AX11" s="510"/>
      <c r="AY11" s="508"/>
      <c r="AZ11" s="509"/>
      <c r="BA11" s="510"/>
      <c r="BB11" s="508"/>
      <c r="BC11" s="509"/>
      <c r="BD11" s="510"/>
      <c r="BE11" s="508"/>
      <c r="BF11" s="509"/>
      <c r="BG11" s="510"/>
      <c r="BH11" s="508"/>
      <c r="BI11" s="509"/>
      <c r="BJ11" s="510"/>
      <c r="BK11" s="508"/>
      <c r="BL11" s="509"/>
      <c r="BM11" s="510"/>
      <c r="BN11" s="508"/>
      <c r="BO11" s="509"/>
      <c r="BP11" s="510"/>
      <c r="BQ11" s="508"/>
      <c r="BR11" s="509"/>
      <c r="BS11" s="510"/>
      <c r="BT11" s="508"/>
      <c r="BU11" s="509"/>
      <c r="BV11" s="510"/>
      <c r="BW11" s="508"/>
      <c r="BX11" s="509"/>
      <c r="BY11" s="509"/>
      <c r="BZ11" s="511"/>
      <c r="CA11" s="511"/>
      <c r="CB11" s="511"/>
      <c r="CC11" s="508"/>
      <c r="CD11" s="509"/>
      <c r="CE11" s="510"/>
      <c r="CF11" s="508"/>
      <c r="CG11" s="509"/>
      <c r="CH11" s="510"/>
      <c r="CI11" s="508"/>
      <c r="CJ11" s="509"/>
      <c r="CK11" s="510"/>
      <c r="CL11" s="508"/>
      <c r="CM11" s="509"/>
      <c r="CN11" s="510"/>
      <c r="CO11" s="508"/>
      <c r="CP11" s="509"/>
      <c r="CQ11" s="510"/>
      <c r="CR11" s="508"/>
      <c r="CS11" s="509"/>
      <c r="CT11" s="510"/>
      <c r="CU11" s="508"/>
      <c r="CV11" s="509"/>
      <c r="CW11" s="510"/>
      <c r="CX11" s="508"/>
      <c r="CY11" s="509"/>
      <c r="CZ11" s="510"/>
      <c r="DA11" s="508"/>
      <c r="DB11" s="509"/>
      <c r="DC11" s="510"/>
      <c r="DD11" s="511"/>
      <c r="DE11" s="511"/>
      <c r="DF11" s="511"/>
      <c r="DG11" s="508"/>
      <c r="DH11" s="509"/>
      <c r="DI11" s="510"/>
      <c r="DJ11" s="528"/>
      <c r="DK11" s="529"/>
      <c r="DL11" s="530"/>
      <c r="DM11" s="528" t="s">
        <v>172</v>
      </c>
      <c r="DN11" s="529"/>
      <c r="DO11" s="530"/>
      <c r="DP11" s="525" t="s">
        <v>173</v>
      </c>
      <c r="DQ11" s="526"/>
      <c r="DR11" s="527"/>
      <c r="DS11" s="528" t="s">
        <v>174</v>
      </c>
      <c r="DT11" s="529"/>
      <c r="DU11" s="530"/>
      <c r="DV11" s="528" t="s">
        <v>249</v>
      </c>
      <c r="DW11" s="529"/>
      <c r="DX11" s="530"/>
      <c r="DY11" s="528"/>
      <c r="DZ11" s="529"/>
      <c r="EA11" s="530"/>
      <c r="EB11" s="528"/>
      <c r="EC11" s="529"/>
      <c r="ED11" s="530"/>
      <c r="EE11" s="528"/>
      <c r="EF11" s="529"/>
      <c r="EG11" s="530"/>
      <c r="EH11" s="528"/>
      <c r="EI11" s="529"/>
      <c r="EJ11" s="530"/>
      <c r="EK11" s="508"/>
      <c r="EL11" s="509"/>
      <c r="EM11" s="510"/>
      <c r="EN11" s="508"/>
      <c r="EO11" s="509"/>
      <c r="EP11" s="510"/>
      <c r="EQ11" s="508"/>
      <c r="ER11" s="509"/>
      <c r="ES11" s="510"/>
      <c r="ET11" s="511"/>
      <c r="EU11" s="511"/>
      <c r="EV11" s="511"/>
      <c r="EW11" s="508"/>
      <c r="EX11" s="509"/>
      <c r="EY11" s="510"/>
      <c r="FA11" s="163"/>
      <c r="FB11" s="163"/>
      <c r="FC11" s="163"/>
    </row>
    <row r="12" spans="1:159" s="162" customFormat="1" ht="42.75" customHeight="1">
      <c r="A12" s="511"/>
      <c r="B12" s="511"/>
      <c r="C12" s="300" t="s">
        <v>175</v>
      </c>
      <c r="D12" s="301" t="s">
        <v>176</v>
      </c>
      <c r="E12" s="300" t="s">
        <v>177</v>
      </c>
      <c r="F12" s="300" t="s">
        <v>175</v>
      </c>
      <c r="G12" s="300" t="s">
        <v>176</v>
      </c>
      <c r="H12" s="300" t="s">
        <v>177</v>
      </c>
      <c r="I12" s="300" t="s">
        <v>175</v>
      </c>
      <c r="J12" s="300" t="s">
        <v>176</v>
      </c>
      <c r="K12" s="300" t="s">
        <v>177</v>
      </c>
      <c r="L12" s="300" t="s">
        <v>175</v>
      </c>
      <c r="M12" s="300" t="s">
        <v>176</v>
      </c>
      <c r="N12" s="300" t="s">
        <v>177</v>
      </c>
      <c r="O12" s="300" t="s">
        <v>175</v>
      </c>
      <c r="P12" s="300" t="s">
        <v>176</v>
      </c>
      <c r="Q12" s="300" t="s">
        <v>177</v>
      </c>
      <c r="R12" s="300" t="s">
        <v>175</v>
      </c>
      <c r="S12" s="300" t="s">
        <v>176</v>
      </c>
      <c r="T12" s="300" t="s">
        <v>177</v>
      </c>
      <c r="U12" s="300" t="s">
        <v>175</v>
      </c>
      <c r="V12" s="300" t="s">
        <v>176</v>
      </c>
      <c r="W12" s="300" t="s">
        <v>177</v>
      </c>
      <c r="X12" s="300" t="s">
        <v>175</v>
      </c>
      <c r="Y12" s="300" t="s">
        <v>176</v>
      </c>
      <c r="Z12" s="300" t="s">
        <v>177</v>
      </c>
      <c r="AA12" s="300" t="s">
        <v>175</v>
      </c>
      <c r="AB12" s="300" t="s">
        <v>176</v>
      </c>
      <c r="AC12" s="300" t="s">
        <v>177</v>
      </c>
      <c r="AD12" s="300" t="s">
        <v>175</v>
      </c>
      <c r="AE12" s="300" t="s">
        <v>176</v>
      </c>
      <c r="AF12" s="300" t="s">
        <v>177</v>
      </c>
      <c r="AG12" s="300" t="s">
        <v>175</v>
      </c>
      <c r="AH12" s="300" t="s">
        <v>176</v>
      </c>
      <c r="AI12" s="300" t="s">
        <v>177</v>
      </c>
      <c r="AJ12" s="300" t="s">
        <v>175</v>
      </c>
      <c r="AK12" s="300" t="s">
        <v>176</v>
      </c>
      <c r="AL12" s="300" t="s">
        <v>177</v>
      </c>
      <c r="AM12" s="300" t="s">
        <v>175</v>
      </c>
      <c r="AN12" s="300" t="s">
        <v>176</v>
      </c>
      <c r="AO12" s="300" t="s">
        <v>177</v>
      </c>
      <c r="AP12" s="300" t="s">
        <v>175</v>
      </c>
      <c r="AQ12" s="300" t="s">
        <v>176</v>
      </c>
      <c r="AR12" s="300" t="s">
        <v>177</v>
      </c>
      <c r="AS12" s="300" t="s">
        <v>175</v>
      </c>
      <c r="AT12" s="300" t="s">
        <v>176</v>
      </c>
      <c r="AU12" s="300" t="s">
        <v>177</v>
      </c>
      <c r="AV12" s="300" t="s">
        <v>175</v>
      </c>
      <c r="AW12" s="300" t="s">
        <v>176</v>
      </c>
      <c r="AX12" s="300" t="s">
        <v>177</v>
      </c>
      <c r="AY12" s="300" t="s">
        <v>175</v>
      </c>
      <c r="AZ12" s="300" t="s">
        <v>176</v>
      </c>
      <c r="BA12" s="300" t="s">
        <v>177</v>
      </c>
      <c r="BB12" s="300"/>
      <c r="BC12" s="300"/>
      <c r="BD12" s="300"/>
      <c r="BE12" s="300" t="s">
        <v>178</v>
      </c>
      <c r="BF12" s="300" t="s">
        <v>176</v>
      </c>
      <c r="BG12" s="300" t="s">
        <v>177</v>
      </c>
      <c r="BH12" s="300" t="s">
        <v>175</v>
      </c>
      <c r="BI12" s="300" t="s">
        <v>176</v>
      </c>
      <c r="BJ12" s="300" t="s">
        <v>177</v>
      </c>
      <c r="BK12" s="300" t="s">
        <v>175</v>
      </c>
      <c r="BL12" s="300" t="s">
        <v>176</v>
      </c>
      <c r="BM12" s="300" t="s">
        <v>177</v>
      </c>
      <c r="BN12" s="300" t="s">
        <v>178</v>
      </c>
      <c r="BO12" s="300" t="s">
        <v>176</v>
      </c>
      <c r="BP12" s="300" t="s">
        <v>177</v>
      </c>
      <c r="BQ12" s="300" t="s">
        <v>178</v>
      </c>
      <c r="BR12" s="300" t="s">
        <v>176</v>
      </c>
      <c r="BS12" s="300" t="s">
        <v>177</v>
      </c>
      <c r="BT12" s="300" t="s">
        <v>178</v>
      </c>
      <c r="BU12" s="300" t="s">
        <v>176</v>
      </c>
      <c r="BV12" s="300" t="s">
        <v>177</v>
      </c>
      <c r="BW12" s="300" t="s">
        <v>178</v>
      </c>
      <c r="BX12" s="300" t="s">
        <v>176</v>
      </c>
      <c r="BY12" s="300" t="s">
        <v>177</v>
      </c>
      <c r="BZ12" s="300" t="s">
        <v>175</v>
      </c>
      <c r="CA12" s="300" t="s">
        <v>176</v>
      </c>
      <c r="CB12" s="300" t="s">
        <v>177</v>
      </c>
      <c r="CC12" s="300" t="s">
        <v>175</v>
      </c>
      <c r="CD12" s="300" t="s">
        <v>176</v>
      </c>
      <c r="CE12" s="300" t="s">
        <v>177</v>
      </c>
      <c r="CF12" s="300" t="s">
        <v>175</v>
      </c>
      <c r="CG12" s="300" t="s">
        <v>176</v>
      </c>
      <c r="CH12" s="300" t="s">
        <v>177</v>
      </c>
      <c r="CI12" s="300" t="s">
        <v>175</v>
      </c>
      <c r="CJ12" s="300" t="s">
        <v>176</v>
      </c>
      <c r="CK12" s="300" t="s">
        <v>177</v>
      </c>
      <c r="CL12" s="300" t="s">
        <v>175</v>
      </c>
      <c r="CM12" s="300" t="s">
        <v>176</v>
      </c>
      <c r="CN12" s="300" t="s">
        <v>177</v>
      </c>
      <c r="CO12" s="300" t="s">
        <v>175</v>
      </c>
      <c r="CP12" s="300" t="s">
        <v>176</v>
      </c>
      <c r="CQ12" s="300" t="s">
        <v>177</v>
      </c>
      <c r="CR12" s="300" t="s">
        <v>175</v>
      </c>
      <c r="CS12" s="300" t="s">
        <v>176</v>
      </c>
      <c r="CT12" s="300" t="s">
        <v>177</v>
      </c>
      <c r="CU12" s="300" t="s">
        <v>175</v>
      </c>
      <c r="CV12" s="300" t="s">
        <v>176</v>
      </c>
      <c r="CW12" s="300" t="s">
        <v>177</v>
      </c>
      <c r="CX12" s="300" t="s">
        <v>175</v>
      </c>
      <c r="CY12" s="300" t="s">
        <v>176</v>
      </c>
      <c r="CZ12" s="300" t="s">
        <v>177</v>
      </c>
      <c r="DA12" s="300" t="s">
        <v>175</v>
      </c>
      <c r="DB12" s="300" t="s">
        <v>176</v>
      </c>
      <c r="DC12" s="300" t="s">
        <v>177</v>
      </c>
      <c r="DD12" s="300" t="s">
        <v>175</v>
      </c>
      <c r="DE12" s="300" t="s">
        <v>176</v>
      </c>
      <c r="DF12" s="300" t="s">
        <v>177</v>
      </c>
      <c r="DG12" s="300" t="s">
        <v>175</v>
      </c>
      <c r="DH12" s="300" t="s">
        <v>176</v>
      </c>
      <c r="DI12" s="300" t="s">
        <v>177</v>
      </c>
      <c r="DJ12" s="300" t="s">
        <v>175</v>
      </c>
      <c r="DK12" s="300" t="s">
        <v>176</v>
      </c>
      <c r="DL12" s="300" t="s">
        <v>177</v>
      </c>
      <c r="DM12" s="300" t="s">
        <v>175</v>
      </c>
      <c r="DN12" s="300" t="s">
        <v>176</v>
      </c>
      <c r="DO12" s="300" t="s">
        <v>177</v>
      </c>
      <c r="DP12" s="300" t="s">
        <v>175</v>
      </c>
      <c r="DQ12" s="300" t="s">
        <v>176</v>
      </c>
      <c r="DR12" s="300" t="s">
        <v>177</v>
      </c>
      <c r="DS12" s="300" t="s">
        <v>175</v>
      </c>
      <c r="DT12" s="300" t="s">
        <v>176</v>
      </c>
      <c r="DU12" s="300" t="s">
        <v>177</v>
      </c>
      <c r="DV12" s="300" t="s">
        <v>175</v>
      </c>
      <c r="DW12" s="300" t="s">
        <v>176</v>
      </c>
      <c r="DX12" s="300" t="s">
        <v>177</v>
      </c>
      <c r="DY12" s="300" t="s">
        <v>175</v>
      </c>
      <c r="DZ12" s="300" t="s">
        <v>176</v>
      </c>
      <c r="EA12" s="300" t="s">
        <v>177</v>
      </c>
      <c r="EB12" s="300" t="s">
        <v>175</v>
      </c>
      <c r="EC12" s="300" t="s">
        <v>176</v>
      </c>
      <c r="ED12" s="300" t="s">
        <v>177</v>
      </c>
      <c r="EE12" s="300" t="s">
        <v>175</v>
      </c>
      <c r="EF12" s="300" t="s">
        <v>176</v>
      </c>
      <c r="EG12" s="300" t="s">
        <v>177</v>
      </c>
      <c r="EH12" s="300" t="s">
        <v>175</v>
      </c>
      <c r="EI12" s="300" t="s">
        <v>176</v>
      </c>
      <c r="EJ12" s="300" t="s">
        <v>177</v>
      </c>
      <c r="EK12" s="300" t="s">
        <v>175</v>
      </c>
      <c r="EL12" s="300" t="s">
        <v>176</v>
      </c>
      <c r="EM12" s="300" t="s">
        <v>177</v>
      </c>
      <c r="EN12" s="300" t="s">
        <v>175</v>
      </c>
      <c r="EO12" s="300" t="s">
        <v>176</v>
      </c>
      <c r="EP12" s="300" t="s">
        <v>177</v>
      </c>
      <c r="EQ12" s="300" t="s">
        <v>175</v>
      </c>
      <c r="ER12" s="300" t="s">
        <v>176</v>
      </c>
      <c r="ES12" s="300" t="s">
        <v>177</v>
      </c>
      <c r="ET12" s="300" t="s">
        <v>175</v>
      </c>
      <c r="EU12" s="300" t="s">
        <v>176</v>
      </c>
      <c r="EV12" s="300" t="s">
        <v>177</v>
      </c>
      <c r="EW12" s="300" t="s">
        <v>175</v>
      </c>
      <c r="EX12" s="300" t="s">
        <v>176</v>
      </c>
      <c r="EY12" s="300" t="s">
        <v>177</v>
      </c>
      <c r="FA12" s="163"/>
      <c r="FB12" s="163"/>
      <c r="FC12" s="163"/>
    </row>
    <row r="13" spans="1:159" s="162" customFormat="1" ht="14.25" customHeight="1">
      <c r="A13" s="302">
        <v>1</v>
      </c>
      <c r="B13" s="300">
        <v>2</v>
      </c>
      <c r="C13" s="302">
        <v>3</v>
      </c>
      <c r="D13" s="301">
        <v>4</v>
      </c>
      <c r="E13" s="302">
        <v>5</v>
      </c>
      <c r="F13" s="300">
        <v>6</v>
      </c>
      <c r="G13" s="302">
        <v>7</v>
      </c>
      <c r="H13" s="300">
        <v>8</v>
      </c>
      <c r="I13" s="302">
        <v>9</v>
      </c>
      <c r="J13" s="300">
        <v>10</v>
      </c>
      <c r="K13" s="302">
        <v>11</v>
      </c>
      <c r="L13" s="302">
        <v>12</v>
      </c>
      <c r="M13" s="302">
        <v>13</v>
      </c>
      <c r="N13" s="302">
        <v>14</v>
      </c>
      <c r="O13" s="302">
        <v>15</v>
      </c>
      <c r="P13" s="302">
        <v>16</v>
      </c>
      <c r="Q13" s="302">
        <v>17</v>
      </c>
      <c r="R13" s="302">
        <v>18</v>
      </c>
      <c r="S13" s="302">
        <v>19</v>
      </c>
      <c r="T13" s="302">
        <v>20</v>
      </c>
      <c r="U13" s="302">
        <v>21</v>
      </c>
      <c r="V13" s="302">
        <v>22</v>
      </c>
      <c r="W13" s="302">
        <v>23</v>
      </c>
      <c r="X13" s="300">
        <v>24</v>
      </c>
      <c r="Y13" s="302">
        <v>25</v>
      </c>
      <c r="Z13" s="300">
        <v>26</v>
      </c>
      <c r="AA13" s="302">
        <v>27</v>
      </c>
      <c r="AB13" s="300">
        <v>28</v>
      </c>
      <c r="AC13" s="302">
        <v>29</v>
      </c>
      <c r="AD13" s="300">
        <v>30</v>
      </c>
      <c r="AE13" s="302">
        <v>31</v>
      </c>
      <c r="AF13" s="300">
        <v>32</v>
      </c>
      <c r="AG13" s="302">
        <v>33</v>
      </c>
      <c r="AH13" s="300">
        <v>34</v>
      </c>
      <c r="AI13" s="302">
        <v>35</v>
      </c>
      <c r="AJ13" s="302">
        <v>36</v>
      </c>
      <c r="AK13" s="302">
        <v>37</v>
      </c>
      <c r="AL13" s="302">
        <v>38</v>
      </c>
      <c r="AM13" s="300">
        <v>39</v>
      </c>
      <c r="AN13" s="302">
        <v>40</v>
      </c>
      <c r="AO13" s="300">
        <v>41</v>
      </c>
      <c r="AP13" s="302">
        <v>42</v>
      </c>
      <c r="AQ13" s="300">
        <v>43</v>
      </c>
      <c r="AR13" s="302">
        <v>44</v>
      </c>
      <c r="AS13" s="302">
        <v>45</v>
      </c>
      <c r="AT13" s="300">
        <v>46</v>
      </c>
      <c r="AU13" s="302">
        <v>47</v>
      </c>
      <c r="AV13" s="302">
        <v>48</v>
      </c>
      <c r="AW13" s="300">
        <v>49</v>
      </c>
      <c r="AX13" s="302">
        <v>50</v>
      </c>
      <c r="AY13" s="302">
        <v>48</v>
      </c>
      <c r="AZ13" s="300">
        <v>49</v>
      </c>
      <c r="BA13" s="302">
        <v>50</v>
      </c>
      <c r="BB13" s="302">
        <v>51</v>
      </c>
      <c r="BC13" s="302">
        <v>52</v>
      </c>
      <c r="BD13" s="302">
        <v>56</v>
      </c>
      <c r="BE13" s="300">
        <v>51</v>
      </c>
      <c r="BF13" s="302">
        <v>52</v>
      </c>
      <c r="BG13" s="300">
        <v>53</v>
      </c>
      <c r="BH13" s="302">
        <v>60</v>
      </c>
      <c r="BI13" s="303">
        <v>61</v>
      </c>
      <c r="BJ13" s="304">
        <v>62</v>
      </c>
      <c r="BK13" s="302">
        <v>63</v>
      </c>
      <c r="BL13" s="302">
        <v>64</v>
      </c>
      <c r="BM13" s="302">
        <v>65</v>
      </c>
      <c r="BN13" s="302">
        <v>66</v>
      </c>
      <c r="BO13" s="302">
        <v>67</v>
      </c>
      <c r="BP13" s="302">
        <v>68</v>
      </c>
      <c r="BQ13" s="300">
        <v>54</v>
      </c>
      <c r="BR13" s="302">
        <v>55</v>
      </c>
      <c r="BS13" s="300">
        <v>56</v>
      </c>
      <c r="BT13" s="302">
        <v>72</v>
      </c>
      <c r="BU13" s="300">
        <v>73</v>
      </c>
      <c r="BV13" s="302">
        <v>74</v>
      </c>
      <c r="BW13" s="300">
        <v>75</v>
      </c>
      <c r="BX13" s="302">
        <v>76</v>
      </c>
      <c r="BY13" s="300">
        <v>77</v>
      </c>
      <c r="BZ13" s="302">
        <v>57</v>
      </c>
      <c r="CA13" s="300">
        <v>58</v>
      </c>
      <c r="CB13" s="302">
        <v>59</v>
      </c>
      <c r="CC13" s="300">
        <v>60</v>
      </c>
      <c r="CD13" s="302">
        <v>61</v>
      </c>
      <c r="CE13" s="300">
        <v>62</v>
      </c>
      <c r="CF13" s="302">
        <v>63</v>
      </c>
      <c r="CG13" s="300">
        <v>64</v>
      </c>
      <c r="CH13" s="302">
        <v>65</v>
      </c>
      <c r="CI13" s="300">
        <v>66</v>
      </c>
      <c r="CJ13" s="302">
        <v>67</v>
      </c>
      <c r="CK13" s="300">
        <v>68</v>
      </c>
      <c r="CL13" s="302">
        <v>69</v>
      </c>
      <c r="CM13" s="300">
        <v>70</v>
      </c>
      <c r="CN13" s="302">
        <v>71</v>
      </c>
      <c r="CO13" s="302">
        <v>72</v>
      </c>
      <c r="CP13" s="302">
        <v>73</v>
      </c>
      <c r="CQ13" s="302">
        <v>74</v>
      </c>
      <c r="CR13" s="302">
        <v>75</v>
      </c>
      <c r="CS13" s="302">
        <v>76</v>
      </c>
      <c r="CT13" s="302">
        <v>77</v>
      </c>
      <c r="CU13" s="302">
        <v>78</v>
      </c>
      <c r="CV13" s="302">
        <v>79</v>
      </c>
      <c r="CW13" s="302">
        <v>80</v>
      </c>
      <c r="CX13" s="300">
        <v>96</v>
      </c>
      <c r="CY13" s="302">
        <v>97</v>
      </c>
      <c r="CZ13" s="300">
        <v>98</v>
      </c>
      <c r="DA13" s="300">
        <v>99</v>
      </c>
      <c r="DB13" s="300">
        <v>100</v>
      </c>
      <c r="DC13" s="300">
        <v>101</v>
      </c>
      <c r="DD13" s="300">
        <v>102</v>
      </c>
      <c r="DE13" s="300">
        <v>103</v>
      </c>
      <c r="DF13" s="300">
        <v>104</v>
      </c>
      <c r="DG13" s="302">
        <v>81</v>
      </c>
      <c r="DH13" s="300">
        <v>82</v>
      </c>
      <c r="DI13" s="302">
        <v>83</v>
      </c>
      <c r="DJ13" s="300">
        <v>84</v>
      </c>
      <c r="DK13" s="302">
        <v>85</v>
      </c>
      <c r="DL13" s="300">
        <v>86</v>
      </c>
      <c r="DM13" s="302">
        <v>87</v>
      </c>
      <c r="DN13" s="300">
        <v>88</v>
      </c>
      <c r="DO13" s="302">
        <v>89</v>
      </c>
      <c r="DP13" s="300">
        <v>90</v>
      </c>
      <c r="DQ13" s="302">
        <v>91</v>
      </c>
      <c r="DR13" s="300">
        <v>92</v>
      </c>
      <c r="DS13" s="302">
        <v>93</v>
      </c>
      <c r="DT13" s="300">
        <v>94</v>
      </c>
      <c r="DU13" s="302">
        <v>95</v>
      </c>
      <c r="DV13" s="300">
        <v>96</v>
      </c>
      <c r="DW13" s="300">
        <v>97</v>
      </c>
      <c r="DX13" s="300">
        <v>98</v>
      </c>
      <c r="DY13" s="302">
        <v>99</v>
      </c>
      <c r="DZ13" s="300">
        <v>100</v>
      </c>
      <c r="EA13" s="302">
        <v>101</v>
      </c>
      <c r="EB13" s="300">
        <v>102</v>
      </c>
      <c r="EC13" s="302">
        <v>103</v>
      </c>
      <c r="ED13" s="300">
        <v>104</v>
      </c>
      <c r="EE13" s="302">
        <v>105</v>
      </c>
      <c r="EF13" s="300">
        <v>106</v>
      </c>
      <c r="EG13" s="302">
        <v>107</v>
      </c>
      <c r="EH13" s="300">
        <v>108</v>
      </c>
      <c r="EI13" s="302">
        <v>109</v>
      </c>
      <c r="EJ13" s="300">
        <v>110</v>
      </c>
      <c r="EK13" s="302">
        <v>111</v>
      </c>
      <c r="EL13" s="300">
        <v>112</v>
      </c>
      <c r="EM13" s="302">
        <v>113</v>
      </c>
      <c r="EN13" s="300">
        <v>114</v>
      </c>
      <c r="EO13" s="302">
        <v>115</v>
      </c>
      <c r="EP13" s="300">
        <v>116</v>
      </c>
      <c r="EQ13" s="302">
        <v>117</v>
      </c>
      <c r="ER13" s="300">
        <v>118</v>
      </c>
      <c r="ES13" s="302">
        <v>119</v>
      </c>
      <c r="ET13" s="300">
        <v>120</v>
      </c>
      <c r="EU13" s="302">
        <v>121</v>
      </c>
      <c r="EV13" s="300">
        <v>122</v>
      </c>
      <c r="EW13" s="302">
        <v>123</v>
      </c>
      <c r="EX13" s="300">
        <v>124</v>
      </c>
      <c r="EY13" s="302">
        <v>125</v>
      </c>
    </row>
    <row r="14" spans="1:159" s="162" customFormat="1" ht="15" customHeight="1">
      <c r="A14" s="352">
        <v>1</v>
      </c>
      <c r="B14" s="353" t="s">
        <v>303</v>
      </c>
      <c r="C14" s="305">
        <f>F14+BZ14</f>
        <v>4072.7995200000005</v>
      </c>
      <c r="D14" s="306">
        <f t="shared" ref="D14:D29" si="0">G14+CA14+CY14</f>
        <v>3734.6574000000001</v>
      </c>
      <c r="E14" s="307">
        <f t="shared" ref="E14:E29" si="1">D14/C14*100</f>
        <v>91.697550583093758</v>
      </c>
      <c r="F14" s="308">
        <f t="shared" ref="F14:F29" si="2">I14+X14+AA14+AD14+AG14+AM14+AS14+BE14+BQ14+BN14+AJ14+AY14+L14+R14+O14+U14+AP14</f>
        <v>653.81500000000005</v>
      </c>
      <c r="G14" s="308">
        <f t="shared" ref="G14:G29" si="3">J14+Y14+AB14+AE14+AH14+AN14+AT14+BF14+AK14+BR14+BO14+AZ14+M14+S14+P14+V14+AQ14</f>
        <v>644.89884000000006</v>
      </c>
      <c r="H14" s="307">
        <f>G14/F14*100</f>
        <v>98.636287023087576</v>
      </c>
      <c r="I14" s="309">
        <f>Але!C6</f>
        <v>83.85</v>
      </c>
      <c r="J14" s="474">
        <f>Але!D6</f>
        <v>64.770740000000004</v>
      </c>
      <c r="K14" s="307">
        <f>J14/I14*100</f>
        <v>77.245963029218856</v>
      </c>
      <c r="L14" s="307">
        <f>Але!C8</f>
        <v>82.8</v>
      </c>
      <c r="M14" s="307">
        <f>Але!D8</f>
        <v>112.55817999999999</v>
      </c>
      <c r="N14" s="307">
        <f>M14/L14*100</f>
        <v>135.93983091787439</v>
      </c>
      <c r="O14" s="307">
        <f>Але!C9</f>
        <v>0.86499999999999999</v>
      </c>
      <c r="P14" s="307">
        <f>Але!D9</f>
        <v>0.82882999999999996</v>
      </c>
      <c r="Q14" s="307">
        <f>P14/O14*100</f>
        <v>95.818497109826581</v>
      </c>
      <c r="R14" s="307">
        <f>Але!C10</f>
        <v>138.30000000000001</v>
      </c>
      <c r="S14" s="307">
        <f>Але!D10</f>
        <v>151.20884000000001</v>
      </c>
      <c r="T14" s="307">
        <f>S14/R14*100</f>
        <v>109.33394070860447</v>
      </c>
      <c r="U14" s="307">
        <f>Але!C11</f>
        <v>0</v>
      </c>
      <c r="V14" s="311">
        <f>Але!D11</f>
        <v>-16.951699999999999</v>
      </c>
      <c r="W14" s="307" t="e">
        <f>V14/U14*100</f>
        <v>#DIV/0!</v>
      </c>
      <c r="X14" s="312">
        <f>Але!C13</f>
        <v>42</v>
      </c>
      <c r="Y14" s="473">
        <f>Але!D13</f>
        <v>40.129199999999997</v>
      </c>
      <c r="Z14" s="307">
        <f>Y14/X14*100</f>
        <v>95.545714285714283</v>
      </c>
      <c r="AA14" s="312">
        <f>Але!C15</f>
        <v>40</v>
      </c>
      <c r="AB14" s="313">
        <f>Але!D15</f>
        <v>45.584150000000001</v>
      </c>
      <c r="AC14" s="307">
        <f>AB14/AA14*100</f>
        <v>113.960375</v>
      </c>
      <c r="AD14" s="312">
        <f>Але!C16</f>
        <v>200</v>
      </c>
      <c r="AE14" s="312">
        <f>Але!D16</f>
        <v>184.50138999999999</v>
      </c>
      <c r="AF14" s="307">
        <f t="shared" ref="AF14:AF29" si="4">AE14/AD14*100</f>
        <v>92.250694999999993</v>
      </c>
      <c r="AG14" s="307">
        <f>Але!C18</f>
        <v>5</v>
      </c>
      <c r="AH14" s="307">
        <f>Але!D18</f>
        <v>1.6</v>
      </c>
      <c r="AI14" s="307">
        <f>AH14/AG14*100</f>
        <v>32</v>
      </c>
      <c r="AJ14" s="307"/>
      <c r="AK14" s="307"/>
      <c r="AL14" s="314" t="e">
        <f t="shared" ref="AL14:AL23" si="5">AK14/AJ14*100</f>
        <v>#DIV/0!</v>
      </c>
      <c r="AM14" s="312">
        <v>0</v>
      </c>
      <c r="AN14" s="312">
        <v>0</v>
      </c>
      <c r="AO14" s="314" t="e">
        <f t="shared" ref="AO14:AO29" si="6">AN14/AM14*100</f>
        <v>#DIV/0!</v>
      </c>
      <c r="AP14" s="312">
        <f>Але!C27</f>
        <v>55</v>
      </c>
      <c r="AQ14" s="315">
        <f>Але!D27</f>
        <v>54.284680000000002</v>
      </c>
      <c r="AR14" s="307">
        <f>AQ14/AP14*100</f>
        <v>98.699418181818189</v>
      </c>
      <c r="AS14" s="316">
        <f>Але!C28</f>
        <v>0</v>
      </c>
      <c r="AT14" s="315">
        <f>Але!D28</f>
        <v>0</v>
      </c>
      <c r="AU14" s="307" t="e">
        <f>AT14/AS14*100</f>
        <v>#DIV/0!</v>
      </c>
      <c r="AV14" s="312"/>
      <c r="AW14" s="312"/>
      <c r="AX14" s="307" t="e">
        <f>AW14/AV14*100</f>
        <v>#DIV/0!</v>
      </c>
      <c r="AY14" s="307">
        <f>Але!C29</f>
        <v>6</v>
      </c>
      <c r="AZ14" s="317">
        <f>Але!D29</f>
        <v>6.3845299999999998</v>
      </c>
      <c r="BA14" s="307">
        <f>AZ14/AY14*100</f>
        <v>106.40883333333333</v>
      </c>
      <c r="BB14" s="307">
        <f>Але!C30</f>
        <v>6</v>
      </c>
      <c r="BC14" s="307">
        <f>Але!D30</f>
        <v>6.3845299999999998</v>
      </c>
      <c r="BD14" s="307">
        <f>BC14/BB14*100</f>
        <v>106.40883333333333</v>
      </c>
      <c r="BE14" s="307">
        <f>Але!C32</f>
        <v>0</v>
      </c>
      <c r="BF14" s="307">
        <f>Але!D31</f>
        <v>0</v>
      </c>
      <c r="BG14" s="307" t="e">
        <f>BF14/BE14*100</f>
        <v>#DIV/0!</v>
      </c>
      <c r="BH14" s="307"/>
      <c r="BI14" s="307"/>
      <c r="BJ14" s="307" t="e">
        <f>BI14/BH14*100</f>
        <v>#DIV/0!</v>
      </c>
      <c r="BK14" s="307"/>
      <c r="BL14" s="307"/>
      <c r="BM14" s="307"/>
      <c r="BN14" s="307"/>
      <c r="BO14" s="318"/>
      <c r="BP14" s="307" t="e">
        <f>BO14/BN14*100</f>
        <v>#DIV/0!</v>
      </c>
      <c r="BQ14" s="307">
        <f>Але!C34</f>
        <v>0</v>
      </c>
      <c r="BR14" s="307">
        <f>Але!D35</f>
        <v>0</v>
      </c>
      <c r="BS14" s="307" t="e">
        <f>BR14/BQ14*100</f>
        <v>#DIV/0!</v>
      </c>
      <c r="BT14" s="307"/>
      <c r="BU14" s="307"/>
      <c r="BV14" s="319" t="e">
        <f>BT14/BU14*100</f>
        <v>#DIV/0!</v>
      </c>
      <c r="BW14" s="319"/>
      <c r="BX14" s="319"/>
      <c r="BY14" s="319" t="e">
        <f>BW14/BX14*100</f>
        <v>#DIV/0!</v>
      </c>
      <c r="BZ14" s="312">
        <f>CC14+CF14+CI14+CL14+CR14+CO14</f>
        <v>3418.9845200000004</v>
      </c>
      <c r="CA14" s="343">
        <f>CD14+CG14+CJ14+CM14+CS14+CP14+CV14</f>
        <v>3089.7585599999998</v>
      </c>
      <c r="CB14" s="307">
        <f>CA14/BZ14*100</f>
        <v>90.37065075685102</v>
      </c>
      <c r="CC14" s="314">
        <f>Але!C39</f>
        <v>1200.7</v>
      </c>
      <c r="CD14" s="314">
        <f>Але!D39</f>
        <v>1120.7059999999999</v>
      </c>
      <c r="CE14" s="307">
        <f>CD14/CC14*100</f>
        <v>93.337719663529597</v>
      </c>
      <c r="CF14" s="307">
        <f>Але!C40</f>
        <v>452.20800000000003</v>
      </c>
      <c r="CG14" s="307">
        <f>Але!D40</f>
        <v>340</v>
      </c>
      <c r="CH14" s="307">
        <f>CG14/CF14*100</f>
        <v>75.186639776386087</v>
      </c>
      <c r="CI14" s="307">
        <f>Але!C41</f>
        <v>1555.6595600000001</v>
      </c>
      <c r="CJ14" s="307">
        <f>Але!D41</f>
        <v>1455.5975599999999</v>
      </c>
      <c r="CK14" s="307">
        <f t="shared" ref="CK14:CK29" si="7">CJ14/CI14*100</f>
        <v>93.567872909160144</v>
      </c>
      <c r="CL14" s="307">
        <f>Але!C42</f>
        <v>91.480999999999995</v>
      </c>
      <c r="CM14" s="307">
        <f>Але!D42</f>
        <v>82.450999999999993</v>
      </c>
      <c r="CN14" s="307">
        <f t="shared" ref="CN14:CN31" si="8">CM14/CL14*100</f>
        <v>90.12909784545424</v>
      </c>
      <c r="CO14" s="307">
        <f>Але!C44</f>
        <v>58.457999999999998</v>
      </c>
      <c r="CP14" s="318">
        <v>30.504000000000001</v>
      </c>
      <c r="CQ14" s="307"/>
      <c r="CR14" s="311">
        <f>Але!C43</f>
        <v>60.477960000000003</v>
      </c>
      <c r="CS14" s="307">
        <f>Але!D43</f>
        <v>60.5</v>
      </c>
      <c r="CT14" s="307">
        <f t="shared" ref="CT14:CT31" si="9">CS14/CR14*100</f>
        <v>100.03644302817092</v>
      </c>
      <c r="CU14" s="307"/>
      <c r="CV14" s="307">
        <f>Але!D45</f>
        <v>0</v>
      </c>
      <c r="CW14" s="307" t="e">
        <f>CV13:CV14/CU14*100</f>
        <v>#DIV/0!</v>
      </c>
      <c r="CX14" s="312"/>
      <c r="CY14" s="312"/>
      <c r="CZ14" s="307" t="e">
        <f>CY14/CX14*100</f>
        <v>#DIV/0!</v>
      </c>
      <c r="DA14" s="307"/>
      <c r="DB14" s="307"/>
      <c r="DC14" s="307"/>
      <c r="DD14" s="307"/>
      <c r="DE14" s="307"/>
      <c r="DF14" s="307"/>
      <c r="DG14" s="316">
        <f>DJ14+DY14+EB14+EE14+EH14+EK14+EN14+EQ14+ET14</f>
        <v>4286.6357599999992</v>
      </c>
      <c r="DH14" s="316">
        <f>DK14+DZ14+EC14+EF14+EI14+EL14+EO14+ER14+EU14</f>
        <v>3766.1251699999993</v>
      </c>
      <c r="DI14" s="307">
        <f>DH14/DG14*100</f>
        <v>87.857363696326743</v>
      </c>
      <c r="DJ14" s="312">
        <f>DM14+DP14+DS14+DV14</f>
        <v>1111.3700000000001</v>
      </c>
      <c r="DK14" s="312">
        <f>DN14+DQ14+DT14+DW14</f>
        <v>900.44708000000003</v>
      </c>
      <c r="DL14" s="307">
        <f>DK14/DJ14*100</f>
        <v>81.021359223300962</v>
      </c>
      <c r="DM14" s="307">
        <f>Але!C54</f>
        <v>1104.0540000000001</v>
      </c>
      <c r="DN14" s="318">
        <f>Але!D54</f>
        <v>898.13157999999999</v>
      </c>
      <c r="DO14" s="307">
        <f>DN14/DM14*100</f>
        <v>81.348519184750018</v>
      </c>
      <c r="DP14" s="307">
        <f>Але!C57</f>
        <v>0</v>
      </c>
      <c r="DQ14" s="307">
        <f>Але!D57</f>
        <v>0</v>
      </c>
      <c r="DR14" s="307" t="e">
        <f>DQ14/DP14*100</f>
        <v>#DIV/0!</v>
      </c>
      <c r="DS14" s="307">
        <f>Але!C58</f>
        <v>5</v>
      </c>
      <c r="DT14" s="307">
        <f>Але!D58</f>
        <v>0</v>
      </c>
      <c r="DU14" s="307">
        <f>DT14/DS14*100</f>
        <v>0</v>
      </c>
      <c r="DV14" s="307">
        <f>Але!C59</f>
        <v>2.3159999999999998</v>
      </c>
      <c r="DW14" s="307">
        <f>Але!D59</f>
        <v>2.3155000000000001</v>
      </c>
      <c r="DX14" s="307">
        <f>DW14/DV14*100</f>
        <v>99.978411053540597</v>
      </c>
      <c r="DY14" s="307">
        <f>Але!C61</f>
        <v>89.944999999999993</v>
      </c>
      <c r="DZ14" s="307">
        <f>Але!D61</f>
        <v>76.161209999999997</v>
      </c>
      <c r="EA14" s="307">
        <f>DZ14/DY14*100</f>
        <v>84.675312691089005</v>
      </c>
      <c r="EB14" s="307">
        <f>Але!C62</f>
        <v>16.035110000000003</v>
      </c>
      <c r="EC14" s="344">
        <f>Але!D62</f>
        <v>9.4750899999999998</v>
      </c>
      <c r="ED14" s="307">
        <f>EC14/EB14*100</f>
        <v>59.089647654428305</v>
      </c>
      <c r="EE14" s="312">
        <f>Але!C68</f>
        <v>2191.1391499999995</v>
      </c>
      <c r="EF14" s="312">
        <f>Але!D68</f>
        <v>2000.83484</v>
      </c>
      <c r="EG14" s="307">
        <f>EF14/EE14*100</f>
        <v>91.314823159451123</v>
      </c>
      <c r="EH14" s="312">
        <f>Але!C73</f>
        <v>588.04650000000004</v>
      </c>
      <c r="EI14" s="312">
        <f>Але!D73</f>
        <v>491.60194999999999</v>
      </c>
      <c r="EJ14" s="307">
        <f>EI14/EH14*100</f>
        <v>83.599162651252911</v>
      </c>
      <c r="EK14" s="312">
        <f>Але!C77</f>
        <v>276.10000000000002</v>
      </c>
      <c r="EL14" s="320">
        <f>Але!D77</f>
        <v>273.65499999999997</v>
      </c>
      <c r="EM14" s="307">
        <f t="shared" ref="EM14:EM29" si="10">EL14/EK14*100</f>
        <v>99.114451285766009</v>
      </c>
      <c r="EN14" s="307">
        <f>Але!C79</f>
        <v>0</v>
      </c>
      <c r="EO14" s="307">
        <f>Але!D79</f>
        <v>0</v>
      </c>
      <c r="EP14" s="307" t="e">
        <f t="shared" ref="EP14:EP29" si="11">EO14/EN14*100</f>
        <v>#DIV/0!</v>
      </c>
      <c r="EQ14" s="308">
        <f>Але!C84</f>
        <v>14</v>
      </c>
      <c r="ER14" s="308">
        <f>Але!D84</f>
        <v>13.95</v>
      </c>
      <c r="ES14" s="307">
        <f>ER14/EQ14*100</f>
        <v>99.642857142857139</v>
      </c>
      <c r="ET14" s="307">
        <f>Але!C90</f>
        <v>0</v>
      </c>
      <c r="EU14" s="307">
        <f>Але!D90</f>
        <v>0</v>
      </c>
      <c r="EV14" s="307" t="e">
        <f>EU14/ET14*100</f>
        <v>#DIV/0!</v>
      </c>
      <c r="EW14" s="321">
        <f t="shared" ref="EW14:EW29" si="12">SUM(C14-DG14)</f>
        <v>-213.83623999999872</v>
      </c>
      <c r="EX14" s="321">
        <f t="shared" ref="EX14:EX29" si="13">SUM(D14-DH14)</f>
        <v>-31.467769999999291</v>
      </c>
      <c r="EY14" s="307">
        <f>EX14/EW14*100%</f>
        <v>0.1471582646608427</v>
      </c>
      <c r="EZ14" s="164"/>
      <c r="FA14" s="165"/>
      <c r="FC14" s="165"/>
    </row>
    <row r="15" spans="1:159" s="166" customFormat="1" ht="15" customHeight="1">
      <c r="A15" s="352">
        <v>2</v>
      </c>
      <c r="B15" s="354" t="s">
        <v>304</v>
      </c>
      <c r="C15" s="305">
        <f t="shared" ref="C15:C29" si="14">F15+BZ15</f>
        <v>13220.769680000001</v>
      </c>
      <c r="D15" s="306">
        <f>G15+CA15+CY15</f>
        <v>12054.12758</v>
      </c>
      <c r="E15" s="314">
        <f t="shared" si="1"/>
        <v>91.175686981637199</v>
      </c>
      <c r="F15" s="308">
        <f t="shared" si="2"/>
        <v>3935.44</v>
      </c>
      <c r="G15" s="308">
        <f>J15+Y15+AB15+AE15+AH15+AN15+AT15+BF15+AK15+BR15+BO15+AZ15+M15+S15+P15+V15+AQ15</f>
        <v>3350.29907</v>
      </c>
      <c r="H15" s="314">
        <f t="shared" ref="H15:H29" si="15">G15/F15*100</f>
        <v>85.131499146219994</v>
      </c>
      <c r="I15" s="322">
        <f>Сун!C6</f>
        <v>443.71499999999997</v>
      </c>
      <c r="J15" s="475">
        <f>Сун!D6</f>
        <v>322.68468000000001</v>
      </c>
      <c r="K15" s="314">
        <f t="shared" ref="K15:K29" si="16">J15/I15*100</f>
        <v>72.72341029715021</v>
      </c>
      <c r="L15" s="314">
        <f>Сун!C8</f>
        <v>237.12</v>
      </c>
      <c r="M15" s="314">
        <f>Сун!D8</f>
        <v>322.37538000000001</v>
      </c>
      <c r="N15" s="307">
        <f t="shared" ref="N15:N29" si="17">M15/L15*100</f>
        <v>135.95452935222673</v>
      </c>
      <c r="O15" s="307">
        <f>Сун!C9</f>
        <v>2.5049999999999999</v>
      </c>
      <c r="P15" s="307">
        <f>Сун!D9</f>
        <v>2.3738600000000001</v>
      </c>
      <c r="Q15" s="307">
        <f t="shared" ref="Q15:Q29" si="18">P15/O15*100</f>
        <v>94.764870259481043</v>
      </c>
      <c r="R15" s="307">
        <f>Сун!C10</f>
        <v>396.1</v>
      </c>
      <c r="S15" s="307">
        <f>Сун!D10</f>
        <v>433.07387</v>
      </c>
      <c r="T15" s="307">
        <f t="shared" ref="T15:T29" si="19">S15/R15*100</f>
        <v>109.33447866700328</v>
      </c>
      <c r="U15" s="307">
        <f>Сун!C11</f>
        <v>0</v>
      </c>
      <c r="V15" s="311">
        <f>Сун!D11</f>
        <v>-48.551009999999998</v>
      </c>
      <c r="W15" s="307" t="e">
        <f t="shared" ref="W15:W29" si="20">V15/U15*100</f>
        <v>#DIV/0!</v>
      </c>
      <c r="X15" s="322">
        <f>Сун!C13</f>
        <v>40</v>
      </c>
      <c r="Y15" s="322">
        <f>Сун!D13</f>
        <v>38.458449999999999</v>
      </c>
      <c r="Z15" s="314">
        <f t="shared" ref="Z15:Z29" si="21">Y15/X15*100</f>
        <v>96.146124999999998</v>
      </c>
      <c r="AA15" s="322">
        <f>Сун!C15</f>
        <v>1098</v>
      </c>
      <c r="AB15" s="313">
        <f>Сун!D15</f>
        <v>921.35293999999999</v>
      </c>
      <c r="AC15" s="314">
        <f t="shared" ref="AC15:AC29" si="22">AB15/AA15*100</f>
        <v>83.911925318761377</v>
      </c>
      <c r="AD15" s="322">
        <f>Сун!C16</f>
        <v>1285</v>
      </c>
      <c r="AE15" s="322">
        <f>Сун!D16</f>
        <v>1089.4389200000001</v>
      </c>
      <c r="AF15" s="314">
        <f t="shared" si="4"/>
        <v>84.781238910505834</v>
      </c>
      <c r="AG15" s="314">
        <f>Сун!C18</f>
        <v>13</v>
      </c>
      <c r="AH15" s="314">
        <f>Сун!D18</f>
        <v>15.45</v>
      </c>
      <c r="AI15" s="314">
        <f t="shared" ref="AI15:AI31" si="23">AH15/AG15*100</f>
        <v>118.84615384615384</v>
      </c>
      <c r="AJ15" s="314"/>
      <c r="AK15" s="314"/>
      <c r="AL15" s="314" t="e">
        <f t="shared" si="5"/>
        <v>#DIV/0!</v>
      </c>
      <c r="AM15" s="322">
        <f>Сун!C27</f>
        <v>0</v>
      </c>
      <c r="AN15" s="322">
        <f>Сун!D27</f>
        <v>0</v>
      </c>
      <c r="AO15" s="314" t="e">
        <f t="shared" si="6"/>
        <v>#DIV/0!</v>
      </c>
      <c r="AP15" s="322">
        <f>Сун!C28</f>
        <v>200</v>
      </c>
      <c r="AQ15" s="323">
        <f>Сун!D28</f>
        <v>27.2</v>
      </c>
      <c r="AR15" s="314">
        <f t="shared" ref="AR15:AR29" si="24">AQ15/AP15*100</f>
        <v>13.600000000000001</v>
      </c>
      <c r="AS15" s="316">
        <f>Сун!C29</f>
        <v>20</v>
      </c>
      <c r="AT15" s="323">
        <f>Сун!D29</f>
        <v>45.767000000000003</v>
      </c>
      <c r="AU15" s="314">
        <f t="shared" ref="AU15:AU29" si="25">AT15/AS15*100</f>
        <v>228.83500000000004</v>
      </c>
      <c r="AV15" s="322"/>
      <c r="AW15" s="322"/>
      <c r="AX15" s="314" t="e">
        <f t="shared" ref="AX15:AX29" si="26">AW15/AV15*100</f>
        <v>#DIV/0!</v>
      </c>
      <c r="AY15" s="314">
        <f>Сун!C31</f>
        <v>200</v>
      </c>
      <c r="AZ15" s="317">
        <f>Сун!D31</f>
        <v>180.67498000000001</v>
      </c>
      <c r="BA15" s="314">
        <f t="shared" ref="BA15:BA31" si="27">AZ15/AY15*100</f>
        <v>90.337490000000003</v>
      </c>
      <c r="BB15" s="314"/>
      <c r="BC15" s="314"/>
      <c r="BD15" s="314"/>
      <c r="BE15" s="314">
        <f>Сун!C32</f>
        <v>0</v>
      </c>
      <c r="BF15" s="314">
        <f>Сун!D32</f>
        <v>0</v>
      </c>
      <c r="BG15" s="314" t="e">
        <f t="shared" ref="BG15:BG31" si="28">BF15/BE15*100</f>
        <v>#DIV/0!</v>
      </c>
      <c r="BH15" s="314"/>
      <c r="BI15" s="314"/>
      <c r="BJ15" s="314" t="e">
        <f t="shared" ref="BJ15:BJ29" si="29">BI15/BH15*100</f>
        <v>#DIV/0!</v>
      </c>
      <c r="BK15" s="314">
        <f>Сун!C35</f>
        <v>0</v>
      </c>
      <c r="BL15" s="314">
        <f>Сун!D35</f>
        <v>0</v>
      </c>
      <c r="BM15" s="314"/>
      <c r="BN15" s="314">
        <f>Сун!C35</f>
        <v>0</v>
      </c>
      <c r="BO15" s="324">
        <f>Сун!D35</f>
        <v>0</v>
      </c>
      <c r="BP15" s="307" t="e">
        <f t="shared" ref="BP15:BP29" si="30">BO15/BN15*100</f>
        <v>#DIV/0!</v>
      </c>
      <c r="BQ15" s="314">
        <f>Сун!C37</f>
        <v>0</v>
      </c>
      <c r="BR15" s="314">
        <f>Сун!D37</f>
        <v>0</v>
      </c>
      <c r="BS15" s="314" t="e">
        <f t="shared" ref="BS15:BS29" si="31">BR15/BQ15*100</f>
        <v>#DIV/0!</v>
      </c>
      <c r="BT15" s="314"/>
      <c r="BU15" s="314"/>
      <c r="BV15" s="325" t="e">
        <f t="shared" ref="BV15:BV29" si="32">BT15/BU15*100</f>
        <v>#DIV/0!</v>
      </c>
      <c r="BW15" s="325"/>
      <c r="BX15" s="325"/>
      <c r="BY15" s="325" t="e">
        <f t="shared" ref="BY15:BY29" si="33">BW15/BX15*100</f>
        <v>#DIV/0!</v>
      </c>
      <c r="BZ15" s="312">
        <f t="shared" ref="BZ15:BZ29" si="34">CC15+CF15+CI15+CL15+CR15+CO15</f>
        <v>9285.3296800000007</v>
      </c>
      <c r="CA15" s="343">
        <f t="shared" ref="CA15:CA29" si="35">CD15+CG15+CJ15+CM15+CS15+CP15+CV15</f>
        <v>8703.8285100000012</v>
      </c>
      <c r="CB15" s="314">
        <f>CA15/BZ15*100</f>
        <v>93.737420317422703</v>
      </c>
      <c r="CC15" s="314">
        <f>Сун!C42</f>
        <v>3003</v>
      </c>
      <c r="CD15" s="314">
        <f>Сун!D42</f>
        <v>2802.76</v>
      </c>
      <c r="CE15" s="314">
        <f t="shared" ref="CE15:CE29" si="36">CD15/CC15*100</f>
        <v>93.33200133200134</v>
      </c>
      <c r="CF15" s="314">
        <f>Сун!C43</f>
        <v>296.5</v>
      </c>
      <c r="CG15" s="314">
        <f>Сун!D43</f>
        <v>96.5</v>
      </c>
      <c r="CH15" s="314">
        <f t="shared" ref="CH15:CH29" si="37">CG15/CF15*100</f>
        <v>32.546374367622263</v>
      </c>
      <c r="CI15" s="326">
        <f>Сун!C44</f>
        <v>4765.3783100000001</v>
      </c>
      <c r="CJ15" s="314">
        <f>Сун!D44</f>
        <v>4494.13483</v>
      </c>
      <c r="CK15" s="314">
        <f t="shared" si="7"/>
        <v>94.308038893138786</v>
      </c>
      <c r="CL15" s="314">
        <f>Сун!C46</f>
        <v>183.01900000000001</v>
      </c>
      <c r="CM15" s="314">
        <f>Сун!D46</f>
        <v>164.899</v>
      </c>
      <c r="CN15" s="314">
        <f t="shared" si="8"/>
        <v>90.099388588070084</v>
      </c>
      <c r="CO15" s="314">
        <f>Сун!C47</f>
        <v>668.37300000000005</v>
      </c>
      <c r="CP15" s="324">
        <f>Сун!D47</f>
        <v>621.99379999999996</v>
      </c>
      <c r="CQ15" s="314">
        <f>CP15/CO15*100</f>
        <v>93.060880675909999</v>
      </c>
      <c r="CR15" s="327">
        <f>Сун!C48</f>
        <v>369.05937</v>
      </c>
      <c r="CS15" s="314">
        <f>Сун!D48</f>
        <v>523.54088000000002</v>
      </c>
      <c r="CT15" s="314">
        <f t="shared" si="9"/>
        <v>141.85817311724128</v>
      </c>
      <c r="CU15" s="314"/>
      <c r="CV15" s="314"/>
      <c r="CW15" s="314"/>
      <c r="CX15" s="322"/>
      <c r="CY15" s="322"/>
      <c r="CZ15" s="314" t="e">
        <f t="shared" ref="CZ15:CZ29" si="38">CY15/CX15*100</f>
        <v>#DIV/0!</v>
      </c>
      <c r="DA15" s="314"/>
      <c r="DB15" s="314"/>
      <c r="DC15" s="314"/>
      <c r="DD15" s="314"/>
      <c r="DE15" s="314"/>
      <c r="DF15" s="314"/>
      <c r="DG15" s="316">
        <f>DJ15+DY15+EB15+EE15+EH15+EK15+EN15+EQ15+ET15</f>
        <v>14425.914879999998</v>
      </c>
      <c r="DH15" s="316">
        <f t="shared" ref="DG15:DH29" si="39">DK15+DZ15+EC15+EF15+EI15+EL15+EO15+ER15+EU15</f>
        <v>12792.456839999999</v>
      </c>
      <c r="DI15" s="314">
        <f t="shared" ref="DI15:DI29" si="40">DH15/DG15*100</f>
        <v>88.676918908868544</v>
      </c>
      <c r="DJ15" s="322">
        <f>DM15+DP15+DS15+DV15</f>
        <v>1807.0159999999998</v>
      </c>
      <c r="DK15" s="322">
        <f t="shared" ref="DJ15:DK29" si="41">DN15+DQ15+DT15+DW15</f>
        <v>1443.9190800000001</v>
      </c>
      <c r="DL15" s="314">
        <f t="shared" ref="DL15:DL29" si="42">DK15/DJ15*100</f>
        <v>79.906269783997502</v>
      </c>
      <c r="DM15" s="314">
        <f>Сун!C59</f>
        <v>1792.973</v>
      </c>
      <c r="DN15" s="324">
        <f>Сун!D59</f>
        <v>1435.1765800000001</v>
      </c>
      <c r="DO15" s="314">
        <f t="shared" ref="DO15:DO29" si="43">DN15/DM15*100</f>
        <v>80.044517123236105</v>
      </c>
      <c r="DP15" s="314">
        <f>Сун!C62</f>
        <v>0</v>
      </c>
      <c r="DQ15" s="314">
        <f>Сун!D62</f>
        <v>0</v>
      </c>
      <c r="DR15" s="314" t="e">
        <f t="shared" ref="DR15:DR29" si="44">DQ15/DP15*100</f>
        <v>#DIV/0!</v>
      </c>
      <c r="DS15" s="314">
        <f>Сун!C63</f>
        <v>5</v>
      </c>
      <c r="DT15" s="314">
        <f>Сун!D63</f>
        <v>0</v>
      </c>
      <c r="DU15" s="314">
        <f t="shared" ref="DU15:DU29" si="45">DT15/DS15*100</f>
        <v>0</v>
      </c>
      <c r="DV15" s="314">
        <f>Сун!C64</f>
        <v>9.0429999999999993</v>
      </c>
      <c r="DW15" s="314">
        <f>Сун!D64</f>
        <v>8.7424999999999997</v>
      </c>
      <c r="DX15" s="314">
        <f t="shared" ref="DX15:DX29" si="46">DW15/DV15*100</f>
        <v>96.676987725312401</v>
      </c>
      <c r="DY15" s="314">
        <f>Сун!C66</f>
        <v>179.892</v>
      </c>
      <c r="DZ15" s="314">
        <f>Сун!D66</f>
        <v>149.67910000000001</v>
      </c>
      <c r="EA15" s="314">
        <f t="shared" ref="EA15:EA31" si="47">DZ15/DY15*100</f>
        <v>83.204978542681175</v>
      </c>
      <c r="EB15" s="314">
        <f>Сун!C67</f>
        <v>6.8031100000000002</v>
      </c>
      <c r="EC15" s="450">
        <f>Сун!D67</f>
        <v>4.8031100000000002</v>
      </c>
      <c r="ED15" s="314">
        <f t="shared" ref="ED15:ED31" si="48">EC15/EB15*100</f>
        <v>70.601680701914276</v>
      </c>
      <c r="EE15" s="322">
        <f>Сун!C73</f>
        <v>5065.4899699999996</v>
      </c>
      <c r="EF15" s="322">
        <f>Сун!D73</f>
        <v>4436.3329400000002</v>
      </c>
      <c r="EG15" s="314">
        <f t="shared" ref="EG15:EG29" si="49">EF15/EE15*100</f>
        <v>87.579542478099128</v>
      </c>
      <c r="EH15" s="322">
        <f>Сун!C78</f>
        <v>4203.3906999999999</v>
      </c>
      <c r="EI15" s="322">
        <f>Сун!D78</f>
        <v>3918.1269600000001</v>
      </c>
      <c r="EJ15" s="314">
        <f t="shared" ref="EJ15:EJ29" si="50">EI15/EH15*100</f>
        <v>93.213485008662175</v>
      </c>
      <c r="EK15" s="322">
        <f>Сун!C83</f>
        <v>3150.2750599999999</v>
      </c>
      <c r="EL15" s="328">
        <f>Сун!D83</f>
        <v>2830.5056500000001</v>
      </c>
      <c r="EM15" s="314">
        <f t="shared" si="10"/>
        <v>89.849476508886184</v>
      </c>
      <c r="EN15" s="314">
        <f>Сун!C86</f>
        <v>0</v>
      </c>
      <c r="EO15" s="314">
        <f>Сун!D86</f>
        <v>0</v>
      </c>
      <c r="EP15" s="314" t="e">
        <f t="shared" si="11"/>
        <v>#DIV/0!</v>
      </c>
      <c r="EQ15" s="329">
        <f>Сун!C91</f>
        <v>13.04804</v>
      </c>
      <c r="ER15" s="329">
        <f>Сун!D91</f>
        <v>9.09</v>
      </c>
      <c r="ES15" s="314">
        <f t="shared" ref="ES15:ES29" si="51">ER15/EQ15*100</f>
        <v>69.665635605041061</v>
      </c>
      <c r="ET15" s="314">
        <f>Сун!C97</f>
        <v>0</v>
      </c>
      <c r="EU15" s="314">
        <f>Сун!D97</f>
        <v>0</v>
      </c>
      <c r="EV15" s="307" t="e">
        <f>EU15/ET15*100</f>
        <v>#DIV/0!</v>
      </c>
      <c r="EW15" s="321">
        <f t="shared" si="12"/>
        <v>-1205.1451999999972</v>
      </c>
      <c r="EX15" s="321">
        <f t="shared" si="13"/>
        <v>-738.32925999999861</v>
      </c>
      <c r="EY15" s="307">
        <f>EX15/EW15*100%</f>
        <v>0.61264755483405675</v>
      </c>
      <c r="EZ15" s="164"/>
      <c r="FA15" s="165"/>
      <c r="FC15" s="165"/>
    </row>
    <row r="16" spans="1:159" s="162" customFormat="1" ht="15" customHeight="1">
      <c r="A16" s="352">
        <v>3</v>
      </c>
      <c r="B16" s="354" t="s">
        <v>305</v>
      </c>
      <c r="C16" s="330">
        <f t="shared" si="14"/>
        <v>9955.66014</v>
      </c>
      <c r="D16" s="306">
        <f t="shared" si="0"/>
        <v>8989.4410400000015</v>
      </c>
      <c r="E16" s="314">
        <f t="shared" si="1"/>
        <v>90.294776173426115</v>
      </c>
      <c r="F16" s="308">
        <f t="shared" si="2"/>
        <v>2051.4749999999999</v>
      </c>
      <c r="G16" s="308">
        <f t="shared" si="3"/>
        <v>1896.9590000000001</v>
      </c>
      <c r="H16" s="314">
        <f t="shared" si="15"/>
        <v>92.468053473720133</v>
      </c>
      <c r="I16" s="331">
        <f>Иль!C6</f>
        <v>100.23</v>
      </c>
      <c r="J16" s="474">
        <f>Иль!D6</f>
        <v>60.072470000000003</v>
      </c>
      <c r="K16" s="314">
        <f t="shared" si="16"/>
        <v>59.934620373141776</v>
      </c>
      <c r="L16" s="314">
        <f>Иль!C8</f>
        <v>224.26</v>
      </c>
      <c r="M16" s="314">
        <f>Иль!D8</f>
        <v>304.89062000000001</v>
      </c>
      <c r="N16" s="307">
        <f t="shared" si="17"/>
        <v>135.95408008561492</v>
      </c>
      <c r="O16" s="307">
        <f>Иль!C9</f>
        <v>2.4049999999999998</v>
      </c>
      <c r="P16" s="307">
        <f>Иль!D9</f>
        <v>2.2451099999999999</v>
      </c>
      <c r="Q16" s="307">
        <f t="shared" si="18"/>
        <v>93.351767151767163</v>
      </c>
      <c r="R16" s="307">
        <f>Иль!C10</f>
        <v>374.58</v>
      </c>
      <c r="S16" s="307">
        <f>Иль!D10</f>
        <v>409.58508999999998</v>
      </c>
      <c r="T16" s="307">
        <f t="shared" si="19"/>
        <v>109.34515724277858</v>
      </c>
      <c r="U16" s="307">
        <f>Иль!C11</f>
        <v>0</v>
      </c>
      <c r="V16" s="311">
        <f>Иль!D11</f>
        <v>-45.91771</v>
      </c>
      <c r="W16" s="307" t="e">
        <f t="shared" si="20"/>
        <v>#DIV/0!</v>
      </c>
      <c r="X16" s="322">
        <f>Иль!C13</f>
        <v>7</v>
      </c>
      <c r="Y16" s="322">
        <f>Иль!D13</f>
        <v>8.6674199999999999</v>
      </c>
      <c r="Z16" s="314">
        <f t="shared" si="21"/>
        <v>123.82028571428572</v>
      </c>
      <c r="AA16" s="322">
        <f>Иль!C15</f>
        <v>248</v>
      </c>
      <c r="AB16" s="313">
        <f>Иль!D15</f>
        <v>280.11565999999999</v>
      </c>
      <c r="AC16" s="314">
        <f t="shared" si="22"/>
        <v>112.94986290322579</v>
      </c>
      <c r="AD16" s="322">
        <f>Иль!C16</f>
        <v>810</v>
      </c>
      <c r="AE16" s="322">
        <f>Иль!D16</f>
        <v>635.03006000000005</v>
      </c>
      <c r="AF16" s="314">
        <f t="shared" si="4"/>
        <v>78.398772839506179</v>
      </c>
      <c r="AG16" s="314">
        <f>Иль!C18</f>
        <v>5</v>
      </c>
      <c r="AH16" s="314">
        <f>Иль!D18</f>
        <v>4.41</v>
      </c>
      <c r="AI16" s="314">
        <f t="shared" si="23"/>
        <v>88.2</v>
      </c>
      <c r="AJ16" s="314"/>
      <c r="AK16" s="314"/>
      <c r="AL16" s="314" t="e">
        <f t="shared" si="5"/>
        <v>#DIV/0!</v>
      </c>
      <c r="AM16" s="322">
        <f>Иль!C27</f>
        <v>0</v>
      </c>
      <c r="AN16" s="322">
        <f>Иль!D27</f>
        <v>0</v>
      </c>
      <c r="AO16" s="314" t="e">
        <f t="shared" si="6"/>
        <v>#DIV/0!</v>
      </c>
      <c r="AP16" s="322">
        <f>Иль!C28</f>
        <v>200</v>
      </c>
      <c r="AQ16" s="323">
        <f>Иль!D28</f>
        <v>159.10266999999999</v>
      </c>
      <c r="AR16" s="314">
        <f t="shared" si="24"/>
        <v>79.551334999999995</v>
      </c>
      <c r="AS16" s="316">
        <f>Иль!C29</f>
        <v>20</v>
      </c>
      <c r="AT16" s="323">
        <f>Иль!D29</f>
        <v>39.091650000000001</v>
      </c>
      <c r="AU16" s="314">
        <f t="shared" si="25"/>
        <v>195.45825000000002</v>
      </c>
      <c r="AV16" s="322"/>
      <c r="AW16" s="322"/>
      <c r="AX16" s="314" t="e">
        <f t="shared" si="26"/>
        <v>#DIV/0!</v>
      </c>
      <c r="AY16" s="314">
        <f>Иль!C30</f>
        <v>60</v>
      </c>
      <c r="AZ16" s="317">
        <f>Иль!D30</f>
        <v>33.152810000000002</v>
      </c>
      <c r="BA16" s="314">
        <f t="shared" si="27"/>
        <v>55.254683333333332</v>
      </c>
      <c r="BB16" s="314"/>
      <c r="BC16" s="314"/>
      <c r="BD16" s="314"/>
      <c r="BE16" s="314">
        <f>Иль!C34</f>
        <v>0</v>
      </c>
      <c r="BF16" s="314">
        <f>Иль!D34</f>
        <v>0</v>
      </c>
      <c r="BG16" s="314" t="e">
        <f t="shared" si="28"/>
        <v>#DIV/0!</v>
      </c>
      <c r="BH16" s="314"/>
      <c r="BI16" s="314"/>
      <c r="BJ16" s="314" t="e">
        <f t="shared" si="29"/>
        <v>#DIV/0!</v>
      </c>
      <c r="BK16" s="314"/>
      <c r="BL16" s="314"/>
      <c r="BM16" s="314"/>
      <c r="BN16" s="314"/>
      <c r="BO16" s="324">
        <f>Иль!D35</f>
        <v>6.5131500000000004</v>
      </c>
      <c r="BP16" s="307" t="e">
        <f t="shared" si="30"/>
        <v>#DIV/0!</v>
      </c>
      <c r="BQ16" s="314">
        <v>0</v>
      </c>
      <c r="BR16" s="314">
        <f>Иль!D37</f>
        <v>0</v>
      </c>
      <c r="BS16" s="314" t="e">
        <f t="shared" si="31"/>
        <v>#DIV/0!</v>
      </c>
      <c r="BT16" s="314"/>
      <c r="BU16" s="314"/>
      <c r="BV16" s="325" t="e">
        <f t="shared" si="32"/>
        <v>#DIV/0!</v>
      </c>
      <c r="BW16" s="325"/>
      <c r="BX16" s="325"/>
      <c r="BY16" s="325" t="e">
        <f t="shared" si="33"/>
        <v>#DIV/0!</v>
      </c>
      <c r="BZ16" s="312">
        <f>CC16+CF16+CI16+CL16+CR16+CO16</f>
        <v>7904.1851400000005</v>
      </c>
      <c r="CA16" s="343">
        <f t="shared" si="35"/>
        <v>7092.4820400000008</v>
      </c>
      <c r="CB16" s="314">
        <f>CA16/BZ16*100</f>
        <v>89.730717517074766</v>
      </c>
      <c r="CC16" s="314">
        <f>Иль!C42</f>
        <v>1759.1</v>
      </c>
      <c r="CD16" s="314">
        <f>Иль!D42</f>
        <v>1641.982</v>
      </c>
      <c r="CE16" s="314">
        <f t="shared" si="36"/>
        <v>93.342163606389633</v>
      </c>
      <c r="CF16" s="314">
        <f>Иль!C43</f>
        <v>371.6</v>
      </c>
      <c r="CG16" s="314">
        <f>Иль!D43</f>
        <v>225.8</v>
      </c>
      <c r="CH16" s="314">
        <f t="shared" si="37"/>
        <v>60.764262648008618</v>
      </c>
      <c r="CI16" s="307">
        <f>Иль!C44</f>
        <v>3887.2049999999999</v>
      </c>
      <c r="CJ16" s="314">
        <f>Иль!D44</f>
        <v>3526.84015</v>
      </c>
      <c r="CK16" s="314">
        <f t="shared" si="7"/>
        <v>90.729461142388942</v>
      </c>
      <c r="CL16" s="314">
        <f>Иль!C46</f>
        <v>181.08199999999999</v>
      </c>
      <c r="CM16" s="314">
        <f>Иль!D46</f>
        <v>164.899</v>
      </c>
      <c r="CN16" s="314">
        <f t="shared" si="8"/>
        <v>91.063164754089314</v>
      </c>
      <c r="CO16" s="314">
        <f>Иль!C47</f>
        <v>1372.8612800000001</v>
      </c>
      <c r="CP16" s="324">
        <f>Иль!D47</f>
        <v>1199.4018900000001</v>
      </c>
      <c r="CQ16" s="314"/>
      <c r="CR16" s="327">
        <f>Иль!C51</f>
        <v>332.33686</v>
      </c>
      <c r="CS16" s="314">
        <f>Иль!D51</f>
        <v>333.55900000000003</v>
      </c>
      <c r="CT16" s="314">
        <f t="shared" si="9"/>
        <v>100.36774133329661</v>
      </c>
      <c r="CU16" s="314"/>
      <c r="CV16" s="314"/>
      <c r="CW16" s="314"/>
      <c r="CX16" s="322"/>
      <c r="CY16" s="322"/>
      <c r="CZ16" s="314" t="e">
        <f t="shared" si="38"/>
        <v>#DIV/0!</v>
      </c>
      <c r="DA16" s="314"/>
      <c r="DB16" s="314"/>
      <c r="DC16" s="314"/>
      <c r="DD16" s="314"/>
      <c r="DE16" s="314"/>
      <c r="DF16" s="314">
        <v>0</v>
      </c>
      <c r="DG16" s="316">
        <f t="shared" si="39"/>
        <v>10469.59232</v>
      </c>
      <c r="DH16" s="316">
        <f t="shared" si="39"/>
        <v>9113.9080599999998</v>
      </c>
      <c r="DI16" s="314">
        <f t="shared" si="40"/>
        <v>87.051222067068991</v>
      </c>
      <c r="DJ16" s="322">
        <f t="shared" si="41"/>
        <v>1355.5939999999998</v>
      </c>
      <c r="DK16" s="322">
        <f t="shared" si="41"/>
        <v>1068.3890899999999</v>
      </c>
      <c r="DL16" s="314">
        <f t="shared" si="42"/>
        <v>78.813353408173839</v>
      </c>
      <c r="DM16" s="314">
        <f>Иль!C59</f>
        <v>1334.0429999999999</v>
      </c>
      <c r="DN16" s="324">
        <f>Иль!D59</f>
        <v>1061.83809</v>
      </c>
      <c r="DO16" s="314">
        <f t="shared" si="43"/>
        <v>79.595492049356736</v>
      </c>
      <c r="DP16" s="314">
        <f>Иль!C62</f>
        <v>0</v>
      </c>
      <c r="DQ16" s="314">
        <f>Иль!D62</f>
        <v>0</v>
      </c>
      <c r="DR16" s="314" t="e">
        <f t="shared" si="44"/>
        <v>#DIV/0!</v>
      </c>
      <c r="DS16" s="314">
        <f>Иль!C63</f>
        <v>5</v>
      </c>
      <c r="DT16" s="314">
        <f>Иль!D63</f>
        <v>0</v>
      </c>
      <c r="DU16" s="314">
        <f t="shared" si="45"/>
        <v>0</v>
      </c>
      <c r="DV16" s="314">
        <f>Иль!C64</f>
        <v>16.550999999999998</v>
      </c>
      <c r="DW16" s="314">
        <f>Иль!D64</f>
        <v>6.5510000000000002</v>
      </c>
      <c r="DX16" s="314">
        <f t="shared" si="46"/>
        <v>39.580689988520334</v>
      </c>
      <c r="DY16" s="314">
        <f>Иль!C66</f>
        <v>179.892</v>
      </c>
      <c r="DZ16" s="314">
        <f>Иль!D66</f>
        <v>152.90369000000001</v>
      </c>
      <c r="EA16" s="314">
        <f t="shared" si="47"/>
        <v>84.997492940208573</v>
      </c>
      <c r="EB16" s="314">
        <f>Иль!C67</f>
        <v>6</v>
      </c>
      <c r="EC16" s="450">
        <f>Иль!D67</f>
        <v>6</v>
      </c>
      <c r="ED16" s="314">
        <f t="shared" si="48"/>
        <v>100</v>
      </c>
      <c r="EE16" s="322">
        <f>Иль!C73</f>
        <v>5777.7990099999997</v>
      </c>
      <c r="EF16" s="322">
        <f>Иль!D73</f>
        <v>5260.4388499999995</v>
      </c>
      <c r="EG16" s="314">
        <f t="shared" si="49"/>
        <v>91.045722443709579</v>
      </c>
      <c r="EH16" s="322">
        <f>Иль!C80</f>
        <v>876.64191000000005</v>
      </c>
      <c r="EI16" s="322">
        <f>Иль!D80</f>
        <v>858.42899</v>
      </c>
      <c r="EJ16" s="314">
        <f t="shared" si="50"/>
        <v>97.922421938508492</v>
      </c>
      <c r="EK16" s="322">
        <f>Иль!C84</f>
        <v>2221.6653999999999</v>
      </c>
      <c r="EL16" s="328">
        <f>Иль!D84</f>
        <v>1760.09744</v>
      </c>
      <c r="EM16" s="314">
        <f t="shared" si="10"/>
        <v>79.224236016818736</v>
      </c>
      <c r="EN16" s="314">
        <f>Иль!C86</f>
        <v>0</v>
      </c>
      <c r="EO16" s="314">
        <f>Иль!D86</f>
        <v>0</v>
      </c>
      <c r="EP16" s="314" t="e">
        <f t="shared" si="11"/>
        <v>#DIV/0!</v>
      </c>
      <c r="EQ16" s="329">
        <f>Иль!C91</f>
        <v>52</v>
      </c>
      <c r="ER16" s="329">
        <f>Иль!D91</f>
        <v>7.65</v>
      </c>
      <c r="ES16" s="314">
        <f t="shared" si="51"/>
        <v>14.711538461538462</v>
      </c>
      <c r="ET16" s="314">
        <f>Иль!C97</f>
        <v>0</v>
      </c>
      <c r="EU16" s="314">
        <f>Иль!D97</f>
        <v>0</v>
      </c>
      <c r="EV16" s="307" t="e">
        <f t="shared" ref="EV16:EV29" si="52">EU16/ET16*100</f>
        <v>#DIV/0!</v>
      </c>
      <c r="EW16" s="321">
        <f t="shared" si="12"/>
        <v>-513.93217999999979</v>
      </c>
      <c r="EX16" s="321">
        <f t="shared" si="13"/>
        <v>-124.46701999999823</v>
      </c>
      <c r="EY16" s="307">
        <f>EX16/EW16*100</f>
        <v>24.218569072673805</v>
      </c>
      <c r="EZ16" s="164"/>
      <c r="FA16" s="165"/>
      <c r="FC16" s="165"/>
    </row>
    <row r="17" spans="1:170" s="162" customFormat="1" ht="15" customHeight="1">
      <c r="A17" s="352">
        <v>4</v>
      </c>
      <c r="B17" s="354" t="s">
        <v>306</v>
      </c>
      <c r="C17" s="330">
        <f t="shared" si="14"/>
        <v>9208.1728800000001</v>
      </c>
      <c r="D17" s="306">
        <f t="shared" si="0"/>
        <v>8526.6379000000015</v>
      </c>
      <c r="E17" s="314">
        <f t="shared" si="1"/>
        <v>92.598586181192559</v>
      </c>
      <c r="F17" s="308">
        <f t="shared" si="2"/>
        <v>4587.1909999999998</v>
      </c>
      <c r="G17" s="308">
        <f t="shared" si="3"/>
        <v>4107.7856100000008</v>
      </c>
      <c r="H17" s="314">
        <f t="shared" si="15"/>
        <v>89.549042322414763</v>
      </c>
      <c r="I17" s="322">
        <f>Кад!C6</f>
        <v>452.03100000000001</v>
      </c>
      <c r="J17" s="475">
        <f>Кад!D6</f>
        <v>406.738</v>
      </c>
      <c r="K17" s="314">
        <f t="shared" si="16"/>
        <v>89.980111983470152</v>
      </c>
      <c r="L17" s="314">
        <f>Кад!C8</f>
        <v>266.87</v>
      </c>
      <c r="M17" s="314">
        <f>Кад!D8</f>
        <v>362.80876999999998</v>
      </c>
      <c r="N17" s="307">
        <f t="shared" si="17"/>
        <v>135.94962715929105</v>
      </c>
      <c r="O17" s="307">
        <f>Кад!C9</f>
        <v>2.86</v>
      </c>
      <c r="P17" s="307">
        <f>Кад!D9</f>
        <v>2.6716500000000001</v>
      </c>
      <c r="Q17" s="307">
        <f t="shared" si="18"/>
        <v>93.414335664335667</v>
      </c>
      <c r="R17" s="307">
        <f>Кад!C10</f>
        <v>445.73</v>
      </c>
      <c r="S17" s="307">
        <f>Кад!D10</f>
        <v>487.39157</v>
      </c>
      <c r="T17" s="307">
        <f t="shared" si="19"/>
        <v>109.34681758014942</v>
      </c>
      <c r="U17" s="307">
        <f>Кад!C11</f>
        <v>0</v>
      </c>
      <c r="V17" s="311">
        <f>Кад!D11</f>
        <v>-54.640439999999998</v>
      </c>
      <c r="W17" s="307" t="e">
        <f t="shared" si="20"/>
        <v>#DIV/0!</v>
      </c>
      <c r="X17" s="322">
        <f>Кад!C13</f>
        <v>54.2</v>
      </c>
      <c r="Y17" s="322">
        <f>Кад!D13</f>
        <v>54.19849</v>
      </c>
      <c r="Z17" s="314">
        <f t="shared" si="21"/>
        <v>99.997214022140213</v>
      </c>
      <c r="AA17" s="322">
        <f>Кад!C15</f>
        <v>338</v>
      </c>
      <c r="AB17" s="313">
        <f>Кад!D15</f>
        <v>277.7629</v>
      </c>
      <c r="AC17" s="314">
        <f t="shared" si="22"/>
        <v>82.178372781065093</v>
      </c>
      <c r="AD17" s="322">
        <f>Кад!C16</f>
        <v>2800</v>
      </c>
      <c r="AE17" s="322">
        <f>Кад!D16</f>
        <v>2376.1019900000001</v>
      </c>
      <c r="AF17" s="314">
        <f t="shared" si="4"/>
        <v>84.860785357142859</v>
      </c>
      <c r="AG17" s="314">
        <f>Кад!C18</f>
        <v>25</v>
      </c>
      <c r="AH17" s="314">
        <f>Кад!D18</f>
        <v>18</v>
      </c>
      <c r="AI17" s="314">
        <f t="shared" si="23"/>
        <v>72</v>
      </c>
      <c r="AJ17" s="314"/>
      <c r="AK17" s="314"/>
      <c r="AL17" s="314" t="e">
        <f t="shared" si="5"/>
        <v>#DIV/0!</v>
      </c>
      <c r="AM17" s="322">
        <v>0</v>
      </c>
      <c r="AN17" s="322">
        <v>0</v>
      </c>
      <c r="AO17" s="314" t="e">
        <f t="shared" si="6"/>
        <v>#DIV/0!</v>
      </c>
      <c r="AP17" s="322">
        <f>Кад!C27</f>
        <v>115.5</v>
      </c>
      <c r="AQ17" s="323">
        <f>Кад!D27</f>
        <v>115.49793</v>
      </c>
      <c r="AR17" s="314">
        <f t="shared" si="24"/>
        <v>99.998207792207793</v>
      </c>
      <c r="AS17" s="316">
        <f>Кад!C28</f>
        <v>12</v>
      </c>
      <c r="AT17" s="323">
        <f>Кад!D28</f>
        <v>9</v>
      </c>
      <c r="AU17" s="314">
        <f t="shared" si="25"/>
        <v>75</v>
      </c>
      <c r="AV17" s="322"/>
      <c r="AW17" s="322"/>
      <c r="AX17" s="314" t="e">
        <f t="shared" si="26"/>
        <v>#DIV/0!</v>
      </c>
      <c r="AY17" s="314">
        <f>Кад!C30</f>
        <v>75</v>
      </c>
      <c r="AZ17" s="317">
        <f>Кад!D30</f>
        <v>52.254750000000001</v>
      </c>
      <c r="BA17" s="314">
        <f t="shared" si="27"/>
        <v>69.673000000000002</v>
      </c>
      <c r="BB17" s="314"/>
      <c r="BC17" s="314"/>
      <c r="BD17" s="314"/>
      <c r="BE17" s="314">
        <f>Кад!C33</f>
        <v>0</v>
      </c>
      <c r="BF17" s="314">
        <f>Кад!D33</f>
        <v>0</v>
      </c>
      <c r="BG17" s="314" t="e">
        <f t="shared" si="28"/>
        <v>#DIV/0!</v>
      </c>
      <c r="BH17" s="314"/>
      <c r="BI17" s="314"/>
      <c r="BJ17" s="314" t="e">
        <f t="shared" si="29"/>
        <v>#DIV/0!</v>
      </c>
      <c r="BK17" s="314"/>
      <c r="BL17" s="314"/>
      <c r="BM17" s="314"/>
      <c r="BN17" s="314"/>
      <c r="BO17" s="324">
        <f>Кад!D34</f>
        <v>0</v>
      </c>
      <c r="BP17" s="307" t="e">
        <f t="shared" si="30"/>
        <v>#DIV/0!</v>
      </c>
      <c r="BQ17" s="314">
        <f>Кад!C36</f>
        <v>0</v>
      </c>
      <c r="BR17" s="314">
        <f>Кад!D36</f>
        <v>0</v>
      </c>
      <c r="BS17" s="314" t="e">
        <f t="shared" si="31"/>
        <v>#DIV/0!</v>
      </c>
      <c r="BT17" s="314"/>
      <c r="BU17" s="314"/>
      <c r="BV17" s="325" t="e">
        <f t="shared" si="32"/>
        <v>#DIV/0!</v>
      </c>
      <c r="BW17" s="325"/>
      <c r="BX17" s="325"/>
      <c r="BY17" s="325" t="e">
        <f t="shared" si="33"/>
        <v>#DIV/0!</v>
      </c>
      <c r="BZ17" s="312">
        <f t="shared" si="34"/>
        <v>4620.9818800000003</v>
      </c>
      <c r="CA17" s="343">
        <v>4418.8522899999998</v>
      </c>
      <c r="CB17" s="314">
        <f>CA17/BZ17*100</f>
        <v>95.62583028349809</v>
      </c>
      <c r="CC17" s="314">
        <f>Кад!C41</f>
        <v>1101.0999999999999</v>
      </c>
      <c r="CD17" s="314">
        <f>Кад!D41</f>
        <v>1101.0999999999999</v>
      </c>
      <c r="CE17" s="314">
        <f t="shared" si="36"/>
        <v>100</v>
      </c>
      <c r="CF17" s="314">
        <f>Кад!C42</f>
        <v>50</v>
      </c>
      <c r="CG17" s="314">
        <f>Кад!D42</f>
        <v>50</v>
      </c>
      <c r="CH17" s="314">
        <f t="shared" si="37"/>
        <v>100</v>
      </c>
      <c r="CI17" s="307">
        <f>Кад!C43</f>
        <v>2870.7764900000002</v>
      </c>
      <c r="CJ17" s="314">
        <f>Кад!D43</f>
        <v>2789.7104899999999</v>
      </c>
      <c r="CK17" s="314">
        <f t="shared" si="7"/>
        <v>97.176164696820393</v>
      </c>
      <c r="CL17" s="314">
        <f>Кад!C45</f>
        <v>182.38900000000001</v>
      </c>
      <c r="CM17" s="314">
        <f>Кад!D45</f>
        <v>166.09379999999999</v>
      </c>
      <c r="CN17" s="314">
        <f t="shared" si="8"/>
        <v>91.065689268541405</v>
      </c>
      <c r="CO17" s="314">
        <f>Кад!C46</f>
        <v>414.22500000000002</v>
      </c>
      <c r="CP17" s="324">
        <v>311.94799999999998</v>
      </c>
      <c r="CQ17" s="314"/>
      <c r="CR17" s="327">
        <f>Кад!C47</f>
        <v>2.49139</v>
      </c>
      <c r="CS17" s="314">
        <f>Кад!D47</f>
        <v>0</v>
      </c>
      <c r="CT17" s="314">
        <f t="shared" si="9"/>
        <v>0</v>
      </c>
      <c r="CU17" s="314"/>
      <c r="CV17" s="314"/>
      <c r="CW17" s="314"/>
      <c r="CX17" s="322"/>
      <c r="CY17" s="322"/>
      <c r="CZ17" s="314" t="e">
        <f t="shared" si="38"/>
        <v>#DIV/0!</v>
      </c>
      <c r="DA17" s="314"/>
      <c r="DB17" s="314"/>
      <c r="DC17" s="314"/>
      <c r="DD17" s="314"/>
      <c r="DE17" s="314"/>
      <c r="DF17" s="314"/>
      <c r="DG17" s="316">
        <f t="shared" si="39"/>
        <v>10114.558429999999</v>
      </c>
      <c r="DH17" s="316">
        <f t="shared" si="39"/>
        <v>8231.5159500000009</v>
      </c>
      <c r="DI17" s="314">
        <f t="shared" si="40"/>
        <v>81.382850343571562</v>
      </c>
      <c r="DJ17" s="322">
        <f t="shared" si="41"/>
        <v>1717.546</v>
      </c>
      <c r="DK17" s="322">
        <f t="shared" si="41"/>
        <v>1391.5542</v>
      </c>
      <c r="DL17" s="314">
        <f t="shared" si="42"/>
        <v>81.019908637090367</v>
      </c>
      <c r="DM17" s="314">
        <f>Кад!C57</f>
        <v>1657.4960000000001</v>
      </c>
      <c r="DN17" s="324">
        <f>Кад!D57</f>
        <v>1336.5042000000001</v>
      </c>
      <c r="DO17" s="314">
        <f t="shared" si="43"/>
        <v>80.633932148252541</v>
      </c>
      <c r="DP17" s="314">
        <f>Кад!C60</f>
        <v>0</v>
      </c>
      <c r="DQ17" s="314">
        <f>Кад!D60</f>
        <v>0</v>
      </c>
      <c r="DR17" s="314" t="e">
        <f t="shared" si="44"/>
        <v>#DIV/0!</v>
      </c>
      <c r="DS17" s="314">
        <f>Кад!C61</f>
        <v>5</v>
      </c>
      <c r="DT17" s="314">
        <f>Кад!D61</f>
        <v>0</v>
      </c>
      <c r="DU17" s="314">
        <f t="shared" si="45"/>
        <v>0</v>
      </c>
      <c r="DV17" s="314">
        <f>Кад!C62</f>
        <v>55.05</v>
      </c>
      <c r="DW17" s="314">
        <f>Кад!D62</f>
        <v>55.05</v>
      </c>
      <c r="DX17" s="314">
        <f t="shared" si="46"/>
        <v>100</v>
      </c>
      <c r="DY17" s="314">
        <f>Кад!C64</f>
        <v>179.892</v>
      </c>
      <c r="DZ17" s="314">
        <f>Кад!D64</f>
        <v>152.49338</v>
      </c>
      <c r="EA17" s="314">
        <f t="shared" si="47"/>
        <v>84.769406088097313</v>
      </c>
      <c r="EB17" s="314">
        <f>Кад!C65</f>
        <v>7.10311</v>
      </c>
      <c r="EC17" s="450">
        <f>Кад!D65</f>
        <v>6.5031100000000004</v>
      </c>
      <c r="ED17" s="314">
        <f t="shared" si="48"/>
        <v>91.552995800431077</v>
      </c>
      <c r="EE17" s="322">
        <f>Кад!C71</f>
        <v>4724.4634299999998</v>
      </c>
      <c r="EF17" s="322">
        <f>Кад!D71</f>
        <v>4397.8833400000003</v>
      </c>
      <c r="EG17" s="314">
        <f t="shared" si="49"/>
        <v>93.087467077716397</v>
      </c>
      <c r="EH17" s="322">
        <f>Кад!C76</f>
        <v>1207.95389</v>
      </c>
      <c r="EI17" s="322">
        <f>Кад!D76</f>
        <v>1056.0819200000001</v>
      </c>
      <c r="EJ17" s="314">
        <f t="shared" si="50"/>
        <v>87.427337147778061</v>
      </c>
      <c r="EK17" s="322">
        <f>Кад!C80</f>
        <v>2277.6</v>
      </c>
      <c r="EL17" s="328">
        <f>Кад!D80</f>
        <v>1227</v>
      </c>
      <c r="EM17" s="314">
        <f t="shared" si="10"/>
        <v>53.872497365648051</v>
      </c>
      <c r="EN17" s="314">
        <f>Кад!C82</f>
        <v>0</v>
      </c>
      <c r="EO17" s="314">
        <f>Кад!D82</f>
        <v>0</v>
      </c>
      <c r="EP17" s="314" t="e">
        <f t="shared" si="11"/>
        <v>#DIV/0!</v>
      </c>
      <c r="EQ17" s="329">
        <f>Кад!C87</f>
        <v>0</v>
      </c>
      <c r="ER17" s="329">
        <f>Кад!D87</f>
        <v>0</v>
      </c>
      <c r="ES17" s="314" t="e">
        <f t="shared" si="51"/>
        <v>#DIV/0!</v>
      </c>
      <c r="ET17" s="314">
        <f>Кад!C93</f>
        <v>0</v>
      </c>
      <c r="EU17" s="314">
        <f>Кад!D93</f>
        <v>0</v>
      </c>
      <c r="EV17" s="307" t="e">
        <f t="shared" si="52"/>
        <v>#DIV/0!</v>
      </c>
      <c r="EW17" s="321">
        <f t="shared" si="12"/>
        <v>-906.38554999999906</v>
      </c>
      <c r="EX17" s="321">
        <f t="shared" si="13"/>
        <v>295.12195000000065</v>
      </c>
      <c r="EY17" s="307">
        <f>EX17/EW17*100</f>
        <v>-32.560310565410155</v>
      </c>
      <c r="EZ17" s="164"/>
      <c r="FA17" s="165"/>
      <c r="FC17" s="165"/>
    </row>
    <row r="18" spans="1:170" s="174" customFormat="1" ht="15" customHeight="1">
      <c r="A18" s="355">
        <v>5</v>
      </c>
      <c r="B18" s="356" t="s">
        <v>307</v>
      </c>
      <c r="C18" s="332">
        <f t="shared" si="14"/>
        <v>56297.256569999998</v>
      </c>
      <c r="D18" s="333">
        <f t="shared" si="0"/>
        <v>17698.179100000001</v>
      </c>
      <c r="E18" s="317">
        <f t="shared" si="1"/>
        <v>31.437018743522767</v>
      </c>
      <c r="F18" s="334">
        <f t="shared" si="2"/>
        <v>4744.2569999999996</v>
      </c>
      <c r="G18" s="334">
        <f t="shared" si="3"/>
        <v>3991.2453799999998</v>
      </c>
      <c r="H18" s="317">
        <f t="shared" si="15"/>
        <v>84.127933625855434</v>
      </c>
      <c r="I18" s="310">
        <f>Мор!C6</f>
        <v>1755.837</v>
      </c>
      <c r="J18" s="474">
        <f>Мор!D6</f>
        <v>1608.7408399999999</v>
      </c>
      <c r="K18" s="317">
        <f t="shared" si="16"/>
        <v>91.622447869591539</v>
      </c>
      <c r="L18" s="317">
        <f>Мор!C8</f>
        <v>131.83000000000001</v>
      </c>
      <c r="M18" s="317">
        <f>Мор!D8</f>
        <v>179.21880999999999</v>
      </c>
      <c r="N18" s="317">
        <f t="shared" si="17"/>
        <v>135.94690889782294</v>
      </c>
      <c r="O18" s="317">
        <f>Мор!C9</f>
        <v>1.41</v>
      </c>
      <c r="P18" s="317">
        <f>Мор!D9</f>
        <v>1.3197300000000001</v>
      </c>
      <c r="Q18" s="317">
        <f t="shared" si="18"/>
        <v>93.597872340425553</v>
      </c>
      <c r="R18" s="317">
        <f>Мор!C10</f>
        <v>220.18</v>
      </c>
      <c r="S18" s="317">
        <f>Мор!D10</f>
        <v>240.75969000000001</v>
      </c>
      <c r="T18" s="317">
        <f t="shared" si="19"/>
        <v>109.34675719865565</v>
      </c>
      <c r="U18" s="317">
        <f>Мор!C11</f>
        <v>0</v>
      </c>
      <c r="V18" s="335">
        <f>Мор!D11</f>
        <v>-26.991050000000001</v>
      </c>
      <c r="W18" s="317" t="e">
        <f t="shared" si="20"/>
        <v>#DIV/0!</v>
      </c>
      <c r="X18" s="316">
        <f>Мор!C13</f>
        <v>75</v>
      </c>
      <c r="Y18" s="316">
        <f>Мор!D13</f>
        <v>74.889960000000002</v>
      </c>
      <c r="Z18" s="317">
        <f t="shared" si="21"/>
        <v>99.853279999999998</v>
      </c>
      <c r="AA18" s="316">
        <f>Мор!C15</f>
        <v>900</v>
      </c>
      <c r="AB18" s="313">
        <f>Мор!D15</f>
        <v>629.47616000000005</v>
      </c>
      <c r="AC18" s="317">
        <f t="shared" si="22"/>
        <v>69.941795555555558</v>
      </c>
      <c r="AD18" s="316">
        <f>Мор!C16</f>
        <v>1660</v>
      </c>
      <c r="AE18" s="316">
        <f>Мор!D16</f>
        <v>1200.2197200000001</v>
      </c>
      <c r="AF18" s="317">
        <f t="shared" si="4"/>
        <v>72.302392771084342</v>
      </c>
      <c r="AG18" s="317">
        <f>Мор!C18</f>
        <v>0</v>
      </c>
      <c r="AH18" s="317">
        <f>Мор!D18</f>
        <v>0</v>
      </c>
      <c r="AI18" s="317" t="e">
        <f t="shared" si="23"/>
        <v>#DIV/0!</v>
      </c>
      <c r="AJ18" s="317">
        <f>Мор!C22</f>
        <v>0</v>
      </c>
      <c r="AK18" s="317">
        <f>Мор!D22</f>
        <v>0</v>
      </c>
      <c r="AL18" s="317" t="e">
        <f t="shared" si="5"/>
        <v>#DIV/0!</v>
      </c>
      <c r="AM18" s="316">
        <v>0</v>
      </c>
      <c r="AN18" s="316"/>
      <c r="AO18" s="317" t="e">
        <f t="shared" si="6"/>
        <v>#DIV/0!</v>
      </c>
      <c r="AP18" s="316">
        <f>Мор!C27</f>
        <v>0</v>
      </c>
      <c r="AQ18" s="323">
        <f>Мор!D27</f>
        <v>0</v>
      </c>
      <c r="AR18" s="317" t="e">
        <f t="shared" si="24"/>
        <v>#DIV/0!</v>
      </c>
      <c r="AS18" s="316">
        <f>Мор!C28</f>
        <v>0</v>
      </c>
      <c r="AT18" s="313">
        <f>Мор!D28</f>
        <v>0</v>
      </c>
      <c r="AU18" s="317" t="e">
        <f t="shared" si="25"/>
        <v>#DIV/0!</v>
      </c>
      <c r="AV18" s="316"/>
      <c r="AW18" s="316"/>
      <c r="AX18" s="317" t="e">
        <f t="shared" si="26"/>
        <v>#DIV/0!</v>
      </c>
      <c r="AY18" s="317">
        <f>Мор!C29</f>
        <v>0</v>
      </c>
      <c r="AZ18" s="317">
        <f>Мор!D29</f>
        <v>0</v>
      </c>
      <c r="BA18" s="317" t="e">
        <f t="shared" si="27"/>
        <v>#DIV/0!</v>
      </c>
      <c r="BB18" s="317"/>
      <c r="BC18" s="317"/>
      <c r="BD18" s="317"/>
      <c r="BE18" s="317">
        <f>Мор!C33</f>
        <v>0</v>
      </c>
      <c r="BF18" s="317">
        <f>Мор!D33</f>
        <v>0</v>
      </c>
      <c r="BG18" s="317" t="e">
        <f>Мор!E33</f>
        <v>#DIV/0!</v>
      </c>
      <c r="BH18" s="317">
        <f>Мор!F33</f>
        <v>0</v>
      </c>
      <c r="BI18" s="317">
        <f>Мор!G33</f>
        <v>0</v>
      </c>
      <c r="BJ18" s="317">
        <f>Мор!H33</f>
        <v>0</v>
      </c>
      <c r="BK18" s="317">
        <f>Мор!I33</f>
        <v>0</v>
      </c>
      <c r="BL18" s="317">
        <f>Мор!J33</f>
        <v>0</v>
      </c>
      <c r="BM18" s="317">
        <f>Мор!K33</f>
        <v>0</v>
      </c>
      <c r="BN18" s="317">
        <f>Мор!C35</f>
        <v>0</v>
      </c>
      <c r="BO18" s="336">
        <f>Мор!D34</f>
        <v>83.611519999999999</v>
      </c>
      <c r="BP18" s="307" t="e">
        <f t="shared" si="30"/>
        <v>#DIV/0!</v>
      </c>
      <c r="BQ18" s="317">
        <f>Мор!C36</f>
        <v>0</v>
      </c>
      <c r="BR18" s="317">
        <f>Мор!D36</f>
        <v>0</v>
      </c>
      <c r="BS18" s="317" t="e">
        <f t="shared" si="31"/>
        <v>#DIV/0!</v>
      </c>
      <c r="BT18" s="317"/>
      <c r="BU18" s="317"/>
      <c r="BV18" s="337" t="e">
        <f t="shared" si="32"/>
        <v>#DIV/0!</v>
      </c>
      <c r="BW18" s="337"/>
      <c r="BX18" s="337"/>
      <c r="BY18" s="337" t="e">
        <f t="shared" si="33"/>
        <v>#DIV/0!</v>
      </c>
      <c r="BZ18" s="316">
        <f t="shared" si="34"/>
        <v>51552.99957</v>
      </c>
      <c r="CA18" s="343">
        <f t="shared" si="35"/>
        <v>13706.933720000001</v>
      </c>
      <c r="CB18" s="317">
        <f t="shared" ref="CB18:CB31" si="53">CA18/BZ18*100</f>
        <v>26.588043051478255</v>
      </c>
      <c r="CC18" s="317">
        <f>Мор!C41</f>
        <v>4687.5</v>
      </c>
      <c r="CD18" s="317">
        <f>Мор!D41</f>
        <v>4375.4059999999999</v>
      </c>
      <c r="CE18" s="317">
        <f t="shared" si="36"/>
        <v>93.341994666666665</v>
      </c>
      <c r="CF18" s="317">
        <f>Мор!C42</f>
        <v>0</v>
      </c>
      <c r="CG18" s="317">
        <f>Мор!D42</f>
        <v>0</v>
      </c>
      <c r="CH18" s="317" t="e">
        <f t="shared" si="37"/>
        <v>#DIV/0!</v>
      </c>
      <c r="CI18" s="317">
        <f>Мор!C43</f>
        <v>46310.69528</v>
      </c>
      <c r="CJ18" s="317">
        <f>Мор!D43</f>
        <v>8880.8487600000008</v>
      </c>
      <c r="CK18" s="317">
        <f t="shared" si="7"/>
        <v>19.176669031430706</v>
      </c>
      <c r="CL18" s="317">
        <f>Мор!C45</f>
        <v>9.2170000000000005</v>
      </c>
      <c r="CM18" s="317">
        <f>Мор!D45</f>
        <v>5.9740000000000002</v>
      </c>
      <c r="CN18" s="317">
        <f t="shared" si="8"/>
        <v>64.815015731799932</v>
      </c>
      <c r="CO18" s="317">
        <f>Мор!C46</f>
        <v>76.400000000000006</v>
      </c>
      <c r="CP18" s="336">
        <f>Мор!D46</f>
        <v>0</v>
      </c>
      <c r="CQ18" s="317">
        <f>CP18/CO18*100</f>
        <v>0</v>
      </c>
      <c r="CR18" s="335">
        <f>Мор!C48</f>
        <v>469.18729000000002</v>
      </c>
      <c r="CS18" s="317">
        <f>Мор!D48</f>
        <v>444.70496000000003</v>
      </c>
      <c r="CT18" s="317">
        <f t="shared" si="9"/>
        <v>94.781970756283712</v>
      </c>
      <c r="CU18" s="317"/>
      <c r="CV18" s="317"/>
      <c r="CW18" s="317"/>
      <c r="CX18" s="316"/>
      <c r="CY18" s="316"/>
      <c r="CZ18" s="317" t="e">
        <f t="shared" si="38"/>
        <v>#DIV/0!</v>
      </c>
      <c r="DA18" s="317"/>
      <c r="DB18" s="317"/>
      <c r="DC18" s="317"/>
      <c r="DD18" s="317"/>
      <c r="DE18" s="317"/>
      <c r="DF18" s="317"/>
      <c r="DG18" s="316">
        <f t="shared" si="39"/>
        <v>56852.066609999994</v>
      </c>
      <c r="DH18" s="316">
        <f t="shared" si="39"/>
        <v>17389.330450000001</v>
      </c>
      <c r="DI18" s="317">
        <f t="shared" si="40"/>
        <v>30.586980363069692</v>
      </c>
      <c r="DJ18" s="316">
        <f t="shared" si="41"/>
        <v>2144.2139999999999</v>
      </c>
      <c r="DK18" s="316">
        <f t="shared" si="41"/>
        <v>1847.7715599999999</v>
      </c>
      <c r="DL18" s="317">
        <f t="shared" si="42"/>
        <v>86.17477360002313</v>
      </c>
      <c r="DM18" s="317">
        <f>Мор!C58</f>
        <v>1996.287</v>
      </c>
      <c r="DN18" s="336">
        <f>Мор!D58</f>
        <v>1704.8454899999999</v>
      </c>
      <c r="DO18" s="317">
        <f t="shared" si="43"/>
        <v>85.400821124417476</v>
      </c>
      <c r="DP18" s="317">
        <f>Мор!C61</f>
        <v>0</v>
      </c>
      <c r="DQ18" s="317">
        <f>Мор!D61</f>
        <v>0</v>
      </c>
      <c r="DR18" s="317" t="e">
        <f t="shared" si="44"/>
        <v>#DIV/0!</v>
      </c>
      <c r="DS18" s="317">
        <f>Мор!C62</f>
        <v>5</v>
      </c>
      <c r="DT18" s="317">
        <f>Мор!D62</f>
        <v>0</v>
      </c>
      <c r="DU18" s="317">
        <f t="shared" si="45"/>
        <v>0</v>
      </c>
      <c r="DV18" s="317">
        <f>Мор!C63</f>
        <v>142.92699999999999</v>
      </c>
      <c r="DW18" s="317">
        <f>Мор!D63</f>
        <v>142.92607000000001</v>
      </c>
      <c r="DX18" s="317">
        <f t="shared" si="46"/>
        <v>99.99934931818342</v>
      </c>
      <c r="DY18" s="317">
        <f>Мор!C64</f>
        <v>0</v>
      </c>
      <c r="DZ18" s="317">
        <f>Мор!D64</f>
        <v>0</v>
      </c>
      <c r="EA18" s="317" t="e">
        <f t="shared" si="47"/>
        <v>#DIV/0!</v>
      </c>
      <c r="EB18" s="317">
        <f>Мор!C66</f>
        <v>4</v>
      </c>
      <c r="EC18" s="451">
        <f>Мор!D66</f>
        <v>2</v>
      </c>
      <c r="ED18" s="317">
        <f t="shared" si="48"/>
        <v>50</v>
      </c>
      <c r="EE18" s="316">
        <f>Мор!C72</f>
        <v>3877.6817100000003</v>
      </c>
      <c r="EF18" s="316">
        <f>Мор!D72</f>
        <v>3445.9270799999999</v>
      </c>
      <c r="EG18" s="317">
        <f t="shared" si="49"/>
        <v>88.865650605448991</v>
      </c>
      <c r="EH18" s="316">
        <f>Мор!C77</f>
        <v>47091.170899999997</v>
      </c>
      <c r="EI18" s="316">
        <f>Мор!D77</f>
        <v>9103.6318100000008</v>
      </c>
      <c r="EJ18" s="317">
        <f t="shared" si="50"/>
        <v>19.331929183353562</v>
      </c>
      <c r="EK18" s="316">
        <f>Мор!C81</f>
        <v>3735</v>
      </c>
      <c r="EL18" s="338">
        <f>Мор!D81</f>
        <v>2990</v>
      </c>
      <c r="EM18" s="317">
        <f t="shared" si="10"/>
        <v>80.053547523427042</v>
      </c>
      <c r="EN18" s="317">
        <f>Мор!C84</f>
        <v>0</v>
      </c>
      <c r="EO18" s="317">
        <f>Мор!D84</f>
        <v>0</v>
      </c>
      <c r="EP18" s="317" t="e">
        <f t="shared" si="11"/>
        <v>#DIV/0!</v>
      </c>
      <c r="EQ18" s="334">
        <f>Мор!C89</f>
        <v>0</v>
      </c>
      <c r="ER18" s="334">
        <f>Мор!D89</f>
        <v>0</v>
      </c>
      <c r="ES18" s="317" t="e">
        <f t="shared" si="51"/>
        <v>#DIV/0!</v>
      </c>
      <c r="ET18" s="317">
        <f>Мор!C95</f>
        <v>0</v>
      </c>
      <c r="EU18" s="317">
        <f>Мор!D95</f>
        <v>0</v>
      </c>
      <c r="EV18" s="317" t="e">
        <f t="shared" si="52"/>
        <v>#DIV/0!</v>
      </c>
      <c r="EW18" s="339">
        <f t="shared" si="12"/>
        <v>-554.81003999999666</v>
      </c>
      <c r="EX18" s="339">
        <f t="shared" si="13"/>
        <v>308.84864999999991</v>
      </c>
      <c r="EY18" s="317">
        <f t="shared" ref="EY18:EY30" si="54">EX18/EW18*100</f>
        <v>-55.667458721547604</v>
      </c>
      <c r="EZ18" s="172"/>
      <c r="FA18" s="173"/>
      <c r="FC18" s="173"/>
    </row>
    <row r="19" spans="1:170" s="262" customFormat="1" ht="15" customHeight="1">
      <c r="A19" s="357">
        <v>6</v>
      </c>
      <c r="B19" s="354" t="s">
        <v>308</v>
      </c>
      <c r="C19" s="330">
        <f t="shared" si="14"/>
        <v>10496.21651</v>
      </c>
      <c r="D19" s="306">
        <f t="shared" si="0"/>
        <v>9629.7200799999991</v>
      </c>
      <c r="E19" s="314">
        <f t="shared" si="1"/>
        <v>91.744678387927038</v>
      </c>
      <c r="F19" s="329">
        <f t="shared" si="2"/>
        <v>4541.1550000000007</v>
      </c>
      <c r="G19" s="329">
        <f t="shared" si="3"/>
        <v>4376.4058999999997</v>
      </c>
      <c r="H19" s="314">
        <f t="shared" si="15"/>
        <v>96.372088158188802</v>
      </c>
      <c r="I19" s="322">
        <f>Мос!C6</f>
        <v>1300.26</v>
      </c>
      <c r="J19" s="475">
        <f>Мос!D6</f>
        <v>1307.9622899999999</v>
      </c>
      <c r="K19" s="314">
        <f t="shared" si="16"/>
        <v>100.59236537307923</v>
      </c>
      <c r="L19" s="314">
        <f>Мос!C8</f>
        <v>248.38</v>
      </c>
      <c r="M19" s="314">
        <f>Мос!D8</f>
        <v>337.67451</v>
      </c>
      <c r="N19" s="314">
        <f t="shared" si="17"/>
        <v>135.95076495692084</v>
      </c>
      <c r="O19" s="314">
        <f>Мос!C9</f>
        <v>2.665</v>
      </c>
      <c r="P19" s="314">
        <f>Мос!D9</f>
        <v>2.4865200000000001</v>
      </c>
      <c r="Q19" s="314">
        <f t="shared" si="18"/>
        <v>93.302814258911823</v>
      </c>
      <c r="R19" s="314">
        <f>Мос!C10</f>
        <v>414.85</v>
      </c>
      <c r="S19" s="314">
        <f>Мос!D10</f>
        <v>453.62650000000002</v>
      </c>
      <c r="T19" s="314">
        <f t="shared" si="19"/>
        <v>109.34711341448717</v>
      </c>
      <c r="U19" s="314">
        <f>Мос!C11</f>
        <v>0</v>
      </c>
      <c r="V19" s="327">
        <f>Мос!D11</f>
        <v>-50.855080000000001</v>
      </c>
      <c r="W19" s="314" t="e">
        <f t="shared" si="20"/>
        <v>#DIV/0!</v>
      </c>
      <c r="X19" s="322">
        <f>Мос!C13</f>
        <v>30</v>
      </c>
      <c r="Y19" s="322">
        <f>Мос!D13</f>
        <v>27.633299999999998</v>
      </c>
      <c r="Z19" s="314">
        <f t="shared" si="21"/>
        <v>92.111000000000004</v>
      </c>
      <c r="AA19" s="322">
        <f>Мос!C15</f>
        <v>295</v>
      </c>
      <c r="AB19" s="313">
        <f>Мос!D15</f>
        <v>207.44311999999999</v>
      </c>
      <c r="AC19" s="314">
        <f t="shared" si="22"/>
        <v>70.319701694915253</v>
      </c>
      <c r="AD19" s="322">
        <f>Мос!C16</f>
        <v>2240</v>
      </c>
      <c r="AE19" s="322">
        <f>Мос!D16</f>
        <v>2038.8528799999999</v>
      </c>
      <c r="AF19" s="314">
        <f t="shared" si="4"/>
        <v>91.020217857142853</v>
      </c>
      <c r="AG19" s="314">
        <f>Мос!C18</f>
        <v>10</v>
      </c>
      <c r="AH19" s="314">
        <f>Мос!D18</f>
        <v>6.2</v>
      </c>
      <c r="AI19" s="314">
        <f t="shared" si="23"/>
        <v>62</v>
      </c>
      <c r="AJ19" s="314"/>
      <c r="AK19" s="314"/>
      <c r="AL19" s="314" t="e">
        <f t="shared" si="5"/>
        <v>#DIV/0!</v>
      </c>
      <c r="AM19" s="322">
        <f>Мос!C27</f>
        <v>0</v>
      </c>
      <c r="AN19" s="322">
        <f>Мос!D27</f>
        <v>0</v>
      </c>
      <c r="AO19" s="314" t="e">
        <f t="shared" si="6"/>
        <v>#DIV/0!</v>
      </c>
      <c r="AP19" s="322">
        <v>0</v>
      </c>
      <c r="AQ19" s="323">
        <f>Мос!D27</f>
        <v>0</v>
      </c>
      <c r="AR19" s="314" t="e">
        <f t="shared" si="24"/>
        <v>#DIV/0!</v>
      </c>
      <c r="AS19" s="322">
        <f>Мос!C26</f>
        <v>0</v>
      </c>
      <c r="AT19" s="323">
        <f>Мос!D28</f>
        <v>0</v>
      </c>
      <c r="AU19" s="314" t="e">
        <f t="shared" si="25"/>
        <v>#DIV/0!</v>
      </c>
      <c r="AV19" s="322"/>
      <c r="AW19" s="322"/>
      <c r="AX19" s="314" t="e">
        <f t="shared" si="26"/>
        <v>#DIV/0!</v>
      </c>
      <c r="AY19" s="314">
        <f>Мос!C30</f>
        <v>0</v>
      </c>
      <c r="AZ19" s="317">
        <f>Мос!D30</f>
        <v>0</v>
      </c>
      <c r="BA19" s="314" t="e">
        <f t="shared" si="27"/>
        <v>#DIV/0!</v>
      </c>
      <c r="BB19" s="314"/>
      <c r="BC19" s="314"/>
      <c r="BD19" s="314"/>
      <c r="BE19" s="314">
        <f>Мос!C33</f>
        <v>0</v>
      </c>
      <c r="BF19" s="314">
        <f>Мос!D33</f>
        <v>0</v>
      </c>
      <c r="BG19" s="314" t="e">
        <f t="shared" si="28"/>
        <v>#DIV/0!</v>
      </c>
      <c r="BH19" s="314"/>
      <c r="BI19" s="314"/>
      <c r="BJ19" s="314" t="e">
        <f t="shared" si="29"/>
        <v>#DIV/0!</v>
      </c>
      <c r="BK19" s="314"/>
      <c r="BL19" s="314"/>
      <c r="BM19" s="314"/>
      <c r="BN19" s="314"/>
      <c r="BO19" s="324">
        <f>Мос!D35</f>
        <v>45.381860000000003</v>
      </c>
      <c r="BP19" s="307" t="e">
        <f t="shared" si="30"/>
        <v>#DIV/0!</v>
      </c>
      <c r="BQ19" s="314">
        <f>Мос!C36</f>
        <v>0</v>
      </c>
      <c r="BR19" s="314">
        <f>Мос!D36</f>
        <v>0</v>
      </c>
      <c r="BS19" s="314" t="e">
        <f t="shared" si="31"/>
        <v>#DIV/0!</v>
      </c>
      <c r="BT19" s="314"/>
      <c r="BU19" s="314"/>
      <c r="BV19" s="325" t="e">
        <f t="shared" si="32"/>
        <v>#DIV/0!</v>
      </c>
      <c r="BW19" s="325"/>
      <c r="BX19" s="325"/>
      <c r="BY19" s="325" t="e">
        <f t="shared" si="33"/>
        <v>#DIV/0!</v>
      </c>
      <c r="BZ19" s="322">
        <f t="shared" si="34"/>
        <v>5955.0615099999995</v>
      </c>
      <c r="CA19" s="478">
        <f t="shared" si="35"/>
        <v>5253.3141800000003</v>
      </c>
      <c r="CB19" s="314">
        <f t="shared" si="53"/>
        <v>88.215951609876825</v>
      </c>
      <c r="CC19" s="314">
        <v>0</v>
      </c>
      <c r="CD19" s="314">
        <v>0</v>
      </c>
      <c r="CE19" s="314" t="e">
        <f>CD19/CC19*100</f>
        <v>#DIV/0!</v>
      </c>
      <c r="CF19" s="314">
        <f>Мос!C42</f>
        <v>300</v>
      </c>
      <c r="CG19" s="314">
        <f>Мос!D42</f>
        <v>200</v>
      </c>
      <c r="CH19" s="314">
        <f t="shared" si="37"/>
        <v>66.666666666666657</v>
      </c>
      <c r="CI19" s="314">
        <f>Мос!C43</f>
        <v>4585.9104399999997</v>
      </c>
      <c r="CJ19" s="314">
        <f>Мос!D43</f>
        <v>4000.3487100000002</v>
      </c>
      <c r="CK19" s="314">
        <f t="shared" si="7"/>
        <v>87.231287273024037</v>
      </c>
      <c r="CL19" s="314">
        <f>Мос!C45</f>
        <v>181.68199999999999</v>
      </c>
      <c r="CM19" s="314">
        <f>Мос!D45</f>
        <v>165.49639999999999</v>
      </c>
      <c r="CN19" s="314">
        <f t="shared" si="8"/>
        <v>91.09124734426085</v>
      </c>
      <c r="CO19" s="314">
        <f>Мос!C48</f>
        <v>0</v>
      </c>
      <c r="CP19" s="324">
        <f>Мос!D46</f>
        <v>0</v>
      </c>
      <c r="CQ19" s="314" t="e">
        <f>CP19/CO19*100</f>
        <v>#DIV/0!</v>
      </c>
      <c r="CR19" s="327">
        <f>Мос!C51</f>
        <v>887.46906999999999</v>
      </c>
      <c r="CS19" s="314">
        <f>Мос!D51</f>
        <v>887.46906999999999</v>
      </c>
      <c r="CT19" s="314">
        <f t="shared" si="9"/>
        <v>100</v>
      </c>
      <c r="CU19" s="314"/>
      <c r="CV19" s="314"/>
      <c r="CW19" s="314"/>
      <c r="CX19" s="322"/>
      <c r="CY19" s="322"/>
      <c r="CZ19" s="314" t="e">
        <f t="shared" si="38"/>
        <v>#DIV/0!</v>
      </c>
      <c r="DA19" s="314"/>
      <c r="DB19" s="314"/>
      <c r="DC19" s="314"/>
      <c r="DD19" s="314"/>
      <c r="DE19" s="314"/>
      <c r="DF19" s="314"/>
      <c r="DG19" s="316">
        <f t="shared" si="39"/>
        <v>11281.41214</v>
      </c>
      <c r="DH19" s="316">
        <f t="shared" si="39"/>
        <v>9536.9179399999994</v>
      </c>
      <c r="DI19" s="314">
        <f t="shared" si="40"/>
        <v>84.536561749972549</v>
      </c>
      <c r="DJ19" s="322">
        <f t="shared" si="41"/>
        <v>2124.7999999999997</v>
      </c>
      <c r="DK19" s="322">
        <f t="shared" si="41"/>
        <v>1701.39067</v>
      </c>
      <c r="DL19" s="314">
        <f t="shared" si="42"/>
        <v>80.072979574548199</v>
      </c>
      <c r="DM19" s="314">
        <f>Мос!C59</f>
        <v>2115.3229999999999</v>
      </c>
      <c r="DN19" s="324">
        <f>Мос!D59</f>
        <v>1696.9136699999999</v>
      </c>
      <c r="DO19" s="314">
        <f t="shared" si="43"/>
        <v>80.220073719238144</v>
      </c>
      <c r="DP19" s="314">
        <f>Мос!C62</f>
        <v>0</v>
      </c>
      <c r="DQ19" s="314">
        <f>Мос!D62</f>
        <v>0</v>
      </c>
      <c r="DR19" s="314" t="e">
        <f t="shared" si="44"/>
        <v>#DIV/0!</v>
      </c>
      <c r="DS19" s="314">
        <f>Мос!C63</f>
        <v>5</v>
      </c>
      <c r="DT19" s="314">
        <f>Мос!D63</f>
        <v>0</v>
      </c>
      <c r="DU19" s="314">
        <f t="shared" si="45"/>
        <v>0</v>
      </c>
      <c r="DV19" s="314">
        <f>Мос!C64</f>
        <v>4.4770000000000003</v>
      </c>
      <c r="DW19" s="314">
        <f>Мос!D64</f>
        <v>4.4770000000000003</v>
      </c>
      <c r="DX19" s="314">
        <f t="shared" si="46"/>
        <v>100</v>
      </c>
      <c r="DY19" s="314">
        <f>Мос!C66</f>
        <v>179.892</v>
      </c>
      <c r="DZ19" s="314">
        <f>Мос!D66</f>
        <v>133.63618</v>
      </c>
      <c r="EA19" s="314">
        <f t="shared" si="47"/>
        <v>74.286894358837529</v>
      </c>
      <c r="EB19" s="314">
        <f>Мос!C67</f>
        <v>107</v>
      </c>
      <c r="EC19" s="450">
        <f>Мос!D67</f>
        <v>101.78825999999999</v>
      </c>
      <c r="ED19" s="314">
        <f t="shared" si="48"/>
        <v>95.129214953271031</v>
      </c>
      <c r="EE19" s="322">
        <f>Мос!C73</f>
        <v>6768.56322</v>
      </c>
      <c r="EF19" s="322">
        <f>Мос!D73</f>
        <v>6475.3745099999996</v>
      </c>
      <c r="EG19" s="314">
        <f t="shared" si="49"/>
        <v>95.668375983640431</v>
      </c>
      <c r="EH19" s="322">
        <f>Мос!C78</f>
        <v>659.45691999999997</v>
      </c>
      <c r="EI19" s="322">
        <f>Мос!D78</f>
        <v>599.44431999999995</v>
      </c>
      <c r="EJ19" s="314">
        <f t="shared" si="50"/>
        <v>90.899693644885843</v>
      </c>
      <c r="EK19" s="322">
        <f>Мос!C83</f>
        <v>1411.7</v>
      </c>
      <c r="EL19" s="328">
        <f>Мос!D83</f>
        <v>515.28399999999999</v>
      </c>
      <c r="EM19" s="314">
        <f t="shared" si="10"/>
        <v>36.500956293830136</v>
      </c>
      <c r="EN19" s="314">
        <f>Мос!C91</f>
        <v>0</v>
      </c>
      <c r="EO19" s="314">
        <f>Мос!D91</f>
        <v>0</v>
      </c>
      <c r="EP19" s="314" t="e">
        <f t="shared" si="11"/>
        <v>#DIV/0!</v>
      </c>
      <c r="EQ19" s="329">
        <f>Мос!C93</f>
        <v>30</v>
      </c>
      <c r="ER19" s="329">
        <f>Мос!D93</f>
        <v>10</v>
      </c>
      <c r="ES19" s="314">
        <f t="shared" si="51"/>
        <v>33.333333333333329</v>
      </c>
      <c r="ET19" s="314">
        <f>Мос!C99</f>
        <v>0</v>
      </c>
      <c r="EU19" s="314">
        <f>Мос!D99</f>
        <v>0</v>
      </c>
      <c r="EV19" s="314" t="e">
        <f t="shared" si="52"/>
        <v>#DIV/0!</v>
      </c>
      <c r="EW19" s="340">
        <f t="shared" si="12"/>
        <v>-785.19563000000016</v>
      </c>
      <c r="EX19" s="340">
        <f t="shared" si="13"/>
        <v>92.802139999999781</v>
      </c>
      <c r="EY19" s="314">
        <f t="shared" si="54"/>
        <v>-11.81898325134588</v>
      </c>
      <c r="EZ19" s="260"/>
      <c r="FA19" s="261"/>
      <c r="FC19" s="261"/>
    </row>
    <row r="20" spans="1:170" s="162" customFormat="1" ht="15" customHeight="1">
      <c r="A20" s="352">
        <v>7</v>
      </c>
      <c r="B20" s="354" t="s">
        <v>309</v>
      </c>
      <c r="C20" s="305">
        <f t="shared" si="14"/>
        <v>6571.2150000000001</v>
      </c>
      <c r="D20" s="306">
        <f t="shared" si="0"/>
        <v>5484.3438299999998</v>
      </c>
      <c r="E20" s="314">
        <f t="shared" si="1"/>
        <v>83.460118562548928</v>
      </c>
      <c r="F20" s="308">
        <f t="shared" si="2"/>
        <v>2704.6179999999999</v>
      </c>
      <c r="G20" s="308">
        <f t="shared" si="3"/>
        <v>2238.3950299999992</v>
      </c>
      <c r="H20" s="314">
        <f t="shared" si="15"/>
        <v>82.761966015163665</v>
      </c>
      <c r="I20" s="331">
        <f>Ори!C6</f>
        <v>244.083</v>
      </c>
      <c r="J20" s="474">
        <f>Ори!D6</f>
        <v>162.17382000000001</v>
      </c>
      <c r="K20" s="314">
        <f t="shared" si="16"/>
        <v>66.442079128820936</v>
      </c>
      <c r="L20" s="314">
        <f>Ори!C8</f>
        <v>158.35</v>
      </c>
      <c r="M20" s="314">
        <f>Ори!D8</f>
        <v>215.28117</v>
      </c>
      <c r="N20" s="307">
        <f t="shared" si="17"/>
        <v>135.95274392169244</v>
      </c>
      <c r="O20" s="307">
        <f>Ори!C9</f>
        <v>1.6950000000000001</v>
      </c>
      <c r="P20" s="307">
        <f>Ори!D9</f>
        <v>1.58528</v>
      </c>
      <c r="Q20" s="307">
        <f t="shared" si="18"/>
        <v>93.526843657817111</v>
      </c>
      <c r="R20" s="307">
        <f>Ори!C10</f>
        <v>264.49</v>
      </c>
      <c r="S20" s="307">
        <f>Ори!D10</f>
        <v>289.20524999999998</v>
      </c>
      <c r="T20" s="307">
        <f t="shared" si="19"/>
        <v>109.34449317554538</v>
      </c>
      <c r="U20" s="307">
        <f>Ори!C11</f>
        <v>0</v>
      </c>
      <c r="V20" s="311">
        <f>Ори!D11</f>
        <v>-32.422179999999997</v>
      </c>
      <c r="W20" s="307" t="e">
        <f t="shared" si="20"/>
        <v>#DIV/0!</v>
      </c>
      <c r="X20" s="322">
        <f>Ори!C13</f>
        <v>40</v>
      </c>
      <c r="Y20" s="322">
        <f>Ори!D13</f>
        <v>9.3778500000000005</v>
      </c>
      <c r="Z20" s="314">
        <f t="shared" si="21"/>
        <v>23.444625000000002</v>
      </c>
      <c r="AA20" s="322">
        <f>Ори!C15</f>
        <v>326</v>
      </c>
      <c r="AB20" s="313">
        <f>Ори!D15</f>
        <v>222.48514</v>
      </c>
      <c r="AC20" s="314">
        <f t="shared" si="22"/>
        <v>68.246975460122712</v>
      </c>
      <c r="AD20" s="322">
        <f>Ори!C16</f>
        <v>1550</v>
      </c>
      <c r="AE20" s="322">
        <f>Ори!D16</f>
        <v>1241.64356</v>
      </c>
      <c r="AF20" s="314">
        <f t="shared" si="4"/>
        <v>80.106036129032248</v>
      </c>
      <c r="AG20" s="314">
        <f>Ори!C18</f>
        <v>10</v>
      </c>
      <c r="AH20" s="314">
        <f>Ори!D18</f>
        <v>6.08</v>
      </c>
      <c r="AI20" s="314">
        <f t="shared" si="23"/>
        <v>60.8</v>
      </c>
      <c r="AJ20" s="314"/>
      <c r="AK20" s="314"/>
      <c r="AL20" s="314" t="e">
        <f t="shared" si="5"/>
        <v>#DIV/0!</v>
      </c>
      <c r="AM20" s="322">
        <v>0</v>
      </c>
      <c r="AN20" s="322">
        <v>0</v>
      </c>
      <c r="AO20" s="314" t="e">
        <f t="shared" si="6"/>
        <v>#DIV/0!</v>
      </c>
      <c r="AP20" s="322">
        <f>Ори!C27</f>
        <v>50</v>
      </c>
      <c r="AQ20" s="323">
        <f>Ори!D27</f>
        <v>48.451599999999999</v>
      </c>
      <c r="AR20" s="314">
        <f t="shared" si="24"/>
        <v>96.903199999999998</v>
      </c>
      <c r="AS20" s="316">
        <f>Ори!C28</f>
        <v>30</v>
      </c>
      <c r="AT20" s="323">
        <f>Ори!D28</f>
        <v>45</v>
      </c>
      <c r="AU20" s="314">
        <f t="shared" si="25"/>
        <v>150</v>
      </c>
      <c r="AV20" s="322"/>
      <c r="AW20" s="322"/>
      <c r="AX20" s="314" t="e">
        <f t="shared" si="26"/>
        <v>#DIV/0!</v>
      </c>
      <c r="AY20" s="314">
        <f>Ори!C30</f>
        <v>30</v>
      </c>
      <c r="AZ20" s="317">
        <f>Ори!D30</f>
        <v>34.183540000000001</v>
      </c>
      <c r="BA20" s="314">
        <f t="shared" si="27"/>
        <v>113.94513333333333</v>
      </c>
      <c r="BB20" s="314"/>
      <c r="BC20" s="314"/>
      <c r="BD20" s="314"/>
      <c r="BE20" s="314">
        <f>Ори!C33</f>
        <v>0</v>
      </c>
      <c r="BF20" s="314">
        <f>Ори!D33</f>
        <v>0</v>
      </c>
      <c r="BG20" s="314" t="e">
        <f t="shared" si="28"/>
        <v>#DIV/0!</v>
      </c>
      <c r="BH20" s="314"/>
      <c r="BI20" s="314"/>
      <c r="BJ20" s="314" t="e">
        <f t="shared" si="29"/>
        <v>#DIV/0!</v>
      </c>
      <c r="BK20" s="314"/>
      <c r="BL20" s="314"/>
      <c r="BM20" s="314"/>
      <c r="BN20" s="314"/>
      <c r="BO20" s="324">
        <f>Ори!D34</f>
        <v>0</v>
      </c>
      <c r="BP20" s="307" t="e">
        <f t="shared" si="30"/>
        <v>#DIV/0!</v>
      </c>
      <c r="BQ20" s="314">
        <f>Ори!C36</f>
        <v>0</v>
      </c>
      <c r="BR20" s="314">
        <f>Ори!D36</f>
        <v>-4.6500000000000004</v>
      </c>
      <c r="BS20" s="314" t="e">
        <f t="shared" si="31"/>
        <v>#DIV/0!</v>
      </c>
      <c r="BT20" s="314"/>
      <c r="BU20" s="314"/>
      <c r="BV20" s="325" t="e">
        <f t="shared" si="32"/>
        <v>#DIV/0!</v>
      </c>
      <c r="BW20" s="325"/>
      <c r="BX20" s="325"/>
      <c r="BY20" s="325" t="e">
        <f t="shared" si="33"/>
        <v>#DIV/0!</v>
      </c>
      <c r="BZ20" s="312">
        <f t="shared" si="34"/>
        <v>3866.5969999999998</v>
      </c>
      <c r="CA20" s="343">
        <f t="shared" si="35"/>
        <v>3245.9488000000001</v>
      </c>
      <c r="CB20" s="314">
        <f t="shared" si="53"/>
        <v>83.948464243881645</v>
      </c>
      <c r="CC20" s="314">
        <f>Ори!C41</f>
        <v>1462.5</v>
      </c>
      <c r="CD20" s="314">
        <f>Ори!D41</f>
        <v>1365.1289999999999</v>
      </c>
      <c r="CE20" s="314">
        <f t="shared" si="36"/>
        <v>93.342153846153835</v>
      </c>
      <c r="CF20" s="314">
        <f>Ори!C42</f>
        <v>620</v>
      </c>
      <c r="CG20" s="314">
        <f>Ори!D42</f>
        <v>410</v>
      </c>
      <c r="CH20" s="314">
        <f t="shared" si="37"/>
        <v>66.129032258064512</v>
      </c>
      <c r="CI20" s="314">
        <f>Ори!C43</f>
        <v>1165.08</v>
      </c>
      <c r="CJ20" s="314">
        <f>Ори!D43</f>
        <v>1054.826</v>
      </c>
      <c r="CK20" s="314">
        <f t="shared" si="7"/>
        <v>90.536787173412989</v>
      </c>
      <c r="CL20" s="314">
        <f>Ори!C45</f>
        <v>182.40299999999999</v>
      </c>
      <c r="CM20" s="314">
        <f>Ори!D45</f>
        <v>166.09379999999999</v>
      </c>
      <c r="CN20" s="314">
        <f t="shared" si="8"/>
        <v>91.058699692439276</v>
      </c>
      <c r="CO20" s="314">
        <f>Ори!C46</f>
        <v>436.61399999999998</v>
      </c>
      <c r="CP20" s="324">
        <f>Ори!D46</f>
        <v>249.9</v>
      </c>
      <c r="CQ20" s="314">
        <f>CP20/CO20*100</f>
        <v>57.235910896123357</v>
      </c>
      <c r="CR20" s="327">
        <f>Ори!C47</f>
        <v>0</v>
      </c>
      <c r="CS20" s="314">
        <f>Ори!D47</f>
        <v>0</v>
      </c>
      <c r="CT20" s="314" t="e">
        <f t="shared" si="9"/>
        <v>#DIV/0!</v>
      </c>
      <c r="CU20" s="314"/>
      <c r="CV20" s="314"/>
      <c r="CW20" s="314"/>
      <c r="CX20" s="322"/>
      <c r="CY20" s="322"/>
      <c r="CZ20" s="314" t="e">
        <f t="shared" si="38"/>
        <v>#DIV/0!</v>
      </c>
      <c r="DA20" s="314"/>
      <c r="DB20" s="314"/>
      <c r="DC20" s="314"/>
      <c r="DD20" s="314"/>
      <c r="DE20" s="314"/>
      <c r="DF20" s="314"/>
      <c r="DG20" s="316">
        <f t="shared" si="39"/>
        <v>6931.0314799999996</v>
      </c>
      <c r="DH20" s="316">
        <f t="shared" si="39"/>
        <v>5537.0352800000001</v>
      </c>
      <c r="DI20" s="314">
        <f t="shared" si="40"/>
        <v>79.887608301556881</v>
      </c>
      <c r="DJ20" s="322">
        <f t="shared" si="41"/>
        <v>1517.8489999999999</v>
      </c>
      <c r="DK20" s="322">
        <f t="shared" si="41"/>
        <v>1252.59511</v>
      </c>
      <c r="DL20" s="314">
        <f t="shared" si="42"/>
        <v>82.524355848309028</v>
      </c>
      <c r="DM20" s="314">
        <f>Ори!C58</f>
        <v>1481.6489999999999</v>
      </c>
      <c r="DN20" s="324">
        <f>Ори!D58</f>
        <v>1248.56061</v>
      </c>
      <c r="DO20" s="314">
        <f t="shared" si="43"/>
        <v>84.268312535560057</v>
      </c>
      <c r="DP20" s="314">
        <f>Ори!C61</f>
        <v>0</v>
      </c>
      <c r="DQ20" s="314">
        <f>Ори!D61</f>
        <v>0</v>
      </c>
      <c r="DR20" s="314" t="e">
        <f t="shared" si="44"/>
        <v>#DIV/0!</v>
      </c>
      <c r="DS20" s="314">
        <f>Ори!C62</f>
        <v>5</v>
      </c>
      <c r="DT20" s="314">
        <f>Ори!D62</f>
        <v>0</v>
      </c>
      <c r="DU20" s="314">
        <f t="shared" si="45"/>
        <v>0</v>
      </c>
      <c r="DV20" s="314">
        <f>Ори!C63</f>
        <v>31.2</v>
      </c>
      <c r="DW20" s="314">
        <f>Ори!D63</f>
        <v>4.0345000000000004</v>
      </c>
      <c r="DX20" s="314">
        <f t="shared" si="46"/>
        <v>12.931089743589746</v>
      </c>
      <c r="DY20" s="314">
        <f>Ори!C65</f>
        <v>179.892</v>
      </c>
      <c r="DZ20" s="314">
        <f>Ори!D65</f>
        <v>137.92158000000001</v>
      </c>
      <c r="EA20" s="314">
        <f t="shared" si="47"/>
        <v>76.669101460876533</v>
      </c>
      <c r="EB20" s="314">
        <f>Ори!C66</f>
        <v>113.5</v>
      </c>
      <c r="EC20" s="450">
        <f>Ори!D66</f>
        <v>112.85311</v>
      </c>
      <c r="ED20" s="314">
        <f t="shared" si="48"/>
        <v>99.430052863436131</v>
      </c>
      <c r="EE20" s="322">
        <f>Ори!C72</f>
        <v>2138.6814800000002</v>
      </c>
      <c r="EF20" s="322">
        <f>Ори!D72</f>
        <v>1931.30943</v>
      </c>
      <c r="EG20" s="314">
        <f t="shared" si="49"/>
        <v>90.303743126816613</v>
      </c>
      <c r="EH20" s="322">
        <f>Ори!C77</f>
        <v>1337.009</v>
      </c>
      <c r="EI20" s="322">
        <f>Ори!D77</f>
        <v>979.41004999999996</v>
      </c>
      <c r="EJ20" s="314">
        <f t="shared" si="50"/>
        <v>73.253811305683058</v>
      </c>
      <c r="EK20" s="322">
        <f>Ори!C82</f>
        <v>1632.1</v>
      </c>
      <c r="EL20" s="328">
        <f>Ори!D82</f>
        <v>1122.9459999999999</v>
      </c>
      <c r="EM20" s="314">
        <f t="shared" si="10"/>
        <v>68.803749770234674</v>
      </c>
      <c r="EN20" s="314">
        <f>Ори!C84</f>
        <v>0</v>
      </c>
      <c r="EO20" s="314">
        <f>Ори!D84</f>
        <v>0</v>
      </c>
      <c r="EP20" s="314" t="e">
        <f t="shared" si="11"/>
        <v>#DIV/0!</v>
      </c>
      <c r="EQ20" s="329">
        <f>Ори!C89</f>
        <v>12</v>
      </c>
      <c r="ER20" s="329">
        <f>Ори!D89</f>
        <v>0</v>
      </c>
      <c r="ES20" s="314">
        <f t="shared" si="51"/>
        <v>0</v>
      </c>
      <c r="ET20" s="314">
        <f>Ори!C95</f>
        <v>0</v>
      </c>
      <c r="EU20" s="314">
        <f>Ори!D95</f>
        <v>0</v>
      </c>
      <c r="EV20" s="307" t="e">
        <f t="shared" si="52"/>
        <v>#DIV/0!</v>
      </c>
      <c r="EW20" s="321">
        <f t="shared" si="12"/>
        <v>-359.8164799999995</v>
      </c>
      <c r="EX20" s="321">
        <f t="shared" si="13"/>
        <v>-52.691450000000259</v>
      </c>
      <c r="EY20" s="307">
        <f t="shared" si="54"/>
        <v>14.643979063994047</v>
      </c>
      <c r="EZ20" s="164"/>
      <c r="FA20" s="165"/>
      <c r="FC20" s="165"/>
      <c r="FF20" s="167"/>
      <c r="FG20" s="167"/>
      <c r="FH20" s="167"/>
      <c r="FI20" s="167"/>
      <c r="FJ20" s="167"/>
      <c r="FK20" s="167"/>
      <c r="FL20" s="167"/>
      <c r="FM20" s="167"/>
      <c r="FN20" s="167"/>
    </row>
    <row r="21" spans="1:170" s="162" customFormat="1" ht="15" customHeight="1">
      <c r="A21" s="352">
        <v>8</v>
      </c>
      <c r="B21" s="354" t="s">
        <v>310</v>
      </c>
      <c r="C21" s="305">
        <f t="shared" si="14"/>
        <v>7485.396999999999</v>
      </c>
      <c r="D21" s="306">
        <f t="shared" si="0"/>
        <v>7057.9466499999999</v>
      </c>
      <c r="E21" s="314">
        <f t="shared" si="1"/>
        <v>94.289543360225252</v>
      </c>
      <c r="F21" s="308">
        <f t="shared" si="2"/>
        <v>1917.2080000000001</v>
      </c>
      <c r="G21" s="308">
        <f t="shared" si="3"/>
        <v>1816.5146499999998</v>
      </c>
      <c r="H21" s="314">
        <f t="shared" si="15"/>
        <v>94.747917283883638</v>
      </c>
      <c r="I21" s="322">
        <f>Сят!C6</f>
        <v>111.54300000000001</v>
      </c>
      <c r="J21" s="475">
        <f>Сят!D6</f>
        <v>106.85635000000001</v>
      </c>
      <c r="K21" s="314">
        <f t="shared" si="16"/>
        <v>95.798346825887776</v>
      </c>
      <c r="L21" s="314">
        <f>Сят!C8</f>
        <v>195.33</v>
      </c>
      <c r="M21" s="314">
        <f>Сят!D8</f>
        <v>265.54986000000002</v>
      </c>
      <c r="N21" s="307">
        <f t="shared" si="17"/>
        <v>135.94934725848563</v>
      </c>
      <c r="O21" s="307">
        <f>Сят!C9</f>
        <v>2.0950000000000002</v>
      </c>
      <c r="P21" s="307">
        <f>Сят!D9</f>
        <v>1.9554499999999999</v>
      </c>
      <c r="Q21" s="307">
        <f t="shared" si="18"/>
        <v>93.338902147971353</v>
      </c>
      <c r="R21" s="307">
        <f>Сят!C10</f>
        <v>326.24</v>
      </c>
      <c r="S21" s="307">
        <f>Сят!D10</f>
        <v>356.73541</v>
      </c>
      <c r="T21" s="307">
        <f t="shared" si="19"/>
        <v>109.34753862187347</v>
      </c>
      <c r="U21" s="307">
        <f>Сят!C11</f>
        <v>0</v>
      </c>
      <c r="V21" s="311">
        <f>Сят!D11</f>
        <v>-39.992849999999997</v>
      </c>
      <c r="W21" s="307" t="e">
        <f t="shared" si="20"/>
        <v>#DIV/0!</v>
      </c>
      <c r="X21" s="322">
        <f>Сят!C13</f>
        <v>45</v>
      </c>
      <c r="Y21" s="322">
        <f>Сят!D13</f>
        <v>98.753339999999994</v>
      </c>
      <c r="Z21" s="314">
        <f t="shared" si="21"/>
        <v>219.45186666666666</v>
      </c>
      <c r="AA21" s="322">
        <f>Сят!C15</f>
        <v>138</v>
      </c>
      <c r="AB21" s="313">
        <f>Сят!D15</f>
        <v>131.08688000000001</v>
      </c>
      <c r="AC21" s="314">
        <f t="shared" si="22"/>
        <v>94.990492753623187</v>
      </c>
      <c r="AD21" s="322">
        <f>Сят!C16</f>
        <v>1000</v>
      </c>
      <c r="AE21" s="322">
        <f>Сят!D16</f>
        <v>805.86587999999995</v>
      </c>
      <c r="AF21" s="314">
        <f t="shared" si="4"/>
        <v>80.586587999999992</v>
      </c>
      <c r="AG21" s="314">
        <f>Сят!C18</f>
        <v>10</v>
      </c>
      <c r="AH21" s="314">
        <f>Сят!D18</f>
        <v>3.5</v>
      </c>
      <c r="AI21" s="314">
        <f t="shared" si="23"/>
        <v>35</v>
      </c>
      <c r="AJ21" s="314">
        <f>Сят!C22</f>
        <v>0</v>
      </c>
      <c r="AK21" s="314">
        <f>Сят!D20</f>
        <v>0</v>
      </c>
      <c r="AL21" s="314" t="e">
        <f t="shared" si="5"/>
        <v>#DIV/0!</v>
      </c>
      <c r="AM21" s="322">
        <v>0</v>
      </c>
      <c r="AN21" s="322">
        <v>0</v>
      </c>
      <c r="AO21" s="314" t="e">
        <f t="shared" si="6"/>
        <v>#DIV/0!</v>
      </c>
      <c r="AP21" s="322">
        <f>Сят!C27</f>
        <v>83</v>
      </c>
      <c r="AQ21" s="323">
        <f>Сят!D27</f>
        <v>71.61</v>
      </c>
      <c r="AR21" s="314">
        <f t="shared" si="24"/>
        <v>86.277108433734938</v>
      </c>
      <c r="AS21" s="316">
        <f>Сят!C28</f>
        <v>6</v>
      </c>
      <c r="AT21" s="323">
        <f>Сят!D28</f>
        <v>6.2092799999999997</v>
      </c>
      <c r="AU21" s="314">
        <f t="shared" si="25"/>
        <v>103.488</v>
      </c>
      <c r="AV21" s="322"/>
      <c r="AW21" s="322"/>
      <c r="AX21" s="314" t="e">
        <f t="shared" si="26"/>
        <v>#DIV/0!</v>
      </c>
      <c r="AY21" s="314">
        <f>Сят!C30</f>
        <v>0</v>
      </c>
      <c r="AZ21" s="317">
        <f>Сят!D30</f>
        <v>6.5555500000000002</v>
      </c>
      <c r="BA21" s="314" t="e">
        <f t="shared" si="27"/>
        <v>#DIV/0!</v>
      </c>
      <c r="BB21" s="314"/>
      <c r="BC21" s="314"/>
      <c r="BD21" s="314"/>
      <c r="BE21" s="314">
        <f>Сят!C33</f>
        <v>0</v>
      </c>
      <c r="BF21" s="314">
        <f>Сят!D33</f>
        <v>0</v>
      </c>
      <c r="BG21" s="314" t="e">
        <f t="shared" si="28"/>
        <v>#DIV/0!</v>
      </c>
      <c r="BH21" s="314"/>
      <c r="BI21" s="314"/>
      <c r="BJ21" s="314" t="e">
        <f t="shared" si="29"/>
        <v>#DIV/0!</v>
      </c>
      <c r="BK21" s="314"/>
      <c r="BL21" s="314"/>
      <c r="BM21" s="314"/>
      <c r="BN21" s="314">
        <f>Сят!C34</f>
        <v>0</v>
      </c>
      <c r="BO21" s="324">
        <f>Сят!D34</f>
        <v>1.8294999999999999</v>
      </c>
      <c r="BP21" s="307" t="e">
        <f t="shared" si="30"/>
        <v>#DIV/0!</v>
      </c>
      <c r="BQ21" s="314">
        <f>Сят!C36</f>
        <v>0</v>
      </c>
      <c r="BR21" s="314">
        <f>Сят!D36</f>
        <v>0</v>
      </c>
      <c r="BS21" s="314" t="e">
        <f t="shared" si="31"/>
        <v>#DIV/0!</v>
      </c>
      <c r="BT21" s="314"/>
      <c r="BU21" s="314"/>
      <c r="BV21" s="325" t="e">
        <f t="shared" si="32"/>
        <v>#DIV/0!</v>
      </c>
      <c r="BW21" s="325"/>
      <c r="BX21" s="325"/>
      <c r="BY21" s="325" t="e">
        <f t="shared" si="33"/>
        <v>#DIV/0!</v>
      </c>
      <c r="BZ21" s="312">
        <f t="shared" si="34"/>
        <v>5568.1889999999994</v>
      </c>
      <c r="CA21" s="343">
        <f t="shared" si="35"/>
        <v>5241.4319999999998</v>
      </c>
      <c r="CB21" s="314">
        <f t="shared" si="53"/>
        <v>94.131718589293584</v>
      </c>
      <c r="CC21" s="314">
        <f>Сят!C41</f>
        <v>2862</v>
      </c>
      <c r="CD21" s="314">
        <f>Сят!D41</f>
        <v>2671.4490000000001</v>
      </c>
      <c r="CE21" s="314">
        <f t="shared" si="36"/>
        <v>93.342033542976949</v>
      </c>
      <c r="CF21" s="314">
        <f>Сят!C42</f>
        <v>0</v>
      </c>
      <c r="CG21" s="314">
        <f>Сят!D42</f>
        <v>0</v>
      </c>
      <c r="CH21" s="314" t="e">
        <f t="shared" si="37"/>
        <v>#DIV/0!</v>
      </c>
      <c r="CI21" s="314">
        <f>Сят!C43</f>
        <v>2013.269</v>
      </c>
      <c r="CJ21" s="314">
        <f>Сят!D43</f>
        <v>1911.1089999999999</v>
      </c>
      <c r="CK21" s="314">
        <f t="shared" si="7"/>
        <v>94.925665671105051</v>
      </c>
      <c r="CL21" s="314">
        <f>Сят!C44</f>
        <v>182.04300000000001</v>
      </c>
      <c r="CM21" s="314">
        <f>Сят!D44</f>
        <v>167.05</v>
      </c>
      <c r="CN21" s="314">
        <f t="shared" si="8"/>
        <v>91.764033772240623</v>
      </c>
      <c r="CO21" s="314">
        <f>Сят!C48</f>
        <v>286.053</v>
      </c>
      <c r="CP21" s="324">
        <f>Сят!D48</f>
        <v>267</v>
      </c>
      <c r="CQ21" s="314">
        <f>CP21/CO21*100</f>
        <v>93.33934620507388</v>
      </c>
      <c r="CR21" s="327">
        <f>Сят!C49</f>
        <v>224.82400000000001</v>
      </c>
      <c r="CS21" s="314">
        <f>Сят!D49</f>
        <v>224.82400000000001</v>
      </c>
      <c r="CT21" s="314">
        <f t="shared" si="9"/>
        <v>100</v>
      </c>
      <c r="CU21" s="314"/>
      <c r="CV21" s="314">
        <f>Сят!D50</f>
        <v>0</v>
      </c>
      <c r="CW21" s="314"/>
      <c r="CX21" s="322"/>
      <c r="CY21" s="322"/>
      <c r="CZ21" s="314" t="e">
        <f t="shared" si="38"/>
        <v>#DIV/0!</v>
      </c>
      <c r="DA21" s="314"/>
      <c r="DB21" s="314"/>
      <c r="DC21" s="314"/>
      <c r="DD21" s="314"/>
      <c r="DE21" s="314"/>
      <c r="DF21" s="314"/>
      <c r="DG21" s="316">
        <f t="shared" si="39"/>
        <v>7773.9208500000004</v>
      </c>
      <c r="DH21" s="316">
        <f t="shared" si="39"/>
        <v>6615.0652399999999</v>
      </c>
      <c r="DI21" s="314">
        <f t="shared" si="40"/>
        <v>85.093035646227349</v>
      </c>
      <c r="DJ21" s="322">
        <f t="shared" si="41"/>
        <v>1505.5590000000002</v>
      </c>
      <c r="DK21" s="322">
        <f>Сят!D56</f>
        <v>1139.6837499999999</v>
      </c>
      <c r="DL21" s="314">
        <f t="shared" si="42"/>
        <v>75.698378476034463</v>
      </c>
      <c r="DM21" s="314">
        <f>Сят!C58</f>
        <v>1367.0530000000001</v>
      </c>
      <c r="DN21" s="324">
        <f>Сят!D58</f>
        <v>1126.57825</v>
      </c>
      <c r="DO21" s="314">
        <f t="shared" si="43"/>
        <v>82.409259187463832</v>
      </c>
      <c r="DP21" s="314">
        <f>Сят!C61</f>
        <v>0</v>
      </c>
      <c r="DQ21" s="314">
        <f>Сят!D61</f>
        <v>0</v>
      </c>
      <c r="DR21" s="314" t="e">
        <f t="shared" si="44"/>
        <v>#DIV/0!</v>
      </c>
      <c r="DS21" s="314">
        <f>Сят!C62</f>
        <v>5</v>
      </c>
      <c r="DT21" s="314">
        <f>Сят!D62</f>
        <v>0</v>
      </c>
      <c r="DU21" s="314">
        <f t="shared" si="45"/>
        <v>0</v>
      </c>
      <c r="DV21" s="314">
        <f>Сят!C63</f>
        <v>133.506</v>
      </c>
      <c r="DW21" s="314">
        <f>Сят!D63</f>
        <v>13.105499999999999</v>
      </c>
      <c r="DX21" s="314">
        <f t="shared" si="46"/>
        <v>9.8164127454945831</v>
      </c>
      <c r="DY21" s="314">
        <f>Сят!C65</f>
        <v>179.892</v>
      </c>
      <c r="DZ21" s="314">
        <f>Сят!D65</f>
        <v>152.86555999999999</v>
      </c>
      <c r="EA21" s="314">
        <f t="shared" si="47"/>
        <v>84.976296889244651</v>
      </c>
      <c r="EB21" s="314">
        <f>Сят!C66</f>
        <v>6.7040000000000006</v>
      </c>
      <c r="EC21" s="450">
        <f>Сят!D66</f>
        <v>3.35311</v>
      </c>
      <c r="ED21" s="314">
        <f t="shared" si="48"/>
        <v>50.016557279236274</v>
      </c>
      <c r="EE21" s="322">
        <f>Сят!C72</f>
        <v>3287.29585</v>
      </c>
      <c r="EF21" s="322">
        <f>Сят!D72</f>
        <v>2942.0656100000001</v>
      </c>
      <c r="EG21" s="314">
        <f t="shared" si="49"/>
        <v>89.498047764699976</v>
      </c>
      <c r="EH21" s="322">
        <f>Сят!C77</f>
        <v>743.01300000000003</v>
      </c>
      <c r="EI21" s="322">
        <f>Сят!D77</f>
        <v>567.19781</v>
      </c>
      <c r="EJ21" s="314">
        <f t="shared" si="50"/>
        <v>76.337535144068809</v>
      </c>
      <c r="EK21" s="322">
        <f>Сят!C81</f>
        <v>2026.9880000000001</v>
      </c>
      <c r="EL21" s="328">
        <f>Сят!D81</f>
        <v>1797.8184000000001</v>
      </c>
      <c r="EM21" s="314">
        <f t="shared" si="10"/>
        <v>88.694082056726529</v>
      </c>
      <c r="EN21" s="314">
        <f>Сят!C83</f>
        <v>0</v>
      </c>
      <c r="EO21" s="314">
        <f>Сят!D83</f>
        <v>0</v>
      </c>
      <c r="EP21" s="314" t="e">
        <f t="shared" si="11"/>
        <v>#DIV/0!</v>
      </c>
      <c r="EQ21" s="329">
        <f>Сят!C88</f>
        <v>24.469000000000001</v>
      </c>
      <c r="ER21" s="329">
        <f>Сят!D88</f>
        <v>12.081</v>
      </c>
      <c r="ES21" s="314">
        <f t="shared" si="51"/>
        <v>49.372675630389466</v>
      </c>
      <c r="ET21" s="314">
        <f>Сят!C94</f>
        <v>0</v>
      </c>
      <c r="EU21" s="314">
        <f>Сят!D94</f>
        <v>0</v>
      </c>
      <c r="EV21" s="307" t="e">
        <f t="shared" si="52"/>
        <v>#DIV/0!</v>
      </c>
      <c r="EW21" s="321">
        <f t="shared" si="12"/>
        <v>-288.5238500000014</v>
      </c>
      <c r="EX21" s="321">
        <f t="shared" si="13"/>
        <v>442.88140999999996</v>
      </c>
      <c r="EY21" s="307">
        <f t="shared" si="54"/>
        <v>-153.499064288792</v>
      </c>
      <c r="EZ21" s="164"/>
      <c r="FA21" s="165"/>
      <c r="FB21" s="167"/>
      <c r="FC21" s="165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</row>
    <row r="22" spans="1:170" s="174" customFormat="1" ht="15" customHeight="1">
      <c r="A22" s="355">
        <v>9</v>
      </c>
      <c r="B22" s="356" t="s">
        <v>311</v>
      </c>
      <c r="C22" s="332">
        <f>F22+BZ22</f>
        <v>8275.2126099999987</v>
      </c>
      <c r="D22" s="333">
        <f t="shared" si="0"/>
        <v>6977.7736799999993</v>
      </c>
      <c r="E22" s="317">
        <f t="shared" si="1"/>
        <v>84.321382529409121</v>
      </c>
      <c r="F22" s="334">
        <f>I22+X22+AA22+AD22+AG22+AM22+AS22+BE22+BQ22+BN22+AJ22+AY22+L22+R22+O22+U22+AP22</f>
        <v>1839.3039999999999</v>
      </c>
      <c r="G22" s="334">
        <f t="shared" si="3"/>
        <v>1894.04727</v>
      </c>
      <c r="H22" s="317">
        <f t="shared" si="15"/>
        <v>102.97630353655514</v>
      </c>
      <c r="I22" s="316">
        <f>Тор!C6</f>
        <v>105.069</v>
      </c>
      <c r="J22" s="475">
        <f>Тор!D6</f>
        <v>102.46398000000001</v>
      </c>
      <c r="K22" s="317">
        <f t="shared" si="16"/>
        <v>97.520657853410626</v>
      </c>
      <c r="L22" s="317">
        <f>Тор!C8</f>
        <v>270.89</v>
      </c>
      <c r="M22" s="317">
        <f>Тор!D8</f>
        <v>368.27287999999999</v>
      </c>
      <c r="N22" s="317">
        <f t="shared" si="17"/>
        <v>135.94923400642327</v>
      </c>
      <c r="O22" s="317">
        <f>Тор!C9</f>
        <v>2.9049999999999998</v>
      </c>
      <c r="P22" s="317">
        <f>Тор!D9</f>
        <v>2.7118600000000002</v>
      </c>
      <c r="Q22" s="317">
        <f t="shared" si="18"/>
        <v>93.351462994836496</v>
      </c>
      <c r="R22" s="317">
        <f>Тор!C10</f>
        <v>452.44</v>
      </c>
      <c r="S22" s="317">
        <f>Тор!D10</f>
        <v>494.73182000000003</v>
      </c>
      <c r="T22" s="317">
        <f t="shared" si="19"/>
        <v>109.34749801078596</v>
      </c>
      <c r="U22" s="317">
        <f>Тор!C11</f>
        <v>0</v>
      </c>
      <c r="V22" s="335">
        <f>Тор!D11</f>
        <v>-55.463340000000002</v>
      </c>
      <c r="W22" s="317" t="e">
        <f t="shared" si="20"/>
        <v>#DIV/0!</v>
      </c>
      <c r="X22" s="316">
        <f>Тор!C13</f>
        <v>25</v>
      </c>
      <c r="Y22" s="316">
        <f>Тор!D13</f>
        <v>78.119699999999995</v>
      </c>
      <c r="Z22" s="317">
        <f t="shared" si="21"/>
        <v>312.47879999999998</v>
      </c>
      <c r="AA22" s="316">
        <f>Тор!C15</f>
        <v>153</v>
      </c>
      <c r="AB22" s="313">
        <f>Тор!D15</f>
        <v>142.34155000000001</v>
      </c>
      <c r="AC22" s="317">
        <f t="shared" si="22"/>
        <v>93.033692810457524</v>
      </c>
      <c r="AD22" s="316">
        <f>Тор!C16</f>
        <v>470</v>
      </c>
      <c r="AE22" s="316">
        <f>Тор!D16</f>
        <v>168.53980000000001</v>
      </c>
      <c r="AF22" s="317">
        <f t="shared" si="4"/>
        <v>35.859531914893623</v>
      </c>
      <c r="AG22" s="317">
        <f>Тор!C18</f>
        <v>10</v>
      </c>
      <c r="AH22" s="317">
        <f>Тор!D18</f>
        <v>7</v>
      </c>
      <c r="AI22" s="317">
        <f t="shared" si="23"/>
        <v>70</v>
      </c>
      <c r="AJ22" s="317"/>
      <c r="AK22" s="317">
        <f>Тор!D20</f>
        <v>0</v>
      </c>
      <c r="AL22" s="317" t="e">
        <f t="shared" si="5"/>
        <v>#DIV/0!</v>
      </c>
      <c r="AM22" s="316">
        <v>0</v>
      </c>
      <c r="AN22" s="316">
        <v>0</v>
      </c>
      <c r="AO22" s="317" t="e">
        <f t="shared" si="6"/>
        <v>#DIV/0!</v>
      </c>
      <c r="AP22" s="316">
        <f>Тор!C27</f>
        <v>300</v>
      </c>
      <c r="AQ22" s="313">
        <f>Тор!D27</f>
        <v>475.40485000000001</v>
      </c>
      <c r="AR22" s="317">
        <f t="shared" si="24"/>
        <v>158.46828333333335</v>
      </c>
      <c r="AS22" s="316">
        <f>Тор!C28</f>
        <v>50</v>
      </c>
      <c r="AT22" s="313">
        <f>Тор!D28</f>
        <v>58.86598</v>
      </c>
      <c r="AU22" s="317">
        <f t="shared" si="25"/>
        <v>117.73195999999999</v>
      </c>
      <c r="AV22" s="316"/>
      <c r="AW22" s="316"/>
      <c r="AX22" s="317" t="e">
        <f t="shared" si="26"/>
        <v>#DIV/0!</v>
      </c>
      <c r="AY22" s="317">
        <f>Тор!C29</f>
        <v>0</v>
      </c>
      <c r="AZ22" s="317">
        <f>Тор!D29</f>
        <v>33.759389999999996</v>
      </c>
      <c r="BA22" s="317" t="e">
        <f t="shared" si="27"/>
        <v>#DIV/0!</v>
      </c>
      <c r="BB22" s="317"/>
      <c r="BC22" s="317"/>
      <c r="BD22" s="317"/>
      <c r="BE22" s="317">
        <f>Тор!C34+Тор!C33</f>
        <v>0</v>
      </c>
      <c r="BF22" s="317">
        <f>Тор!D32</f>
        <v>0</v>
      </c>
      <c r="BG22" s="317" t="e">
        <f t="shared" si="28"/>
        <v>#DIV/0!</v>
      </c>
      <c r="BH22" s="317"/>
      <c r="BI22" s="317"/>
      <c r="BJ22" s="317" t="e">
        <f t="shared" si="29"/>
        <v>#DIV/0!</v>
      </c>
      <c r="BK22" s="317"/>
      <c r="BL22" s="317"/>
      <c r="BM22" s="317"/>
      <c r="BN22" s="317"/>
      <c r="BO22" s="336">
        <f>Тор!D35</f>
        <v>17.2988</v>
      </c>
      <c r="BP22" s="307" t="e">
        <f t="shared" si="30"/>
        <v>#DIV/0!</v>
      </c>
      <c r="BQ22" s="317">
        <f>Тор!C37</f>
        <v>0</v>
      </c>
      <c r="BR22" s="317">
        <f>Тор!D37</f>
        <v>0</v>
      </c>
      <c r="BS22" s="317" t="e">
        <f t="shared" si="31"/>
        <v>#DIV/0!</v>
      </c>
      <c r="BT22" s="317"/>
      <c r="BU22" s="317"/>
      <c r="BV22" s="337" t="e">
        <f t="shared" si="32"/>
        <v>#DIV/0!</v>
      </c>
      <c r="BW22" s="337"/>
      <c r="BX22" s="337"/>
      <c r="BY22" s="337" t="e">
        <f t="shared" si="33"/>
        <v>#DIV/0!</v>
      </c>
      <c r="BZ22" s="316">
        <f t="shared" si="34"/>
        <v>6435.9086099999995</v>
      </c>
      <c r="CA22" s="343">
        <f t="shared" si="35"/>
        <v>5083.7264099999993</v>
      </c>
      <c r="CB22" s="317">
        <f t="shared" si="53"/>
        <v>78.990034167063783</v>
      </c>
      <c r="CC22" s="317">
        <f>Тор!C42</f>
        <v>1424.6</v>
      </c>
      <c r="CD22" s="317">
        <f>Тор!D42</f>
        <v>1329.7539999999999</v>
      </c>
      <c r="CE22" s="317">
        <f t="shared" si="36"/>
        <v>93.342271514811173</v>
      </c>
      <c r="CF22" s="317">
        <f>Тор!C43</f>
        <v>399.5</v>
      </c>
      <c r="CG22" s="317">
        <f>Тор!D43</f>
        <v>205</v>
      </c>
      <c r="CH22" s="317">
        <f t="shared" si="37"/>
        <v>51.314142678347942</v>
      </c>
      <c r="CI22" s="317">
        <f>Тор!C44</f>
        <v>2465.3510000000001</v>
      </c>
      <c r="CJ22" s="317">
        <f>Тор!D44</f>
        <v>1772.1179999999999</v>
      </c>
      <c r="CK22" s="317">
        <f t="shared" si="7"/>
        <v>71.880961372234623</v>
      </c>
      <c r="CL22" s="317">
        <f>Тор!C45</f>
        <v>181.68199999999999</v>
      </c>
      <c r="CM22" s="317">
        <f>Тор!D45</f>
        <v>164.899</v>
      </c>
      <c r="CN22" s="317">
        <f t="shared" si="8"/>
        <v>90.762431060864586</v>
      </c>
      <c r="CO22" s="317">
        <f>Тор!C46</f>
        <v>1456.61</v>
      </c>
      <c r="CP22" s="336">
        <f>Тор!D46</f>
        <v>1422.0554099999999</v>
      </c>
      <c r="CQ22" s="317"/>
      <c r="CR22" s="335">
        <f>Тор!C48</f>
        <v>508.16561000000002</v>
      </c>
      <c r="CS22" s="317">
        <f>Тор!D48</f>
        <v>189.9</v>
      </c>
      <c r="CT22" s="317">
        <f t="shared" si="9"/>
        <v>37.369707092142654</v>
      </c>
      <c r="CU22" s="317"/>
      <c r="CV22" s="317">
        <f>Тор!D49</f>
        <v>0</v>
      </c>
      <c r="CW22" s="317"/>
      <c r="CX22" s="316"/>
      <c r="CY22" s="316"/>
      <c r="CZ22" s="317" t="e">
        <f t="shared" si="38"/>
        <v>#DIV/0!</v>
      </c>
      <c r="DA22" s="317"/>
      <c r="DB22" s="317"/>
      <c r="DC22" s="317"/>
      <c r="DD22" s="317"/>
      <c r="DE22" s="317"/>
      <c r="DF22" s="317"/>
      <c r="DG22" s="316">
        <f t="shared" si="39"/>
        <v>8709.4362500000007</v>
      </c>
      <c r="DH22" s="316">
        <f t="shared" si="39"/>
        <v>6312.1132699999989</v>
      </c>
      <c r="DI22" s="317">
        <f t="shared" si="40"/>
        <v>72.474418421743408</v>
      </c>
      <c r="DJ22" s="316">
        <f t="shared" si="41"/>
        <v>1126.963</v>
      </c>
      <c r="DK22" s="316">
        <f t="shared" si="41"/>
        <v>934.73479999999995</v>
      </c>
      <c r="DL22" s="317">
        <f t="shared" si="42"/>
        <v>82.942811787077304</v>
      </c>
      <c r="DM22" s="317">
        <f>Тор!C58</f>
        <v>1113.769</v>
      </c>
      <c r="DN22" s="336">
        <f>Тор!D58</f>
        <v>926.54079999999999</v>
      </c>
      <c r="DO22" s="317">
        <f t="shared" si="43"/>
        <v>83.189673980870367</v>
      </c>
      <c r="DP22" s="317">
        <f>Тор!C61</f>
        <v>0</v>
      </c>
      <c r="DQ22" s="317">
        <f>Тор!D61</f>
        <v>0</v>
      </c>
      <c r="DR22" s="317" t="e">
        <f t="shared" si="44"/>
        <v>#DIV/0!</v>
      </c>
      <c r="DS22" s="317">
        <f>Тор!C62</f>
        <v>5</v>
      </c>
      <c r="DT22" s="317">
        <f>Тор!D62</f>
        <v>0</v>
      </c>
      <c r="DU22" s="317">
        <f t="shared" si="45"/>
        <v>0</v>
      </c>
      <c r="DV22" s="317">
        <f>Тор!C63</f>
        <v>8.1940000000000008</v>
      </c>
      <c r="DW22" s="317">
        <f>Тор!D63</f>
        <v>8.1940000000000008</v>
      </c>
      <c r="DX22" s="317">
        <f t="shared" si="46"/>
        <v>100</v>
      </c>
      <c r="DY22" s="317">
        <f>Тор!C65</f>
        <v>179.892</v>
      </c>
      <c r="DZ22" s="317">
        <f>+Тор!D64</f>
        <v>155.00704999999999</v>
      </c>
      <c r="EA22" s="317">
        <f t="shared" si="47"/>
        <v>86.166727814466455</v>
      </c>
      <c r="EB22" s="317">
        <f>Тор!C66</f>
        <v>36.79</v>
      </c>
      <c r="EC22" s="451">
        <f>Тор!D66</f>
        <v>35.869999999999997</v>
      </c>
      <c r="ED22" s="317">
        <f t="shared" si="48"/>
        <v>97.499320467518345</v>
      </c>
      <c r="EE22" s="316">
        <f>Тор!C72</f>
        <v>5166.8685800000003</v>
      </c>
      <c r="EF22" s="316">
        <f>Тор!D72</f>
        <v>3235.0359299999996</v>
      </c>
      <c r="EG22" s="317">
        <f t="shared" si="49"/>
        <v>62.611151801348882</v>
      </c>
      <c r="EH22" s="316">
        <f>Тор!C78</f>
        <v>924.37266999999997</v>
      </c>
      <c r="EI22" s="316">
        <f>Тор!D78</f>
        <v>704.01549</v>
      </c>
      <c r="EJ22" s="317">
        <f t="shared" si="50"/>
        <v>76.16143497622015</v>
      </c>
      <c r="EK22" s="316">
        <f>Тор!C82</f>
        <v>1259.55</v>
      </c>
      <c r="EL22" s="338">
        <f>Тор!D82</f>
        <v>1232.45</v>
      </c>
      <c r="EM22" s="317">
        <f t="shared" si="10"/>
        <v>97.848437934182854</v>
      </c>
      <c r="EN22" s="317">
        <f>Тор!C84</f>
        <v>0</v>
      </c>
      <c r="EO22" s="317">
        <f>Тор!D84</f>
        <v>0</v>
      </c>
      <c r="EP22" s="317" t="e">
        <f t="shared" si="11"/>
        <v>#DIV/0!</v>
      </c>
      <c r="EQ22" s="334">
        <f>Тор!C96</f>
        <v>15</v>
      </c>
      <c r="ER22" s="334">
        <f>Тор!D96</f>
        <v>15</v>
      </c>
      <c r="ES22" s="317">
        <f t="shared" si="51"/>
        <v>100</v>
      </c>
      <c r="ET22" s="317">
        <f>Тор!C94</f>
        <v>0</v>
      </c>
      <c r="EU22" s="317">
        <f>Тор!D94</f>
        <v>0</v>
      </c>
      <c r="EV22" s="317" t="e">
        <f t="shared" si="52"/>
        <v>#DIV/0!</v>
      </c>
      <c r="EW22" s="339">
        <f t="shared" si="12"/>
        <v>-434.22364000000198</v>
      </c>
      <c r="EX22" s="339">
        <f t="shared" si="13"/>
        <v>665.66041000000041</v>
      </c>
      <c r="EY22" s="317">
        <f t="shared" si="54"/>
        <v>-153.29897976075125</v>
      </c>
      <c r="EZ22" s="172"/>
      <c r="FA22" s="173"/>
      <c r="FC22" s="173"/>
      <c r="FF22" s="217"/>
      <c r="FG22" s="217"/>
      <c r="FH22" s="217"/>
      <c r="FI22" s="217"/>
      <c r="FJ22" s="217"/>
      <c r="FK22" s="217"/>
      <c r="FL22" s="217"/>
      <c r="FM22" s="217"/>
      <c r="FN22" s="217"/>
    </row>
    <row r="23" spans="1:170" s="162" customFormat="1" ht="15" customHeight="1">
      <c r="A23" s="352">
        <v>10</v>
      </c>
      <c r="B23" s="354" t="s">
        <v>312</v>
      </c>
      <c r="C23" s="305">
        <f t="shared" si="14"/>
        <v>5236.6367200000004</v>
      </c>
      <c r="D23" s="306">
        <f t="shared" si="0"/>
        <v>4364.5119800000002</v>
      </c>
      <c r="E23" s="314">
        <f t="shared" si="1"/>
        <v>83.345708579150781</v>
      </c>
      <c r="F23" s="308">
        <f t="shared" si="2"/>
        <v>1134.2919999999999</v>
      </c>
      <c r="G23" s="308">
        <f t="shared" si="3"/>
        <v>1154.7018600000001</v>
      </c>
      <c r="H23" s="314">
        <f t="shared" si="15"/>
        <v>101.79934796331105</v>
      </c>
      <c r="I23" s="322">
        <f>Хор!C6</f>
        <v>79.421999999999997</v>
      </c>
      <c r="J23" s="475">
        <f>Хор!D6</f>
        <v>56.023359999999997</v>
      </c>
      <c r="K23" s="314">
        <f t="shared" si="16"/>
        <v>70.538843141698777</v>
      </c>
      <c r="L23" s="314">
        <f>Хор!C8</f>
        <v>123.79</v>
      </c>
      <c r="M23" s="314">
        <f>Хор!D8</f>
        <v>168.29087000000001</v>
      </c>
      <c r="N23" s="307">
        <f t="shared" si="17"/>
        <v>135.94867921479926</v>
      </c>
      <c r="O23" s="307">
        <f>Хор!C9</f>
        <v>1.33</v>
      </c>
      <c r="P23" s="307">
        <f>Хор!D9</f>
        <v>1.2392399999999999</v>
      </c>
      <c r="Q23" s="307">
        <f t="shared" si="18"/>
        <v>93.175939849624044</v>
      </c>
      <c r="R23" s="307">
        <f>Хор!C10</f>
        <v>206.75</v>
      </c>
      <c r="S23" s="307">
        <f>Хор!D10</f>
        <v>226.07924</v>
      </c>
      <c r="T23" s="307">
        <f t="shared" si="19"/>
        <v>109.34908827085852</v>
      </c>
      <c r="U23" s="307">
        <f>Хор!C11</f>
        <v>0</v>
      </c>
      <c r="V23" s="311">
        <f>Хор!D11</f>
        <v>-25.345279999999999</v>
      </c>
      <c r="W23" s="307" t="e">
        <f t="shared" si="20"/>
        <v>#DIV/0!</v>
      </c>
      <c r="X23" s="322">
        <f>Хор!C13</f>
        <v>5</v>
      </c>
      <c r="Y23" s="322">
        <f>Хор!D13</f>
        <v>6.9966900000000001</v>
      </c>
      <c r="Z23" s="314">
        <f t="shared" si="21"/>
        <v>139.93379999999999</v>
      </c>
      <c r="AA23" s="322">
        <f>Хор!C15</f>
        <v>219</v>
      </c>
      <c r="AB23" s="313">
        <f>Хор!D15</f>
        <v>287.23077999999998</v>
      </c>
      <c r="AC23" s="314">
        <f t="shared" si="22"/>
        <v>131.15560730593609</v>
      </c>
      <c r="AD23" s="322">
        <f>Хор!C16</f>
        <v>392</v>
      </c>
      <c r="AE23" s="322">
        <f>Хор!D16</f>
        <v>350.41957000000002</v>
      </c>
      <c r="AF23" s="314">
        <f t="shared" si="4"/>
        <v>89.392747448979591</v>
      </c>
      <c r="AG23" s="314">
        <f>Хор!C18</f>
        <v>10</v>
      </c>
      <c r="AH23" s="314">
        <f>Хор!D18</f>
        <v>3.95</v>
      </c>
      <c r="AI23" s="314">
        <f t="shared" si="23"/>
        <v>39.5</v>
      </c>
      <c r="AJ23" s="314"/>
      <c r="AK23" s="314"/>
      <c r="AL23" s="314" t="e">
        <f t="shared" si="5"/>
        <v>#DIV/0!</v>
      </c>
      <c r="AM23" s="322">
        <v>0</v>
      </c>
      <c r="AN23" s="322">
        <v>0</v>
      </c>
      <c r="AO23" s="314" t="e">
        <f t="shared" si="6"/>
        <v>#DIV/0!</v>
      </c>
      <c r="AP23" s="322">
        <f>Хор!C27</f>
        <v>97</v>
      </c>
      <c r="AQ23" s="323">
        <f>Хор!D27</f>
        <v>79.817390000000003</v>
      </c>
      <c r="AR23" s="314">
        <f t="shared" si="24"/>
        <v>82.28596907216496</v>
      </c>
      <c r="AS23" s="316">
        <f>Хор!C28</f>
        <v>0</v>
      </c>
      <c r="AT23" s="323">
        <f>Хор!D28</f>
        <v>0</v>
      </c>
      <c r="AU23" s="314" t="e">
        <f t="shared" si="25"/>
        <v>#DIV/0!</v>
      </c>
      <c r="AV23" s="322"/>
      <c r="AW23" s="322"/>
      <c r="AX23" s="314" t="e">
        <f t="shared" si="26"/>
        <v>#DIV/0!</v>
      </c>
      <c r="AY23" s="314">
        <f>Хор!C29</f>
        <v>0</v>
      </c>
      <c r="AZ23" s="317">
        <f>Хор!D29</f>
        <v>0</v>
      </c>
      <c r="BA23" s="314" t="e">
        <f t="shared" si="27"/>
        <v>#DIV/0!</v>
      </c>
      <c r="BB23" s="314"/>
      <c r="BC23" s="314"/>
      <c r="BD23" s="314"/>
      <c r="BE23" s="314">
        <f>Хор!C33</f>
        <v>0</v>
      </c>
      <c r="BF23" s="314">
        <f>Хор!D33</f>
        <v>0</v>
      </c>
      <c r="BG23" s="314" t="e">
        <f t="shared" si="28"/>
        <v>#DIV/0!</v>
      </c>
      <c r="BH23" s="314"/>
      <c r="BI23" s="314"/>
      <c r="BJ23" s="314" t="e">
        <f t="shared" si="29"/>
        <v>#DIV/0!</v>
      </c>
      <c r="BK23" s="314"/>
      <c r="BL23" s="314"/>
      <c r="BM23" s="314"/>
      <c r="BN23" s="314"/>
      <c r="BO23" s="324"/>
      <c r="BP23" s="307" t="e">
        <f t="shared" si="30"/>
        <v>#DIV/0!</v>
      </c>
      <c r="BQ23" s="314">
        <f>Хор!C34</f>
        <v>0</v>
      </c>
      <c r="BR23" s="314">
        <f>Хор!D34</f>
        <v>0</v>
      </c>
      <c r="BS23" s="314" t="e">
        <f t="shared" si="31"/>
        <v>#DIV/0!</v>
      </c>
      <c r="BT23" s="314"/>
      <c r="BU23" s="314"/>
      <c r="BV23" s="325" t="e">
        <f t="shared" si="32"/>
        <v>#DIV/0!</v>
      </c>
      <c r="BW23" s="325"/>
      <c r="BX23" s="325"/>
      <c r="BY23" s="325" t="e">
        <f t="shared" si="33"/>
        <v>#DIV/0!</v>
      </c>
      <c r="BZ23" s="312">
        <f t="shared" si="34"/>
        <v>4102.344720000001</v>
      </c>
      <c r="CA23" s="343">
        <f t="shared" si="35"/>
        <v>3209.8101200000001</v>
      </c>
      <c r="CB23" s="314">
        <f t="shared" si="53"/>
        <v>78.243305696650452</v>
      </c>
      <c r="CC23" s="314">
        <f>Хор!C39</f>
        <v>1275.4000000000001</v>
      </c>
      <c r="CD23" s="314">
        <f>Хор!D39</f>
        <v>1190.482</v>
      </c>
      <c r="CE23" s="314">
        <f t="shared" si="36"/>
        <v>93.341853536145507</v>
      </c>
      <c r="CF23" s="314">
        <f>Хор!C41</f>
        <v>90</v>
      </c>
      <c r="CG23" s="314">
        <f>Хор!D41</f>
        <v>67.5</v>
      </c>
      <c r="CH23" s="314">
        <f t="shared" si="37"/>
        <v>75</v>
      </c>
      <c r="CI23" s="314">
        <f>Хор!C42</f>
        <v>1474.0385200000001</v>
      </c>
      <c r="CJ23" s="314">
        <f>Хор!D42</f>
        <v>1142.60852</v>
      </c>
      <c r="CK23" s="314">
        <f t="shared" si="7"/>
        <v>77.51551295959348</v>
      </c>
      <c r="CL23" s="314">
        <f>Хор!C43</f>
        <v>92.456000000000003</v>
      </c>
      <c r="CM23" s="314">
        <f>Хор!D43</f>
        <v>83.048400000000001</v>
      </c>
      <c r="CN23" s="314">
        <f t="shared" si="8"/>
        <v>89.824781517694902</v>
      </c>
      <c r="CO23" s="314">
        <f>Хор!C44</f>
        <v>1164.279</v>
      </c>
      <c r="CP23" s="324">
        <f>Хор!D44</f>
        <v>720</v>
      </c>
      <c r="CQ23" s="314"/>
      <c r="CR23" s="327">
        <f>Хор!C45</f>
        <v>6.1711999999999998</v>
      </c>
      <c r="CS23" s="314">
        <f>Хор!D45</f>
        <v>6.1711999999999998</v>
      </c>
      <c r="CT23" s="314">
        <f t="shared" si="9"/>
        <v>100</v>
      </c>
      <c r="CU23" s="314"/>
      <c r="CV23" s="314"/>
      <c r="CW23" s="314"/>
      <c r="CX23" s="322"/>
      <c r="CY23" s="322"/>
      <c r="CZ23" s="314" t="e">
        <f t="shared" si="38"/>
        <v>#DIV/0!</v>
      </c>
      <c r="DA23" s="314"/>
      <c r="DB23" s="314"/>
      <c r="DC23" s="314"/>
      <c r="DD23" s="314"/>
      <c r="DE23" s="314">
        <f>Хор!D48</f>
        <v>0</v>
      </c>
      <c r="DF23" s="314"/>
      <c r="DG23" s="316">
        <f t="shared" si="39"/>
        <v>5520.1892200000002</v>
      </c>
      <c r="DH23" s="316">
        <f t="shared" si="39"/>
        <v>4391.1766700000007</v>
      </c>
      <c r="DI23" s="314">
        <f t="shared" si="40"/>
        <v>79.547575182576807</v>
      </c>
      <c r="DJ23" s="322">
        <f t="shared" si="41"/>
        <v>1129.8700000000001</v>
      </c>
      <c r="DK23" s="322">
        <f t="shared" si="41"/>
        <v>919.04741000000001</v>
      </c>
      <c r="DL23" s="314">
        <f t="shared" si="42"/>
        <v>81.340987016205403</v>
      </c>
      <c r="DM23" s="314">
        <f>Хор!C56</f>
        <v>1118.6790000000001</v>
      </c>
      <c r="DN23" s="324">
        <f>Хор!D56</f>
        <v>916.35690999999997</v>
      </c>
      <c r="DO23" s="314">
        <f t="shared" si="43"/>
        <v>81.914196118815127</v>
      </c>
      <c r="DP23" s="314">
        <f>Хор!C59</f>
        <v>0</v>
      </c>
      <c r="DQ23" s="314">
        <f>Хор!D59</f>
        <v>0</v>
      </c>
      <c r="DR23" s="314" t="e">
        <f t="shared" si="44"/>
        <v>#DIV/0!</v>
      </c>
      <c r="DS23" s="314">
        <f>Хор!C60</f>
        <v>5</v>
      </c>
      <c r="DT23" s="314">
        <f>Хор!D60</f>
        <v>0</v>
      </c>
      <c r="DU23" s="314">
        <f t="shared" si="45"/>
        <v>0</v>
      </c>
      <c r="DV23" s="314">
        <f>Хор!C61</f>
        <v>6.1909999999999998</v>
      </c>
      <c r="DW23" s="314">
        <f>Хор!D61</f>
        <v>2.6905000000000001</v>
      </c>
      <c r="DX23" s="314">
        <f t="shared" si="46"/>
        <v>43.458245840736552</v>
      </c>
      <c r="DY23" s="314">
        <f>Хор!C63</f>
        <v>89.944999999999993</v>
      </c>
      <c r="DZ23" s="314">
        <f>Хор!D63</f>
        <v>66.755080000000007</v>
      </c>
      <c r="EA23" s="314">
        <f t="shared" si="47"/>
        <v>74.217666351659361</v>
      </c>
      <c r="EB23" s="314">
        <f>Хор!C64</f>
        <v>6.7031100000000006</v>
      </c>
      <c r="EC23" s="450">
        <f>Хор!D64</f>
        <v>4.7031100000000006</v>
      </c>
      <c r="ED23" s="314">
        <f t="shared" si="48"/>
        <v>70.163103395289653</v>
      </c>
      <c r="EE23" s="322">
        <f>Хор!C70</f>
        <v>2081.1499199999998</v>
      </c>
      <c r="EF23" s="322">
        <f>Хор!D70</f>
        <v>1625.7107100000001</v>
      </c>
      <c r="EG23" s="314">
        <f t="shared" si="49"/>
        <v>78.115982629449405</v>
      </c>
      <c r="EH23" s="322">
        <f>Хор!C75</f>
        <v>238.12430000000001</v>
      </c>
      <c r="EI23" s="322">
        <f>Хор!D75</f>
        <v>176.36528000000001</v>
      </c>
      <c r="EJ23" s="314">
        <f t="shared" si="50"/>
        <v>74.064377302106507</v>
      </c>
      <c r="EK23" s="322">
        <f>Хор!C79</f>
        <v>1968.7</v>
      </c>
      <c r="EL23" s="328">
        <f>Хор!D79</f>
        <v>1596.5950800000001</v>
      </c>
      <c r="EM23" s="314">
        <f t="shared" si="10"/>
        <v>81.098952608320204</v>
      </c>
      <c r="EN23" s="314">
        <f>Хор!C81</f>
        <v>0</v>
      </c>
      <c r="EO23" s="314">
        <f>Хор!D81</f>
        <v>0</v>
      </c>
      <c r="EP23" s="314" t="e">
        <f t="shared" si="11"/>
        <v>#DIV/0!</v>
      </c>
      <c r="EQ23" s="329">
        <f>Хор!C86</f>
        <v>5.6968899999999998</v>
      </c>
      <c r="ER23" s="329">
        <f>Хор!D86</f>
        <v>2</v>
      </c>
      <c r="ES23" s="314">
        <f t="shared" si="51"/>
        <v>35.106874101483442</v>
      </c>
      <c r="ET23" s="314">
        <f>Хор!C92</f>
        <v>0</v>
      </c>
      <c r="EU23" s="314">
        <f>Хор!D92</f>
        <v>0</v>
      </c>
      <c r="EV23" s="307" t="e">
        <f t="shared" si="52"/>
        <v>#DIV/0!</v>
      </c>
      <c r="EW23" s="321">
        <f t="shared" si="12"/>
        <v>-283.55249999999978</v>
      </c>
      <c r="EX23" s="321">
        <f t="shared" si="13"/>
        <v>-26.664690000000519</v>
      </c>
      <c r="EY23" s="307">
        <f t="shared" si="54"/>
        <v>9.4037929483959903</v>
      </c>
      <c r="EZ23" s="164"/>
      <c r="FA23" s="165"/>
      <c r="FC23" s="165"/>
    </row>
    <row r="24" spans="1:170" s="262" customFormat="1" ht="15" customHeight="1">
      <c r="A24" s="357">
        <v>11</v>
      </c>
      <c r="B24" s="354" t="s">
        <v>313</v>
      </c>
      <c r="C24" s="330">
        <f t="shared" si="14"/>
        <v>6030.661720000001</v>
      </c>
      <c r="D24" s="306">
        <f t="shared" si="0"/>
        <v>5667.8579699999991</v>
      </c>
      <c r="E24" s="314">
        <f t="shared" si="1"/>
        <v>93.984014245123305</v>
      </c>
      <c r="F24" s="329">
        <f t="shared" si="2"/>
        <v>1111.296</v>
      </c>
      <c r="G24" s="329">
        <f t="shared" si="3"/>
        <v>1084.3537700000002</v>
      </c>
      <c r="H24" s="314">
        <f t="shared" si="15"/>
        <v>97.575602719707462</v>
      </c>
      <c r="I24" s="322">
        <f>Чум!C6</f>
        <v>86.510999999999996</v>
      </c>
      <c r="J24" s="475">
        <f>Чум!D6</f>
        <v>91.036119999999997</v>
      </c>
      <c r="K24" s="314">
        <f t="shared" si="16"/>
        <v>105.23068742703241</v>
      </c>
      <c r="L24" s="314">
        <f>Чум!C8</f>
        <v>118.16</v>
      </c>
      <c r="M24" s="314">
        <f>Чум!D8</f>
        <v>160.6413</v>
      </c>
      <c r="N24" s="314">
        <f t="shared" si="17"/>
        <v>135.9523527420447</v>
      </c>
      <c r="O24" s="314">
        <f>Чум!C9</f>
        <v>1.2649999999999999</v>
      </c>
      <c r="P24" s="314">
        <f>Чум!D9</f>
        <v>1.18292</v>
      </c>
      <c r="Q24" s="314">
        <f t="shared" si="18"/>
        <v>93.511462450592887</v>
      </c>
      <c r="R24" s="314">
        <f>Чум!C10</f>
        <v>197.36</v>
      </c>
      <c r="S24" s="314">
        <f>Чум!D10</f>
        <v>215.80292</v>
      </c>
      <c r="T24" s="314">
        <f t="shared" si="19"/>
        <v>109.34481151195783</v>
      </c>
      <c r="U24" s="314">
        <f>Чум!C11</f>
        <v>0</v>
      </c>
      <c r="V24" s="327">
        <f>Чум!D11</f>
        <v>-24.193210000000001</v>
      </c>
      <c r="W24" s="314" t="e">
        <f t="shared" si="20"/>
        <v>#DIV/0!</v>
      </c>
      <c r="X24" s="322">
        <f>Чум!C13</f>
        <v>65</v>
      </c>
      <c r="Y24" s="322">
        <f>Чум!D13</f>
        <v>69.128699999999995</v>
      </c>
      <c r="Z24" s="314">
        <f t="shared" si="21"/>
        <v>106.35184615384614</v>
      </c>
      <c r="AA24" s="322">
        <f>Чум!C15</f>
        <v>88</v>
      </c>
      <c r="AB24" s="313">
        <f>Чум!D15</f>
        <v>82.722800000000007</v>
      </c>
      <c r="AC24" s="314">
        <f t="shared" si="22"/>
        <v>94.003181818181829</v>
      </c>
      <c r="AD24" s="322">
        <f>Чум!C16</f>
        <v>460</v>
      </c>
      <c r="AE24" s="322">
        <f>Чум!D16</f>
        <v>394.89416999999997</v>
      </c>
      <c r="AF24" s="314">
        <f t="shared" si="4"/>
        <v>85.846558695652163</v>
      </c>
      <c r="AG24" s="314">
        <f>Чум!C18</f>
        <v>10</v>
      </c>
      <c r="AH24" s="314">
        <f>Чум!D18</f>
        <v>4.5999999999999996</v>
      </c>
      <c r="AI24" s="314">
        <f t="shared" si="23"/>
        <v>46</v>
      </c>
      <c r="AJ24" s="314">
        <f>Чум!C22</f>
        <v>0</v>
      </c>
      <c r="AK24" s="314">
        <f>Чум!D20</f>
        <v>0</v>
      </c>
      <c r="AL24" s="314" t="e">
        <f>AK24/AJ24*100</f>
        <v>#DIV/0!</v>
      </c>
      <c r="AM24" s="322">
        <v>0</v>
      </c>
      <c r="AN24" s="322"/>
      <c r="AO24" s="314" t="e">
        <f t="shared" si="6"/>
        <v>#DIV/0!</v>
      </c>
      <c r="AP24" s="322">
        <f>Чум!C27</f>
        <v>55</v>
      </c>
      <c r="AQ24" s="323">
        <f>Чум!D27</f>
        <v>43.258000000000003</v>
      </c>
      <c r="AR24" s="314">
        <f t="shared" si="24"/>
        <v>78.650909090909096</v>
      </c>
      <c r="AS24" s="322">
        <f>Чум!C28</f>
        <v>0</v>
      </c>
      <c r="AT24" s="323">
        <f>Чум!D28</f>
        <v>0</v>
      </c>
      <c r="AU24" s="314" t="e">
        <f t="shared" si="25"/>
        <v>#DIV/0!</v>
      </c>
      <c r="AV24" s="322"/>
      <c r="AW24" s="322"/>
      <c r="AX24" s="314" t="e">
        <f t="shared" si="26"/>
        <v>#DIV/0!</v>
      </c>
      <c r="AY24" s="314">
        <f>Чум!C30</f>
        <v>30</v>
      </c>
      <c r="AZ24" s="317">
        <f>Чум!D30</f>
        <v>45.280050000000003</v>
      </c>
      <c r="BA24" s="314">
        <f t="shared" si="27"/>
        <v>150.93350000000001</v>
      </c>
      <c r="BB24" s="314"/>
      <c r="BC24" s="314"/>
      <c r="BD24" s="314"/>
      <c r="BE24" s="314">
        <f>Чум!C33</f>
        <v>0</v>
      </c>
      <c r="BF24" s="314">
        <f>Чум!D33</f>
        <v>0</v>
      </c>
      <c r="BG24" s="314" t="e">
        <f t="shared" si="28"/>
        <v>#DIV/0!</v>
      </c>
      <c r="BH24" s="314"/>
      <c r="BI24" s="314"/>
      <c r="BJ24" s="314" t="e">
        <f t="shared" si="29"/>
        <v>#DIV/0!</v>
      </c>
      <c r="BK24" s="314"/>
      <c r="BL24" s="314"/>
      <c r="BM24" s="314"/>
      <c r="BN24" s="314"/>
      <c r="BO24" s="324">
        <f>Чум!D34</f>
        <v>0</v>
      </c>
      <c r="BP24" s="307" t="e">
        <f t="shared" si="30"/>
        <v>#DIV/0!</v>
      </c>
      <c r="BQ24" s="314">
        <f>Чум!C37</f>
        <v>0</v>
      </c>
      <c r="BR24" s="314">
        <f>Чум!D37</f>
        <v>0</v>
      </c>
      <c r="BS24" s="314" t="e">
        <f t="shared" si="31"/>
        <v>#DIV/0!</v>
      </c>
      <c r="BT24" s="314"/>
      <c r="BU24" s="314"/>
      <c r="BV24" s="325" t="e">
        <f t="shared" si="32"/>
        <v>#DIV/0!</v>
      </c>
      <c r="BW24" s="325"/>
      <c r="BX24" s="325"/>
      <c r="BY24" s="325" t="e">
        <f t="shared" si="33"/>
        <v>#DIV/0!</v>
      </c>
      <c r="BZ24" s="322">
        <f t="shared" si="34"/>
        <v>4919.3657200000007</v>
      </c>
      <c r="CA24" s="478">
        <f t="shared" si="35"/>
        <v>4583.5041999999994</v>
      </c>
      <c r="CB24" s="314">
        <f t="shared" si="53"/>
        <v>93.172666170467167</v>
      </c>
      <c r="CC24" s="314">
        <f>Чум!C42</f>
        <v>1969.9</v>
      </c>
      <c r="CD24" s="314">
        <f>Чум!D42</f>
        <v>1838.741</v>
      </c>
      <c r="CE24" s="314">
        <f t="shared" si="36"/>
        <v>93.341844763693587</v>
      </c>
      <c r="CF24" s="314">
        <f>Чум!C43</f>
        <v>685</v>
      </c>
      <c r="CG24" s="314">
        <f>Чум!D43</f>
        <v>685</v>
      </c>
      <c r="CH24" s="314">
        <f t="shared" si="37"/>
        <v>100</v>
      </c>
      <c r="CI24" s="314">
        <f>Чум!C44</f>
        <v>1682.0989999999999</v>
      </c>
      <c r="CJ24" s="314">
        <f>Чум!D44</f>
        <v>1556.079</v>
      </c>
      <c r="CK24" s="314">
        <f t="shared" si="7"/>
        <v>92.508169852071731</v>
      </c>
      <c r="CL24" s="314">
        <f>Чум!C45</f>
        <v>92.710999999999999</v>
      </c>
      <c r="CM24" s="314">
        <f>Чум!D45</f>
        <v>84.243200000000002</v>
      </c>
      <c r="CN24" s="314">
        <f t="shared" si="8"/>
        <v>90.866455976097768</v>
      </c>
      <c r="CO24" s="314">
        <f>Чум!C46</f>
        <v>160.21485000000001</v>
      </c>
      <c r="CP24" s="324">
        <f>Чум!D46</f>
        <v>90</v>
      </c>
      <c r="CQ24" s="314"/>
      <c r="CR24" s="327">
        <f>Чум!C50</f>
        <v>329.44087000000002</v>
      </c>
      <c r="CS24" s="314">
        <f>Чум!D50</f>
        <v>329.44099999999997</v>
      </c>
      <c r="CT24" s="314">
        <f t="shared" si="9"/>
        <v>100.00003946079912</v>
      </c>
      <c r="CU24" s="314"/>
      <c r="CV24" s="314"/>
      <c r="CW24" s="314"/>
      <c r="CX24" s="322"/>
      <c r="CY24" s="322"/>
      <c r="CZ24" s="314" t="e">
        <f t="shared" si="38"/>
        <v>#DIV/0!</v>
      </c>
      <c r="DA24" s="314"/>
      <c r="DB24" s="314"/>
      <c r="DC24" s="314"/>
      <c r="DD24" s="314"/>
      <c r="DE24" s="314"/>
      <c r="DF24" s="314"/>
      <c r="DG24" s="316">
        <f t="shared" si="39"/>
        <v>6200.7452399999993</v>
      </c>
      <c r="DH24" s="316">
        <f t="shared" si="39"/>
        <v>5566.131910000001</v>
      </c>
      <c r="DI24" s="314">
        <f t="shared" si="40"/>
        <v>89.765531312168562</v>
      </c>
      <c r="DJ24" s="322">
        <f t="shared" si="41"/>
        <v>1344.4368899999999</v>
      </c>
      <c r="DK24" s="322">
        <f t="shared" si="41"/>
        <v>1093.1324199999999</v>
      </c>
      <c r="DL24" s="314">
        <f t="shared" si="42"/>
        <v>81.307826951996233</v>
      </c>
      <c r="DM24" s="314">
        <f>Чум!C58</f>
        <v>1310.09889</v>
      </c>
      <c r="DN24" s="324">
        <f>Чум!D58</f>
        <v>1083.7944199999999</v>
      </c>
      <c r="DO24" s="314">
        <f t="shared" si="43"/>
        <v>82.72615359593199</v>
      </c>
      <c r="DP24" s="314">
        <f>Чум!C61</f>
        <v>0</v>
      </c>
      <c r="DQ24" s="314">
        <f>Чум!D61</f>
        <v>0</v>
      </c>
      <c r="DR24" s="314" t="e">
        <f t="shared" si="44"/>
        <v>#DIV/0!</v>
      </c>
      <c r="DS24" s="314">
        <f>Чум!C62</f>
        <v>5</v>
      </c>
      <c r="DT24" s="314">
        <f>Чум!D62</f>
        <v>0</v>
      </c>
      <c r="DU24" s="314">
        <f t="shared" si="45"/>
        <v>0</v>
      </c>
      <c r="DV24" s="314">
        <f>Чум!C63</f>
        <v>29.338000000000001</v>
      </c>
      <c r="DW24" s="314">
        <f>Чум!D63</f>
        <v>9.3379999999999992</v>
      </c>
      <c r="DX24" s="314">
        <f t="shared" si="46"/>
        <v>31.829027200218142</v>
      </c>
      <c r="DY24" s="314">
        <f>Чум!C65</f>
        <v>89.945999999999998</v>
      </c>
      <c r="DZ24" s="314">
        <f>Чум!D65</f>
        <v>75.948800000000006</v>
      </c>
      <c r="EA24" s="314">
        <f t="shared" si="47"/>
        <v>84.438218486647557</v>
      </c>
      <c r="EB24" s="314">
        <f>Чум!C66</f>
        <v>7.10311</v>
      </c>
      <c r="EC24" s="450">
        <f>Чум!D66</f>
        <v>6.5031100000000004</v>
      </c>
      <c r="ED24" s="314">
        <f t="shared" si="48"/>
        <v>91.552995800431077</v>
      </c>
      <c r="EE24" s="322">
        <f>Чум!C72</f>
        <v>2467.7672400000001</v>
      </c>
      <c r="EF24" s="322">
        <f>Чум!D72</f>
        <v>2253.6292200000003</v>
      </c>
      <c r="EG24" s="314">
        <f t="shared" si="49"/>
        <v>91.322600586917588</v>
      </c>
      <c r="EH24" s="322">
        <f>Чум!C77</f>
        <v>666.60199999999998</v>
      </c>
      <c r="EI24" s="322">
        <f>Чум!D77</f>
        <v>591.82213999999999</v>
      </c>
      <c r="EJ24" s="314">
        <f t="shared" si="50"/>
        <v>88.781932847486217</v>
      </c>
      <c r="EK24" s="322">
        <f>Чум!C81</f>
        <v>1613.85</v>
      </c>
      <c r="EL24" s="328">
        <f>Чум!D81</f>
        <v>1534.0562199999999</v>
      </c>
      <c r="EM24" s="314">
        <f t="shared" si="10"/>
        <v>95.055687951172658</v>
      </c>
      <c r="EN24" s="314">
        <f>Чум!C83</f>
        <v>0</v>
      </c>
      <c r="EO24" s="314">
        <f>Чум!D83</f>
        <v>0</v>
      </c>
      <c r="EP24" s="314" t="e">
        <f t="shared" si="11"/>
        <v>#DIV/0!</v>
      </c>
      <c r="EQ24" s="329">
        <f>Чум!C88</f>
        <v>11.04</v>
      </c>
      <c r="ER24" s="329">
        <f>Чум!D88</f>
        <v>11.04</v>
      </c>
      <c r="ES24" s="314">
        <f t="shared" si="51"/>
        <v>100</v>
      </c>
      <c r="ET24" s="314">
        <f>Чум!C94</f>
        <v>0</v>
      </c>
      <c r="EU24" s="314">
        <f>Чум!D94</f>
        <v>0</v>
      </c>
      <c r="EV24" s="314" t="e">
        <f t="shared" si="52"/>
        <v>#DIV/0!</v>
      </c>
      <c r="EW24" s="340">
        <f t="shared" si="12"/>
        <v>-170.08351999999832</v>
      </c>
      <c r="EX24" s="340">
        <f t="shared" si="13"/>
        <v>101.72605999999814</v>
      </c>
      <c r="EY24" s="314">
        <f t="shared" si="54"/>
        <v>-59.809474780389749</v>
      </c>
      <c r="EZ24" s="260"/>
      <c r="FA24" s="261"/>
      <c r="FC24" s="261"/>
    </row>
    <row r="25" spans="1:170" s="174" customFormat="1" ht="15" customHeight="1">
      <c r="A25" s="355">
        <v>12</v>
      </c>
      <c r="B25" s="356" t="s">
        <v>314</v>
      </c>
      <c r="C25" s="332">
        <f t="shared" si="14"/>
        <v>3789.5137800000002</v>
      </c>
      <c r="D25" s="333">
        <f t="shared" si="0"/>
        <v>3281.8020700000002</v>
      </c>
      <c r="E25" s="317">
        <f t="shared" si="1"/>
        <v>86.602193857176047</v>
      </c>
      <c r="F25" s="334">
        <f t="shared" si="2"/>
        <v>845.452</v>
      </c>
      <c r="G25" s="334">
        <f t="shared" si="3"/>
        <v>886.45306999999991</v>
      </c>
      <c r="H25" s="317">
        <f t="shared" si="15"/>
        <v>104.84960352568802</v>
      </c>
      <c r="I25" s="316">
        <f>Шать!C6</f>
        <v>37.046999999999997</v>
      </c>
      <c r="J25" s="475">
        <f>Шать!D6</f>
        <v>37.724649999999997</v>
      </c>
      <c r="K25" s="317">
        <f t="shared" si="16"/>
        <v>101.82916295516506</v>
      </c>
      <c r="L25" s="317">
        <f>Шать!C8</f>
        <v>121.37</v>
      </c>
      <c r="M25" s="317">
        <f>Шать!D8</f>
        <v>165.01248000000001</v>
      </c>
      <c r="N25" s="317">
        <f t="shared" si="17"/>
        <v>135.95821043091374</v>
      </c>
      <c r="O25" s="317">
        <f>Шать!C9</f>
        <v>1.3049999999999999</v>
      </c>
      <c r="P25" s="317">
        <f>Шать!D9</f>
        <v>1.21509</v>
      </c>
      <c r="Q25" s="317">
        <f t="shared" si="18"/>
        <v>93.110344827586218</v>
      </c>
      <c r="R25" s="317">
        <f>Шать!C10</f>
        <v>202.73</v>
      </c>
      <c r="S25" s="317">
        <f>Шать!D10</f>
        <v>221.67509999999999</v>
      </c>
      <c r="T25" s="317">
        <f t="shared" si="19"/>
        <v>109.34499087456221</v>
      </c>
      <c r="U25" s="317">
        <f>Шать!C11</f>
        <v>0</v>
      </c>
      <c r="V25" s="335">
        <f>Шать!D11</f>
        <v>-24.851520000000001</v>
      </c>
      <c r="W25" s="317" t="e">
        <f t="shared" si="20"/>
        <v>#DIV/0!</v>
      </c>
      <c r="X25" s="316">
        <f>Шать!C13</f>
        <v>10</v>
      </c>
      <c r="Y25" s="316">
        <f>Шать!D13</f>
        <v>43.005290000000002</v>
      </c>
      <c r="Z25" s="317">
        <f t="shared" si="21"/>
        <v>430.05290000000002</v>
      </c>
      <c r="AA25" s="316">
        <f>Шать!C15</f>
        <v>42</v>
      </c>
      <c r="AB25" s="313">
        <f>Шать!D15</f>
        <v>31.407910000000001</v>
      </c>
      <c r="AC25" s="317">
        <f t="shared" si="22"/>
        <v>74.780738095238092</v>
      </c>
      <c r="AD25" s="316">
        <f>Шать!C16</f>
        <v>305</v>
      </c>
      <c r="AE25" s="316">
        <f>Шать!D16</f>
        <v>255.03052</v>
      </c>
      <c r="AF25" s="317">
        <f t="shared" si="4"/>
        <v>83.616563934426225</v>
      </c>
      <c r="AG25" s="317">
        <f>Шать!C18</f>
        <v>5</v>
      </c>
      <c r="AH25" s="317">
        <f>Шать!D18</f>
        <v>3.9</v>
      </c>
      <c r="AI25" s="317">
        <f t="shared" si="23"/>
        <v>78</v>
      </c>
      <c r="AJ25" s="317"/>
      <c r="AK25" s="317"/>
      <c r="AL25" s="317" t="e">
        <f>AJ25/AK25*100</f>
        <v>#DIV/0!</v>
      </c>
      <c r="AM25" s="316">
        <v>0</v>
      </c>
      <c r="AN25" s="316">
        <f>0</f>
        <v>0</v>
      </c>
      <c r="AO25" s="317" t="e">
        <f t="shared" si="6"/>
        <v>#DIV/0!</v>
      </c>
      <c r="AP25" s="316">
        <f>Шать!C27</f>
        <v>62</v>
      </c>
      <c r="AQ25" s="323">
        <f>Шать!D27</f>
        <v>91.341800000000006</v>
      </c>
      <c r="AR25" s="317">
        <f t="shared" si="24"/>
        <v>147.32548387096776</v>
      </c>
      <c r="AS25" s="316">
        <f>Шать!C28</f>
        <v>17</v>
      </c>
      <c r="AT25" s="313">
        <f>Шать!D28</f>
        <v>23.843599999999999</v>
      </c>
      <c r="AU25" s="317">
        <f t="shared" si="25"/>
        <v>140.25647058823529</v>
      </c>
      <c r="AV25" s="316"/>
      <c r="AW25" s="316"/>
      <c r="AX25" s="317" t="e">
        <f t="shared" si="26"/>
        <v>#DIV/0!</v>
      </c>
      <c r="AY25" s="317">
        <f>Шать!C29</f>
        <v>42</v>
      </c>
      <c r="AZ25" s="317">
        <f>Шать!D29</f>
        <v>37.148150000000001</v>
      </c>
      <c r="BA25" s="317">
        <f t="shared" si="27"/>
        <v>88.447976190476197</v>
      </c>
      <c r="BB25" s="317"/>
      <c r="BC25" s="317"/>
      <c r="BD25" s="317"/>
      <c r="BE25" s="317">
        <f>Шать!C33</f>
        <v>0</v>
      </c>
      <c r="BF25" s="317">
        <f>Шать!D33</f>
        <v>0</v>
      </c>
      <c r="BG25" s="317" t="e">
        <f t="shared" si="28"/>
        <v>#DIV/0!</v>
      </c>
      <c r="BH25" s="317"/>
      <c r="BI25" s="317"/>
      <c r="BJ25" s="317" t="e">
        <f t="shared" si="29"/>
        <v>#DIV/0!</v>
      </c>
      <c r="BK25" s="317"/>
      <c r="BL25" s="317"/>
      <c r="BM25" s="317"/>
      <c r="BN25" s="317">
        <f>Шать!C34</f>
        <v>0</v>
      </c>
      <c r="BO25" s="336">
        <f>Шать!D34</f>
        <v>0</v>
      </c>
      <c r="BP25" s="307" t="e">
        <f t="shared" si="30"/>
        <v>#DIV/0!</v>
      </c>
      <c r="BQ25" s="317">
        <f>Шать!C37</f>
        <v>0</v>
      </c>
      <c r="BR25" s="317">
        <v>0</v>
      </c>
      <c r="BS25" s="317" t="e">
        <f t="shared" si="31"/>
        <v>#DIV/0!</v>
      </c>
      <c r="BT25" s="317"/>
      <c r="BU25" s="317"/>
      <c r="BV25" s="337" t="e">
        <f t="shared" si="32"/>
        <v>#DIV/0!</v>
      </c>
      <c r="BW25" s="337"/>
      <c r="BX25" s="337"/>
      <c r="BY25" s="337" t="e">
        <f t="shared" si="33"/>
        <v>#DIV/0!</v>
      </c>
      <c r="BZ25" s="316">
        <f t="shared" si="34"/>
        <v>2944.06178</v>
      </c>
      <c r="CA25" s="343">
        <f t="shared" si="35"/>
        <v>2395.3490000000002</v>
      </c>
      <c r="CB25" s="317">
        <f t="shared" si="53"/>
        <v>81.362049406449614</v>
      </c>
      <c r="CC25" s="317">
        <f>Шать!C42</f>
        <v>1347.9</v>
      </c>
      <c r="CD25" s="317">
        <f>Шать!D42</f>
        <v>1258.1569999999999</v>
      </c>
      <c r="CE25" s="317">
        <f t="shared" si="36"/>
        <v>93.342013502485329</v>
      </c>
      <c r="CF25" s="317">
        <f>Шать!C43</f>
        <v>320</v>
      </c>
      <c r="CG25" s="317">
        <f>Шать!D43</f>
        <v>232.5</v>
      </c>
      <c r="CH25" s="317">
        <f t="shared" si="37"/>
        <v>72.65625</v>
      </c>
      <c r="CI25" s="317">
        <f>Шать!C44</f>
        <v>858.75699999999995</v>
      </c>
      <c r="CJ25" s="317">
        <f>Шать!D44</f>
        <v>745.70500000000004</v>
      </c>
      <c r="CK25" s="317">
        <f t="shared" si="7"/>
        <v>86.835391152561215</v>
      </c>
      <c r="CL25" s="317">
        <f>Шать!C45</f>
        <v>91.480999999999995</v>
      </c>
      <c r="CM25" s="317">
        <f>Шать!D45</f>
        <v>83.986999999999995</v>
      </c>
      <c r="CN25" s="317">
        <f t="shared" si="8"/>
        <v>91.808135022572984</v>
      </c>
      <c r="CO25" s="317">
        <f>Шать!C46</f>
        <v>207.66300000000001</v>
      </c>
      <c r="CP25" s="336">
        <f>Шать!D46</f>
        <v>75</v>
      </c>
      <c r="CQ25" s="317"/>
      <c r="CR25" s="335">
        <f>Шать!C50</f>
        <v>118.26078</v>
      </c>
      <c r="CS25" s="317">
        <f>Шать!D50</f>
        <v>0</v>
      </c>
      <c r="CT25" s="317">
        <f t="shared" si="9"/>
        <v>0</v>
      </c>
      <c r="CU25" s="317"/>
      <c r="CV25" s="317"/>
      <c r="CW25" s="317"/>
      <c r="CX25" s="316"/>
      <c r="CY25" s="316"/>
      <c r="CZ25" s="317" t="e">
        <f t="shared" si="38"/>
        <v>#DIV/0!</v>
      </c>
      <c r="DA25" s="317"/>
      <c r="DB25" s="317"/>
      <c r="DC25" s="317"/>
      <c r="DD25" s="317"/>
      <c r="DE25" s="317"/>
      <c r="DF25" s="317"/>
      <c r="DG25" s="316">
        <f t="shared" si="39"/>
        <v>3959.6631499999994</v>
      </c>
      <c r="DH25" s="316">
        <f t="shared" si="39"/>
        <v>3151.8046799999997</v>
      </c>
      <c r="DI25" s="317">
        <f>DH25/DG25*100</f>
        <v>79.597798110680202</v>
      </c>
      <c r="DJ25" s="316">
        <f t="shared" si="41"/>
        <v>1123.241</v>
      </c>
      <c r="DK25" s="316">
        <f t="shared" si="41"/>
        <v>910.54770999999994</v>
      </c>
      <c r="DL25" s="317">
        <f t="shared" si="42"/>
        <v>81.064322794484895</v>
      </c>
      <c r="DM25" s="317">
        <f>Шать!C58</f>
        <v>1111.1410000000001</v>
      </c>
      <c r="DN25" s="336">
        <f>Шать!D58</f>
        <v>903.56970999999999</v>
      </c>
      <c r="DO25" s="317">
        <f t="shared" si="43"/>
        <v>81.319086416575388</v>
      </c>
      <c r="DP25" s="317">
        <f>Шать!C61</f>
        <v>0</v>
      </c>
      <c r="DQ25" s="317">
        <f>Шать!D61</f>
        <v>0</v>
      </c>
      <c r="DR25" s="317" t="e">
        <f t="shared" si="44"/>
        <v>#DIV/0!</v>
      </c>
      <c r="DS25" s="317">
        <f>Шать!C62</f>
        <v>5</v>
      </c>
      <c r="DT25" s="317">
        <f>Шать!D62</f>
        <v>0</v>
      </c>
      <c r="DU25" s="317">
        <f t="shared" si="45"/>
        <v>0</v>
      </c>
      <c r="DV25" s="317">
        <f>Шать!C63</f>
        <v>7.1</v>
      </c>
      <c r="DW25" s="317">
        <f>Шать!D63</f>
        <v>6.9779999999999998</v>
      </c>
      <c r="DX25" s="317">
        <f t="shared" si="46"/>
        <v>98.281690140845072</v>
      </c>
      <c r="DY25" s="317">
        <f>Шать!C65</f>
        <v>89.944999999999993</v>
      </c>
      <c r="DZ25" s="317">
        <f>Шать!D65</f>
        <v>77.015630000000002</v>
      </c>
      <c r="EA25" s="317">
        <f t="shared" si="47"/>
        <v>85.62524876313303</v>
      </c>
      <c r="EB25" s="317">
        <f>Шать!C66</f>
        <v>9.7031100000000006</v>
      </c>
      <c r="EC25" s="451">
        <f>Шать!D66</f>
        <v>2.7031100000000001</v>
      </c>
      <c r="ED25" s="317">
        <f t="shared" si="48"/>
        <v>27.858181552100302</v>
      </c>
      <c r="EE25" s="316">
        <f>Шать!C72</f>
        <v>1541.5340399999998</v>
      </c>
      <c r="EF25" s="316">
        <f>Шать!D72</f>
        <v>983.48115999999993</v>
      </c>
      <c r="EG25" s="317">
        <f t="shared" si="49"/>
        <v>63.798861035854912</v>
      </c>
      <c r="EH25" s="316">
        <f>Шать!C77</f>
        <v>392.85</v>
      </c>
      <c r="EI25" s="316">
        <f>Шать!D77</f>
        <v>375.66707000000002</v>
      </c>
      <c r="EJ25" s="317">
        <f t="shared" si="50"/>
        <v>95.626083746977216</v>
      </c>
      <c r="EK25" s="316">
        <f>Шать!C81</f>
        <v>801.4</v>
      </c>
      <c r="EL25" s="338">
        <f>Шать!D81</f>
        <v>801.4</v>
      </c>
      <c r="EM25" s="317">
        <f t="shared" si="10"/>
        <v>100</v>
      </c>
      <c r="EN25" s="317">
        <f>Шать!C83</f>
        <v>0</v>
      </c>
      <c r="EO25" s="317">
        <f>Шать!D83</f>
        <v>0</v>
      </c>
      <c r="EP25" s="317" t="e">
        <f t="shared" si="11"/>
        <v>#DIV/0!</v>
      </c>
      <c r="EQ25" s="334">
        <f>Шать!C88</f>
        <v>0.99</v>
      </c>
      <c r="ER25" s="334">
        <f>Шать!D88</f>
        <v>0.99</v>
      </c>
      <c r="ES25" s="317">
        <f t="shared" si="51"/>
        <v>100</v>
      </c>
      <c r="ET25" s="317">
        <f>Шать!C94</f>
        <v>0</v>
      </c>
      <c r="EU25" s="317">
        <f>Шать!D94</f>
        <v>0</v>
      </c>
      <c r="EV25" s="317" t="e">
        <f t="shared" si="52"/>
        <v>#DIV/0!</v>
      </c>
      <c r="EW25" s="339">
        <f t="shared" si="12"/>
        <v>-170.14936999999918</v>
      </c>
      <c r="EX25" s="339">
        <f t="shared" si="13"/>
        <v>129.99739000000045</v>
      </c>
      <c r="EY25" s="317">
        <f t="shared" si="54"/>
        <v>-76.401922616581587</v>
      </c>
      <c r="EZ25" s="172"/>
      <c r="FA25" s="173"/>
      <c r="FC25" s="173"/>
    </row>
    <row r="26" spans="1:170" s="262" customFormat="1" ht="15" customHeight="1">
      <c r="A26" s="358">
        <v>13</v>
      </c>
      <c r="B26" s="354" t="s">
        <v>315</v>
      </c>
      <c r="C26" s="330">
        <f t="shared" si="14"/>
        <v>6876.3036200000006</v>
      </c>
      <c r="D26" s="306">
        <f t="shared" si="0"/>
        <v>6579.5909499999998</v>
      </c>
      <c r="E26" s="314">
        <f t="shared" si="1"/>
        <v>95.684997545236357</v>
      </c>
      <c r="F26" s="329">
        <f t="shared" si="2"/>
        <v>2928.6920000000005</v>
      </c>
      <c r="G26" s="329">
        <f t="shared" si="3"/>
        <v>3048.7100699999996</v>
      </c>
      <c r="H26" s="314">
        <f t="shared" si="15"/>
        <v>104.09800928195929</v>
      </c>
      <c r="I26" s="322">
        <f>Юнг!C6</f>
        <v>132.63200000000001</v>
      </c>
      <c r="J26" s="475">
        <f>Юнг!D6</f>
        <v>93.734849999999994</v>
      </c>
      <c r="K26" s="314">
        <f t="shared" si="16"/>
        <v>70.672876832137035</v>
      </c>
      <c r="L26" s="314">
        <f>Юнг!C8</f>
        <v>186.49</v>
      </c>
      <c r="M26" s="314">
        <f>Юнг!D8</f>
        <v>253.52909</v>
      </c>
      <c r="N26" s="314">
        <f t="shared" si="17"/>
        <v>135.94782025845888</v>
      </c>
      <c r="O26" s="314">
        <f>Юнг!C9</f>
        <v>2</v>
      </c>
      <c r="P26" s="314">
        <f>Юнг!D9</f>
        <v>1.8669100000000001</v>
      </c>
      <c r="Q26" s="314">
        <f t="shared" si="18"/>
        <v>93.345500000000001</v>
      </c>
      <c r="R26" s="314">
        <f>Юнг!C10</f>
        <v>311.47000000000003</v>
      </c>
      <c r="S26" s="314">
        <f>Юнг!D10</f>
        <v>340.58690000000001</v>
      </c>
      <c r="T26" s="314">
        <f t="shared" si="19"/>
        <v>109.34821973223745</v>
      </c>
      <c r="U26" s="314">
        <f>Юнг!C11</f>
        <v>0</v>
      </c>
      <c r="V26" s="327">
        <f>Юнг!D11</f>
        <v>-38.182490000000001</v>
      </c>
      <c r="W26" s="314" t="e">
        <f t="shared" si="20"/>
        <v>#DIV/0!</v>
      </c>
      <c r="X26" s="322">
        <f>Юнг!C13</f>
        <v>40</v>
      </c>
      <c r="Y26" s="322">
        <f>Юнг!D13</f>
        <v>13.895189999999999</v>
      </c>
      <c r="Z26" s="314">
        <f t="shared" si="21"/>
        <v>34.737974999999999</v>
      </c>
      <c r="AA26" s="322">
        <f>Юнг!C15</f>
        <v>229</v>
      </c>
      <c r="AB26" s="313">
        <f>Юнг!D15</f>
        <v>148.93655999999999</v>
      </c>
      <c r="AC26" s="314">
        <f t="shared" si="22"/>
        <v>65.037799126637552</v>
      </c>
      <c r="AD26" s="322">
        <f>Юнг!C16</f>
        <v>1700</v>
      </c>
      <c r="AE26" s="322">
        <f>Юнг!D16</f>
        <v>1813.38752</v>
      </c>
      <c r="AF26" s="314">
        <f t="shared" si="4"/>
        <v>106.66985411764706</v>
      </c>
      <c r="AG26" s="314">
        <f>Юнг!C18</f>
        <v>12</v>
      </c>
      <c r="AH26" s="314">
        <f>Юнг!D18</f>
        <v>8.4499999999999993</v>
      </c>
      <c r="AI26" s="314">
        <f t="shared" si="23"/>
        <v>70.416666666666657</v>
      </c>
      <c r="AJ26" s="314"/>
      <c r="AK26" s="314"/>
      <c r="AL26" s="314" t="e">
        <f>AJ26/AK26*100</f>
        <v>#DIV/0!</v>
      </c>
      <c r="AM26" s="322">
        <v>0</v>
      </c>
      <c r="AN26" s="322"/>
      <c r="AO26" s="314" t="e">
        <f t="shared" si="6"/>
        <v>#DIV/0!</v>
      </c>
      <c r="AP26" s="322">
        <f>Юнг!C27</f>
        <v>224.4</v>
      </c>
      <c r="AQ26" s="323">
        <f>Юнг!D27</f>
        <v>265.57848000000001</v>
      </c>
      <c r="AR26" s="314">
        <f t="shared" si="24"/>
        <v>118.35048128342247</v>
      </c>
      <c r="AS26" s="322">
        <f>Юнг!C28</f>
        <v>50.7</v>
      </c>
      <c r="AT26" s="323">
        <f>Юнг!D28</f>
        <v>61.551220000000001</v>
      </c>
      <c r="AU26" s="314">
        <f t="shared" si="25"/>
        <v>121.40280078895462</v>
      </c>
      <c r="AV26" s="322"/>
      <c r="AW26" s="322"/>
      <c r="AX26" s="314" t="e">
        <f t="shared" si="26"/>
        <v>#DIV/0!</v>
      </c>
      <c r="AY26" s="314">
        <f>Юнг!C30</f>
        <v>40</v>
      </c>
      <c r="AZ26" s="317">
        <f>Юнг!D30</f>
        <v>77.646829999999994</v>
      </c>
      <c r="BA26" s="314">
        <f t="shared" si="27"/>
        <v>194.117075</v>
      </c>
      <c r="BB26" s="314"/>
      <c r="BC26" s="314"/>
      <c r="BD26" s="314"/>
      <c r="BE26" s="314">
        <f>Юнг!C33</f>
        <v>0</v>
      </c>
      <c r="BF26" s="314">
        <f>Юнг!D31</f>
        <v>0</v>
      </c>
      <c r="BG26" s="314" t="e">
        <f t="shared" si="28"/>
        <v>#DIV/0!</v>
      </c>
      <c r="BH26" s="314"/>
      <c r="BI26" s="314"/>
      <c r="BJ26" s="314" t="e">
        <f t="shared" si="29"/>
        <v>#DIV/0!</v>
      </c>
      <c r="BK26" s="314"/>
      <c r="BL26" s="314"/>
      <c r="BM26" s="314"/>
      <c r="BN26" s="314"/>
      <c r="BO26" s="324">
        <f>Юнг!D34</f>
        <v>7.7290099999999997</v>
      </c>
      <c r="BP26" s="307" t="e">
        <f t="shared" si="30"/>
        <v>#DIV/0!</v>
      </c>
      <c r="BQ26" s="314">
        <f>Юнг!C36</f>
        <v>0</v>
      </c>
      <c r="BR26" s="314">
        <f>Юнг!D36</f>
        <v>0</v>
      </c>
      <c r="BS26" s="314" t="e">
        <f t="shared" si="31"/>
        <v>#DIV/0!</v>
      </c>
      <c r="BT26" s="314"/>
      <c r="BU26" s="314"/>
      <c r="BV26" s="325" t="e">
        <f t="shared" si="32"/>
        <v>#DIV/0!</v>
      </c>
      <c r="BW26" s="325"/>
      <c r="BX26" s="325"/>
      <c r="BY26" s="325" t="e">
        <f t="shared" si="33"/>
        <v>#DIV/0!</v>
      </c>
      <c r="BZ26" s="322">
        <f t="shared" si="34"/>
        <v>3947.6116199999997</v>
      </c>
      <c r="CA26" s="478">
        <f t="shared" si="35"/>
        <v>3530.8808799999997</v>
      </c>
      <c r="CB26" s="314">
        <f t="shared" si="53"/>
        <v>89.443471645267877</v>
      </c>
      <c r="CC26" s="314">
        <f>Юнг!C41</f>
        <v>767.8</v>
      </c>
      <c r="CD26" s="314">
        <f>Юнг!D41</f>
        <v>716.678</v>
      </c>
      <c r="CE26" s="314">
        <f t="shared" si="36"/>
        <v>93.341755665537903</v>
      </c>
      <c r="CF26" s="314">
        <f>Юнг!C42</f>
        <v>830</v>
      </c>
      <c r="CG26" s="314">
        <f>Юнг!D42</f>
        <v>745</v>
      </c>
      <c r="CH26" s="314">
        <f t="shared" si="37"/>
        <v>89.759036144578303</v>
      </c>
      <c r="CI26" s="314">
        <f>Юнг!C43</f>
        <v>1853.1594</v>
      </c>
      <c r="CJ26" s="314">
        <f>Юнг!D43</f>
        <v>1736.59988</v>
      </c>
      <c r="CK26" s="314">
        <f t="shared" si="7"/>
        <v>93.710226977776429</v>
      </c>
      <c r="CL26" s="314">
        <f>Юнг!C44</f>
        <v>91.736000000000004</v>
      </c>
      <c r="CM26" s="314">
        <f>Юнг!D44</f>
        <v>82.450999999999993</v>
      </c>
      <c r="CN26" s="314">
        <f t="shared" si="8"/>
        <v>89.878564576611126</v>
      </c>
      <c r="CO26" s="314">
        <f>Юнг!C45</f>
        <v>403.26621999999998</v>
      </c>
      <c r="CP26" s="324">
        <f>Юнг!D45</f>
        <v>248.50200000000001</v>
      </c>
      <c r="CQ26" s="314"/>
      <c r="CR26" s="327">
        <f>Юнг!C48</f>
        <v>1.65</v>
      </c>
      <c r="CS26" s="314">
        <f>Юнг!D48</f>
        <v>1.65</v>
      </c>
      <c r="CT26" s="314">
        <f t="shared" si="9"/>
        <v>100</v>
      </c>
      <c r="CU26" s="314"/>
      <c r="CV26" s="314">
        <f>Юнг!D47</f>
        <v>0</v>
      </c>
      <c r="CW26" s="314"/>
      <c r="CX26" s="322"/>
      <c r="CY26" s="322"/>
      <c r="CZ26" s="314" t="e">
        <f t="shared" si="38"/>
        <v>#DIV/0!</v>
      </c>
      <c r="DA26" s="314"/>
      <c r="DB26" s="314"/>
      <c r="DC26" s="314"/>
      <c r="DD26" s="314"/>
      <c r="DE26" s="314"/>
      <c r="DF26" s="314"/>
      <c r="DG26" s="316">
        <f t="shared" si="39"/>
        <v>7059.2041399999998</v>
      </c>
      <c r="DH26" s="316">
        <f t="shared" si="39"/>
        <v>6243.7325599999995</v>
      </c>
      <c r="DI26" s="314">
        <f t="shared" si="40"/>
        <v>88.448108826046777</v>
      </c>
      <c r="DJ26" s="322">
        <f t="shared" si="41"/>
        <v>1492.569</v>
      </c>
      <c r="DK26" s="322">
        <f t="shared" si="41"/>
        <v>1217.9212199999999</v>
      </c>
      <c r="DL26" s="314">
        <f t="shared" si="42"/>
        <v>81.598989393455184</v>
      </c>
      <c r="DM26" s="314">
        <f>Юнг!C57</f>
        <v>1463.8869999999999</v>
      </c>
      <c r="DN26" s="324">
        <f>Юнг!D57</f>
        <v>1194.2392199999999</v>
      </c>
      <c r="DO26" s="314">
        <f t="shared" si="43"/>
        <v>81.580014031137651</v>
      </c>
      <c r="DP26" s="314">
        <f>Юнг!C60</f>
        <v>0</v>
      </c>
      <c r="DQ26" s="314">
        <f>Юнг!D60</f>
        <v>0</v>
      </c>
      <c r="DR26" s="314" t="e">
        <f t="shared" si="44"/>
        <v>#DIV/0!</v>
      </c>
      <c r="DS26" s="314">
        <f>Юнг!C61</f>
        <v>5</v>
      </c>
      <c r="DT26" s="314">
        <f>Юнг!D61</f>
        <v>0</v>
      </c>
      <c r="DU26" s="314">
        <f t="shared" si="45"/>
        <v>0</v>
      </c>
      <c r="DV26" s="314">
        <f>Юнг!C62</f>
        <v>23.681999999999999</v>
      </c>
      <c r="DW26" s="314">
        <f>Юнг!D62</f>
        <v>23.681999999999999</v>
      </c>
      <c r="DX26" s="314">
        <f t="shared" si="46"/>
        <v>100</v>
      </c>
      <c r="DY26" s="314">
        <f>Юнг!C64</f>
        <v>89.945999999999998</v>
      </c>
      <c r="DZ26" s="314">
        <f>Юнг!D64</f>
        <v>74.892340000000004</v>
      </c>
      <c r="EA26" s="314">
        <f t="shared" si="47"/>
        <v>83.263669312698738</v>
      </c>
      <c r="EB26" s="314">
        <f>Юнг!C65</f>
        <v>31.48011</v>
      </c>
      <c r="EC26" s="450">
        <f>Юнг!D65</f>
        <v>24.978069999999999</v>
      </c>
      <c r="ED26" s="314">
        <f t="shared" si="48"/>
        <v>79.345561371926593</v>
      </c>
      <c r="EE26" s="322">
        <f>Юнг!C71</f>
        <v>3213.5745100000004</v>
      </c>
      <c r="EF26" s="322">
        <f>Юнг!D71</f>
        <v>3056.5086300000003</v>
      </c>
      <c r="EG26" s="314">
        <f t="shared" si="49"/>
        <v>95.112424513225307</v>
      </c>
      <c r="EH26" s="322">
        <f>Юнг!C76</f>
        <v>533.59951999999998</v>
      </c>
      <c r="EI26" s="322">
        <f>Юнг!D76</f>
        <v>256.30013000000002</v>
      </c>
      <c r="EJ26" s="314">
        <f t="shared" si="50"/>
        <v>48.032301453344637</v>
      </c>
      <c r="EK26" s="322">
        <f>Юнг!C80</f>
        <v>1677.702</v>
      </c>
      <c r="EL26" s="328">
        <f>Юнг!D80</f>
        <v>1592.79917</v>
      </c>
      <c r="EM26" s="314">
        <f t="shared" si="10"/>
        <v>94.939337856186626</v>
      </c>
      <c r="EN26" s="314">
        <f>Юнг!C82</f>
        <v>0</v>
      </c>
      <c r="EO26" s="314">
        <f>Юнг!D82</f>
        <v>0</v>
      </c>
      <c r="EP26" s="314" t="e">
        <f t="shared" si="11"/>
        <v>#DIV/0!</v>
      </c>
      <c r="EQ26" s="329">
        <f>Юнг!C87</f>
        <v>20.332999999999998</v>
      </c>
      <c r="ER26" s="329">
        <f>Юнг!D87</f>
        <v>20.332999999999998</v>
      </c>
      <c r="ES26" s="314">
        <f t="shared" si="51"/>
        <v>100</v>
      </c>
      <c r="ET26" s="314">
        <f>Юнг!C93</f>
        <v>0</v>
      </c>
      <c r="EU26" s="314">
        <f>Юнг!D93</f>
        <v>0</v>
      </c>
      <c r="EV26" s="314" t="e">
        <f t="shared" si="52"/>
        <v>#DIV/0!</v>
      </c>
      <c r="EW26" s="340">
        <f t="shared" si="12"/>
        <v>-182.90051999999923</v>
      </c>
      <c r="EX26" s="340">
        <f t="shared" si="13"/>
        <v>335.85839000000033</v>
      </c>
      <c r="EY26" s="314">
        <f t="shared" si="54"/>
        <v>-183.62899679016863</v>
      </c>
      <c r="EZ26" s="260"/>
      <c r="FA26" s="261"/>
      <c r="FC26" s="261"/>
    </row>
    <row r="27" spans="1:170" s="162" customFormat="1" ht="15" customHeight="1">
      <c r="A27" s="352">
        <v>14</v>
      </c>
      <c r="B27" s="354" t="s">
        <v>316</v>
      </c>
      <c r="C27" s="305">
        <f t="shared" si="14"/>
        <v>7117.7980000000007</v>
      </c>
      <c r="D27" s="306">
        <f t="shared" si="0"/>
        <v>6596.45676</v>
      </c>
      <c r="E27" s="314">
        <f t="shared" si="1"/>
        <v>92.67552633553241</v>
      </c>
      <c r="F27" s="308">
        <f>I27+X27+AA27+AD27+AG27+AM27+AS27+BE27+BQ27+BN27+AJ27+AY27+L27+R27+O27+U27+AP27</f>
        <v>1682.8040000000001</v>
      </c>
      <c r="G27" s="308">
        <f t="shared" si="3"/>
        <v>1662.8333599999999</v>
      </c>
      <c r="H27" s="314">
        <f t="shared" si="15"/>
        <v>98.813252167216135</v>
      </c>
      <c r="I27" s="322">
        <f>Юсь!C6</f>
        <v>132.44399999999999</v>
      </c>
      <c r="J27" s="475">
        <f>Юсь!D6</f>
        <v>125.35448</v>
      </c>
      <c r="K27" s="314">
        <f t="shared" si="16"/>
        <v>94.647156534082328</v>
      </c>
      <c r="L27" s="314">
        <f>Юсь!C8</f>
        <v>250.79</v>
      </c>
      <c r="M27" s="314">
        <f>Юсь!D8</f>
        <v>340.9529</v>
      </c>
      <c r="N27" s="307">
        <f t="shared" si="17"/>
        <v>135.95155309222858</v>
      </c>
      <c r="O27" s="307">
        <f>Юсь!C9</f>
        <v>2.69</v>
      </c>
      <c r="P27" s="307">
        <f>Юсь!D9</f>
        <v>2.5106899999999999</v>
      </c>
      <c r="Q27" s="307">
        <f t="shared" si="18"/>
        <v>93.334200743494421</v>
      </c>
      <c r="R27" s="307">
        <f>Юсь!C10</f>
        <v>418.88</v>
      </c>
      <c r="S27" s="307">
        <f>Юсь!D10</f>
        <v>458.03064999999998</v>
      </c>
      <c r="T27" s="307">
        <f t="shared" si="19"/>
        <v>109.34650735294117</v>
      </c>
      <c r="U27" s="307">
        <f>Юсь!C11</f>
        <v>0</v>
      </c>
      <c r="V27" s="311">
        <f>Юсь!D11</f>
        <v>-51.348849999999999</v>
      </c>
      <c r="W27" s="307" t="e">
        <f t="shared" si="20"/>
        <v>#DIV/0!</v>
      </c>
      <c r="X27" s="322">
        <f>Юсь!C13</f>
        <v>10</v>
      </c>
      <c r="Y27" s="322">
        <f>Юсь!D13</f>
        <v>0.31428</v>
      </c>
      <c r="Z27" s="314">
        <f t="shared" si="21"/>
        <v>3.1427999999999998</v>
      </c>
      <c r="AA27" s="322">
        <f>Юсь!C15</f>
        <v>128</v>
      </c>
      <c r="AB27" s="313">
        <f>Юсь!D15</f>
        <v>101.43239</v>
      </c>
      <c r="AC27" s="314">
        <f t="shared" si="22"/>
        <v>79.244054687499997</v>
      </c>
      <c r="AD27" s="322">
        <f>Юсь!C16</f>
        <v>325</v>
      </c>
      <c r="AE27" s="322">
        <f>Юсь!D16</f>
        <v>284.72457000000003</v>
      </c>
      <c r="AF27" s="314">
        <f t="shared" si="4"/>
        <v>87.607560000000007</v>
      </c>
      <c r="AG27" s="314">
        <f>Юсь!C18</f>
        <v>5</v>
      </c>
      <c r="AH27" s="314">
        <f>Юсь!D18</f>
        <v>9.3000000000000007</v>
      </c>
      <c r="AI27" s="314">
        <f t="shared" si="23"/>
        <v>186</v>
      </c>
      <c r="AJ27" s="314"/>
      <c r="AK27" s="314"/>
      <c r="AL27" s="314" t="e">
        <f>AJ27/AK27*100</f>
        <v>#DIV/0!</v>
      </c>
      <c r="AM27" s="322">
        <v>0</v>
      </c>
      <c r="AN27" s="322">
        <v>0</v>
      </c>
      <c r="AO27" s="314" t="e">
        <f t="shared" si="6"/>
        <v>#DIV/0!</v>
      </c>
      <c r="AP27" s="322">
        <f>Юсь!C27</f>
        <v>0</v>
      </c>
      <c r="AQ27" s="323">
        <f>Юсь!D27</f>
        <v>0</v>
      </c>
      <c r="AR27" s="314" t="e">
        <f t="shared" si="24"/>
        <v>#DIV/0!</v>
      </c>
      <c r="AS27" s="316">
        <f>Юсь!C28</f>
        <v>50</v>
      </c>
      <c r="AT27" s="323">
        <f>Юсь!D28</f>
        <v>61.5</v>
      </c>
      <c r="AU27" s="314">
        <f t="shared" si="25"/>
        <v>123</v>
      </c>
      <c r="AV27" s="322"/>
      <c r="AW27" s="322"/>
      <c r="AX27" s="314" t="e">
        <f t="shared" si="26"/>
        <v>#DIV/0!</v>
      </c>
      <c r="AY27" s="314">
        <f>Юсь!C30</f>
        <v>360</v>
      </c>
      <c r="AZ27" s="317">
        <f>Юсь!D30</f>
        <v>325.90424999999999</v>
      </c>
      <c r="BA27" s="314">
        <f t="shared" si="27"/>
        <v>90.528958333333335</v>
      </c>
      <c r="BB27" s="314"/>
      <c r="BC27" s="314"/>
      <c r="BD27" s="314"/>
      <c r="BE27" s="314">
        <f>Юсь!C31</f>
        <v>0</v>
      </c>
      <c r="BF27" s="314">
        <f>Юсь!D31</f>
        <v>4.1580000000000004</v>
      </c>
      <c r="BG27" s="314" t="e">
        <f t="shared" si="28"/>
        <v>#DIV/0!</v>
      </c>
      <c r="BH27" s="314"/>
      <c r="BI27" s="314"/>
      <c r="BJ27" s="314" t="e">
        <f t="shared" si="29"/>
        <v>#DIV/0!</v>
      </c>
      <c r="BK27" s="314"/>
      <c r="BL27" s="314"/>
      <c r="BM27" s="314"/>
      <c r="BN27" s="314"/>
      <c r="BO27" s="324"/>
      <c r="BP27" s="307" t="e">
        <f t="shared" si="30"/>
        <v>#DIV/0!</v>
      </c>
      <c r="BQ27" s="314">
        <f>Юсь!C34</f>
        <v>0</v>
      </c>
      <c r="BR27" s="314">
        <f>Юсь!D34</f>
        <v>0</v>
      </c>
      <c r="BS27" s="314" t="e">
        <f t="shared" si="31"/>
        <v>#DIV/0!</v>
      </c>
      <c r="BT27" s="314"/>
      <c r="BU27" s="314"/>
      <c r="BV27" s="325" t="e">
        <f t="shared" si="32"/>
        <v>#DIV/0!</v>
      </c>
      <c r="BW27" s="325"/>
      <c r="BX27" s="325"/>
      <c r="BY27" s="325" t="e">
        <f t="shared" si="33"/>
        <v>#DIV/0!</v>
      </c>
      <c r="BZ27" s="312">
        <f t="shared" si="34"/>
        <v>5434.9940000000006</v>
      </c>
      <c r="CA27" s="343">
        <f t="shared" si="35"/>
        <v>4933.6234000000004</v>
      </c>
      <c r="CB27" s="314">
        <f t="shared" si="53"/>
        <v>90.775139770163491</v>
      </c>
      <c r="CC27" s="314">
        <f>Юсь!C39</f>
        <v>3029</v>
      </c>
      <c r="CD27" s="314">
        <f>Юсь!D39</f>
        <v>2827.3319999999999</v>
      </c>
      <c r="CE27" s="314">
        <f t="shared" si="36"/>
        <v>93.342093100033011</v>
      </c>
      <c r="CF27" s="324">
        <f>Юсь!C41</f>
        <v>712.5</v>
      </c>
      <c r="CG27" s="314">
        <f>Юсь!D41</f>
        <v>681.25</v>
      </c>
      <c r="CH27" s="314">
        <f t="shared" si="37"/>
        <v>95.614035087719301</v>
      </c>
      <c r="CI27" s="314">
        <f>Юсь!C42</f>
        <v>1262.047</v>
      </c>
      <c r="CJ27" s="314">
        <f>Юсь!D42</f>
        <v>1199.5450000000001</v>
      </c>
      <c r="CK27" s="314">
        <f t="shared" si="7"/>
        <v>95.047569543765007</v>
      </c>
      <c r="CL27" s="314">
        <f>Юсь!C43</f>
        <v>182.65700000000001</v>
      </c>
      <c r="CM27" s="314">
        <f>Юсь!D43</f>
        <v>165.49639999999999</v>
      </c>
      <c r="CN27" s="314">
        <f t="shared" si="8"/>
        <v>90.605013768976818</v>
      </c>
      <c r="CO27" s="314">
        <f>Юсь!C50</f>
        <v>248.79</v>
      </c>
      <c r="CP27" s="324">
        <f>Юсь!D50</f>
        <v>60</v>
      </c>
      <c r="CQ27" s="314"/>
      <c r="CR27" s="327">
        <f>Юсь!C51</f>
        <v>0</v>
      </c>
      <c r="CS27" s="314">
        <f>Юсь!D51</f>
        <v>0</v>
      </c>
      <c r="CT27" s="314" t="e">
        <f t="shared" si="9"/>
        <v>#DIV/0!</v>
      </c>
      <c r="CU27" s="314"/>
      <c r="CV27" s="314"/>
      <c r="CW27" s="314"/>
      <c r="CX27" s="322"/>
      <c r="CY27" s="322"/>
      <c r="CZ27" s="314" t="e">
        <f t="shared" si="38"/>
        <v>#DIV/0!</v>
      </c>
      <c r="DA27" s="314"/>
      <c r="DB27" s="314"/>
      <c r="DC27" s="314"/>
      <c r="DD27" s="314"/>
      <c r="DE27" s="314"/>
      <c r="DF27" s="314"/>
      <c r="DG27" s="316">
        <f t="shared" si="39"/>
        <v>7378.3675499999999</v>
      </c>
      <c r="DH27" s="316">
        <f t="shared" si="39"/>
        <v>6640.1805100000001</v>
      </c>
      <c r="DI27" s="314">
        <f t="shared" si="40"/>
        <v>89.995252540651762</v>
      </c>
      <c r="DJ27" s="322">
        <f t="shared" si="41"/>
        <v>1409.2740000000001</v>
      </c>
      <c r="DK27" s="322">
        <f t="shared" si="41"/>
        <v>1162.9982299999999</v>
      </c>
      <c r="DL27" s="314">
        <f t="shared" si="42"/>
        <v>82.524635379635185</v>
      </c>
      <c r="DM27" s="314">
        <f>Юсь!C59</f>
        <v>1350.0820000000001</v>
      </c>
      <c r="DN27" s="324">
        <f>Юсь!D59</f>
        <v>1108.8062299999999</v>
      </c>
      <c r="DO27" s="314">
        <f t="shared" si="43"/>
        <v>82.128806250287013</v>
      </c>
      <c r="DP27" s="314">
        <f>Юсь!C62</f>
        <v>0</v>
      </c>
      <c r="DQ27" s="314">
        <f>Юсь!D62</f>
        <v>0</v>
      </c>
      <c r="DR27" s="314" t="e">
        <f t="shared" si="44"/>
        <v>#DIV/0!</v>
      </c>
      <c r="DS27" s="314">
        <f>Юсь!C63</f>
        <v>5</v>
      </c>
      <c r="DT27" s="314">
        <f>Юсь!D63</f>
        <v>0</v>
      </c>
      <c r="DU27" s="314">
        <f t="shared" si="45"/>
        <v>0</v>
      </c>
      <c r="DV27" s="314">
        <f>Юсь!C64</f>
        <v>54.192</v>
      </c>
      <c r="DW27" s="314">
        <f>Юсь!D64</f>
        <v>54.192</v>
      </c>
      <c r="DX27" s="314">
        <f t="shared" si="46"/>
        <v>100</v>
      </c>
      <c r="DY27" s="314">
        <f>Юсь!C66</f>
        <v>179.892</v>
      </c>
      <c r="DZ27" s="314">
        <f>Юсь!D66</f>
        <v>151.84827000000001</v>
      </c>
      <c r="EA27" s="314">
        <f t="shared" si="47"/>
        <v>84.410796477886734</v>
      </c>
      <c r="EB27" s="314">
        <f>Юсь!C67</f>
        <v>18.703109999999999</v>
      </c>
      <c r="EC27" s="450">
        <f>Юсь!D67</f>
        <v>10.703110000000001</v>
      </c>
      <c r="ED27" s="314">
        <f t="shared" si="48"/>
        <v>57.226365026992845</v>
      </c>
      <c r="EE27" s="322">
        <f>Юсь!C73</f>
        <v>2483.6485499999999</v>
      </c>
      <c r="EF27" s="322">
        <f>Юсь!D73</f>
        <v>2225.0988000000002</v>
      </c>
      <c r="EG27" s="314">
        <f t="shared" si="49"/>
        <v>89.589922052377347</v>
      </c>
      <c r="EH27" s="322">
        <f>Юсь!C78</f>
        <v>504.66699999999997</v>
      </c>
      <c r="EI27" s="322">
        <f>Юсь!D78</f>
        <v>460.01364999999998</v>
      </c>
      <c r="EJ27" s="314">
        <f t="shared" si="50"/>
        <v>91.151917997412156</v>
      </c>
      <c r="EK27" s="322">
        <f>Юсь!C82</f>
        <v>2755.18289</v>
      </c>
      <c r="EL27" s="328">
        <f>Юсь!D82</f>
        <v>2608.51845</v>
      </c>
      <c r="EM27" s="314">
        <f t="shared" si="10"/>
        <v>94.676780240893549</v>
      </c>
      <c r="EN27" s="314">
        <f>Юсь!C84</f>
        <v>0</v>
      </c>
      <c r="EO27" s="314">
        <f>Юсь!D84</f>
        <v>0</v>
      </c>
      <c r="EP27" s="314" t="e">
        <f t="shared" si="11"/>
        <v>#DIV/0!</v>
      </c>
      <c r="EQ27" s="329">
        <f>Юсь!C89</f>
        <v>27</v>
      </c>
      <c r="ER27" s="329">
        <f>Юсь!D89</f>
        <v>21</v>
      </c>
      <c r="ES27" s="314">
        <f t="shared" si="51"/>
        <v>77.777777777777786</v>
      </c>
      <c r="ET27" s="314">
        <f>Юсь!C95</f>
        <v>0</v>
      </c>
      <c r="EU27" s="314">
        <f>Юсь!D95</f>
        <v>0</v>
      </c>
      <c r="EV27" s="307" t="e">
        <f t="shared" si="52"/>
        <v>#DIV/0!</v>
      </c>
      <c r="EW27" s="321">
        <f t="shared" si="12"/>
        <v>-260.56954999999925</v>
      </c>
      <c r="EX27" s="321">
        <f t="shared" si="13"/>
        <v>-43.723750000000109</v>
      </c>
      <c r="EY27" s="307">
        <f t="shared" si="54"/>
        <v>16.780068891395882</v>
      </c>
      <c r="EZ27" s="164"/>
      <c r="FA27" s="165"/>
      <c r="FC27" s="165"/>
    </row>
    <row r="28" spans="1:170" s="162" customFormat="1" ht="15" customHeight="1">
      <c r="A28" s="352">
        <v>15</v>
      </c>
      <c r="B28" s="354" t="s">
        <v>317</v>
      </c>
      <c r="C28" s="330">
        <f t="shared" si="14"/>
        <v>13213.77844</v>
      </c>
      <c r="D28" s="306">
        <f>G28+CA28+CY28</f>
        <v>6776.0915199999999</v>
      </c>
      <c r="E28" s="314">
        <f>D28/C28*100</f>
        <v>51.280498994048514</v>
      </c>
      <c r="F28" s="308">
        <f t="shared" si="2"/>
        <v>3043.3092899999997</v>
      </c>
      <c r="G28" s="308">
        <f>J28+Y28+AB28+AE28+AH28+AN28+AT28+BF28+AK28+BR28+BO28+AZ28+M28+S28+P28+V28+AQ28</f>
        <v>2400.54819</v>
      </c>
      <c r="H28" s="314">
        <f>G28/F28*100</f>
        <v>78.879534127140928</v>
      </c>
      <c r="I28" s="322">
        <f>Яра!C6</f>
        <v>137.33699999999999</v>
      </c>
      <c r="J28" s="475">
        <f>Яра!D6</f>
        <v>93.87921</v>
      </c>
      <c r="K28" s="314">
        <f t="shared" si="16"/>
        <v>68.35682299744424</v>
      </c>
      <c r="L28" s="314">
        <f>Яра!C8</f>
        <v>274.90499999999997</v>
      </c>
      <c r="M28" s="314">
        <f>Яра!D8</f>
        <v>373.73687999999999</v>
      </c>
      <c r="N28" s="307">
        <f t="shared" si="17"/>
        <v>135.95128498935998</v>
      </c>
      <c r="O28" s="307">
        <f>Яра!C9</f>
        <v>2.948</v>
      </c>
      <c r="P28" s="307">
        <f>Яра!D9</f>
        <v>2.7520899999999999</v>
      </c>
      <c r="Q28" s="307">
        <f t="shared" si="18"/>
        <v>93.354477611940297</v>
      </c>
      <c r="R28" s="307">
        <f>Яра!C10</f>
        <v>459.15699999999998</v>
      </c>
      <c r="S28" s="307">
        <f>Яра!D10</f>
        <v>502.07206000000002</v>
      </c>
      <c r="T28" s="307">
        <f t="shared" si="19"/>
        <v>109.34648932718002</v>
      </c>
      <c r="U28" s="307">
        <f>Яра!C11</f>
        <v>0</v>
      </c>
      <c r="V28" s="311">
        <f>Яра!D11</f>
        <v>-56.286230000000003</v>
      </c>
      <c r="W28" s="307" t="e">
        <f t="shared" si="20"/>
        <v>#DIV/0!</v>
      </c>
      <c r="X28" s="322">
        <f>Яра!C13</f>
        <v>21</v>
      </c>
      <c r="Y28" s="322">
        <f>Яра!D13</f>
        <v>18.882000000000001</v>
      </c>
      <c r="Z28" s="314">
        <f t="shared" si="21"/>
        <v>89.914285714285725</v>
      </c>
      <c r="AA28" s="322">
        <f>Яра!C15</f>
        <v>201</v>
      </c>
      <c r="AB28" s="313">
        <f>Яра!D15</f>
        <v>166.17935</v>
      </c>
      <c r="AC28" s="314">
        <f t="shared" si="22"/>
        <v>82.676293532338306</v>
      </c>
      <c r="AD28" s="322">
        <f>Яра!C16</f>
        <v>1494.3772899999999</v>
      </c>
      <c r="AE28" s="322">
        <f>Яра!D16</f>
        <v>1033.2504200000001</v>
      </c>
      <c r="AF28" s="314">
        <f t="shared" si="4"/>
        <v>69.142540301853771</v>
      </c>
      <c r="AG28" s="314">
        <f>Яра!C18</f>
        <v>12</v>
      </c>
      <c r="AH28" s="314">
        <f>Яра!D18</f>
        <v>19.875</v>
      </c>
      <c r="AI28" s="314">
        <f t="shared" si="23"/>
        <v>165.625</v>
      </c>
      <c r="AJ28" s="314"/>
      <c r="AK28" s="314"/>
      <c r="AL28" s="314" t="e">
        <f>AJ28/AK28*100</f>
        <v>#DIV/0!</v>
      </c>
      <c r="AM28" s="322">
        <v>0</v>
      </c>
      <c r="AN28" s="322">
        <v>0</v>
      </c>
      <c r="AO28" s="314" t="e">
        <f t="shared" si="6"/>
        <v>#DIV/0!</v>
      </c>
      <c r="AP28" s="322">
        <f>Яра!C27</f>
        <v>10</v>
      </c>
      <c r="AQ28" s="323">
        <f>Яра!D27</f>
        <v>44.082520000000002</v>
      </c>
      <c r="AR28" s="314">
        <f t="shared" si="24"/>
        <v>440.8252</v>
      </c>
      <c r="AS28" s="316">
        <f>Яра!C28</f>
        <v>0</v>
      </c>
      <c r="AT28" s="323">
        <f>Яра!D28</f>
        <v>0</v>
      </c>
      <c r="AU28" s="314" t="e">
        <f t="shared" si="25"/>
        <v>#DIV/0!</v>
      </c>
      <c r="AV28" s="322"/>
      <c r="AW28" s="322"/>
      <c r="AX28" s="314" t="e">
        <f t="shared" si="26"/>
        <v>#DIV/0!</v>
      </c>
      <c r="AY28" s="314">
        <f>Яра!C31</f>
        <v>0</v>
      </c>
      <c r="AZ28" s="317">
        <f>Яра!D31</f>
        <v>77.994919999999993</v>
      </c>
      <c r="BA28" s="314" t="e">
        <f t="shared" si="27"/>
        <v>#DIV/0!</v>
      </c>
      <c r="BB28" s="314"/>
      <c r="BC28" s="314"/>
      <c r="BD28" s="314"/>
      <c r="BE28" s="314">
        <f>Яра!C34</f>
        <v>430.58499999999998</v>
      </c>
      <c r="BF28" s="314">
        <v>0</v>
      </c>
      <c r="BG28" s="314">
        <f t="shared" si="28"/>
        <v>0</v>
      </c>
      <c r="BH28" s="314"/>
      <c r="BI28" s="314"/>
      <c r="BJ28" s="314" t="e">
        <f t="shared" si="29"/>
        <v>#DIV/0!</v>
      </c>
      <c r="BK28" s="314"/>
      <c r="BL28" s="314"/>
      <c r="BM28" s="314"/>
      <c r="BN28" s="314">
        <f>Яра!C35</f>
        <v>0</v>
      </c>
      <c r="BO28" s="324">
        <f>Яра!D35</f>
        <v>124.12997</v>
      </c>
      <c r="BP28" s="307" t="e">
        <f t="shared" si="30"/>
        <v>#DIV/0!</v>
      </c>
      <c r="BQ28" s="314">
        <f>Яра!C37</f>
        <v>0</v>
      </c>
      <c r="BR28" s="314">
        <f>Яра!D37</f>
        <v>0</v>
      </c>
      <c r="BS28" s="314" t="e">
        <f t="shared" si="31"/>
        <v>#DIV/0!</v>
      </c>
      <c r="BT28" s="314"/>
      <c r="BU28" s="314"/>
      <c r="BV28" s="325" t="e">
        <f t="shared" si="32"/>
        <v>#DIV/0!</v>
      </c>
      <c r="BW28" s="325"/>
      <c r="BX28" s="325"/>
      <c r="BY28" s="325" t="e">
        <f t="shared" si="33"/>
        <v>#DIV/0!</v>
      </c>
      <c r="BZ28" s="312">
        <f t="shared" si="34"/>
        <v>10170.469150000001</v>
      </c>
      <c r="CA28" s="343">
        <f t="shared" si="35"/>
        <v>4375.5433300000004</v>
      </c>
      <c r="CB28" s="314">
        <f t="shared" si="53"/>
        <v>43.022040236954062</v>
      </c>
      <c r="CC28" s="314">
        <f>Яра!C42</f>
        <v>1852.8</v>
      </c>
      <c r="CD28" s="314">
        <f>Яра!D42</f>
        <v>1729.441</v>
      </c>
      <c r="CE28" s="314">
        <f t="shared" si="36"/>
        <v>93.342022884283253</v>
      </c>
      <c r="CF28" s="314">
        <f>Яра!C43</f>
        <v>494</v>
      </c>
      <c r="CG28" s="314">
        <f>Яра!D43</f>
        <v>397</v>
      </c>
      <c r="CH28" s="314">
        <f t="shared" si="37"/>
        <v>80.364372469635626</v>
      </c>
      <c r="CI28" s="314">
        <f>Яра!C44</f>
        <v>4591.6011500000004</v>
      </c>
      <c r="CJ28" s="314">
        <f>Яра!D44</f>
        <v>750.57375999999999</v>
      </c>
      <c r="CK28" s="314">
        <f t="shared" si="7"/>
        <v>16.34666721868906</v>
      </c>
      <c r="CL28" s="314">
        <f>Яра!C45</f>
        <v>182.04300000000001</v>
      </c>
      <c r="CM28" s="314">
        <f>Яра!D45</f>
        <v>165.49639999999999</v>
      </c>
      <c r="CN28" s="314">
        <f t="shared" si="8"/>
        <v>90.910609031932012</v>
      </c>
      <c r="CO28" s="314">
        <f>Яра!C47</f>
        <v>3050.0250000000001</v>
      </c>
      <c r="CP28" s="324">
        <f>Яра!D47</f>
        <v>1333.03217</v>
      </c>
      <c r="CQ28" s="314"/>
      <c r="CR28" s="327">
        <f>Яра!C51</f>
        <v>0</v>
      </c>
      <c r="CS28" s="314">
        <f>Яра!D51</f>
        <v>0</v>
      </c>
      <c r="CT28" s="314" t="e">
        <f t="shared" si="9"/>
        <v>#DIV/0!</v>
      </c>
      <c r="CU28" s="314"/>
      <c r="CV28" s="314"/>
      <c r="CW28" s="314"/>
      <c r="CX28" s="322"/>
      <c r="CY28" s="322"/>
      <c r="CZ28" s="314" t="e">
        <f t="shared" si="38"/>
        <v>#DIV/0!</v>
      </c>
      <c r="DA28" s="314"/>
      <c r="DB28" s="314">
        <f>Яра!D46</f>
        <v>0</v>
      </c>
      <c r="DC28" s="314" t="e">
        <f>DB28/DA28</f>
        <v>#DIV/0!</v>
      </c>
      <c r="DD28" s="314"/>
      <c r="DE28" s="314"/>
      <c r="DF28" s="314"/>
      <c r="DG28" s="316">
        <f t="shared" si="39"/>
        <v>14428.6775</v>
      </c>
      <c r="DH28" s="316">
        <f t="shared" si="39"/>
        <v>6407.2141099999999</v>
      </c>
      <c r="DI28" s="314">
        <f t="shared" si="40"/>
        <v>44.406107974899292</v>
      </c>
      <c r="DJ28" s="322">
        <f t="shared" si="41"/>
        <v>1556.9650000000001</v>
      </c>
      <c r="DK28" s="322">
        <f t="shared" si="41"/>
        <v>1300.1494000000002</v>
      </c>
      <c r="DL28" s="314">
        <f t="shared" si="42"/>
        <v>83.505371026323658</v>
      </c>
      <c r="DM28" s="314">
        <f>Яра!C59</f>
        <v>1504.0650000000001</v>
      </c>
      <c r="DN28" s="324">
        <f>Яра!D59</f>
        <v>1272.2499</v>
      </c>
      <c r="DO28" s="314">
        <f t="shared" si="43"/>
        <v>84.587428069930482</v>
      </c>
      <c r="DP28" s="314">
        <f>Яра!C62</f>
        <v>20.13</v>
      </c>
      <c r="DQ28" s="314">
        <f>Яра!D62</f>
        <v>20.13</v>
      </c>
      <c r="DR28" s="314">
        <f t="shared" si="44"/>
        <v>100</v>
      </c>
      <c r="DS28" s="314">
        <f>Яра!C63</f>
        <v>5</v>
      </c>
      <c r="DT28" s="314">
        <f>Яра!D63</f>
        <v>0</v>
      </c>
      <c r="DU28" s="314">
        <f t="shared" si="45"/>
        <v>0</v>
      </c>
      <c r="DV28" s="314">
        <f>Яра!C64</f>
        <v>27.77</v>
      </c>
      <c r="DW28" s="314">
        <f>Яра!D64</f>
        <v>7.7694999999999999</v>
      </c>
      <c r="DX28" s="314">
        <f t="shared" si="46"/>
        <v>27.97803384947785</v>
      </c>
      <c r="DY28" s="314">
        <f>Яра!C66</f>
        <v>179.892</v>
      </c>
      <c r="DZ28" s="314">
        <f>Яра!D65</f>
        <v>153.79621</v>
      </c>
      <c r="EA28" s="314">
        <f t="shared" si="47"/>
        <v>85.493635069930846</v>
      </c>
      <c r="EB28" s="314">
        <f>Яра!C67</f>
        <v>12.175000000000001</v>
      </c>
      <c r="EC28" s="450">
        <f>Яра!D67</f>
        <v>5.1749999999999998</v>
      </c>
      <c r="ED28" s="314">
        <f t="shared" si="48"/>
        <v>42.505133470225871</v>
      </c>
      <c r="EE28" s="322">
        <f>Яра!C73</f>
        <v>5435.1126599999998</v>
      </c>
      <c r="EF28" s="322">
        <f>Яра!D73</f>
        <v>1403.58106</v>
      </c>
      <c r="EG28" s="314">
        <f t="shared" si="49"/>
        <v>25.824323207313242</v>
      </c>
      <c r="EH28" s="322">
        <f>Яра!C78</f>
        <v>730.34400000000005</v>
      </c>
      <c r="EI28" s="322">
        <f>Яра!D78</f>
        <v>684.11188000000004</v>
      </c>
      <c r="EJ28" s="314">
        <f t="shared" si="50"/>
        <v>93.669815867591169</v>
      </c>
      <c r="EK28" s="322">
        <f>Яра!C82</f>
        <v>6480.9698399999997</v>
      </c>
      <c r="EL28" s="328">
        <f>Яра!D82</f>
        <v>2827.18156</v>
      </c>
      <c r="EM28" s="314">
        <f t="shared" si="10"/>
        <v>43.622816180240086</v>
      </c>
      <c r="EN28" s="314">
        <f>Яра!C84</f>
        <v>0</v>
      </c>
      <c r="EO28" s="314">
        <f>Яра!D84</f>
        <v>0</v>
      </c>
      <c r="EP28" s="314" t="e">
        <f t="shared" si="11"/>
        <v>#DIV/0!</v>
      </c>
      <c r="EQ28" s="329">
        <f>Яра!C89</f>
        <v>33.219000000000001</v>
      </c>
      <c r="ER28" s="329">
        <f>Яра!D89</f>
        <v>33.219000000000001</v>
      </c>
      <c r="ES28" s="314">
        <f t="shared" si="51"/>
        <v>100</v>
      </c>
      <c r="ET28" s="314">
        <f>Яра!C95</f>
        <v>0</v>
      </c>
      <c r="EU28" s="314">
        <f>Яра!D95</f>
        <v>0</v>
      </c>
      <c r="EV28" s="307" t="e">
        <f t="shared" si="52"/>
        <v>#DIV/0!</v>
      </c>
      <c r="EW28" s="321">
        <f t="shared" si="12"/>
        <v>-1214.8990599999997</v>
      </c>
      <c r="EX28" s="321">
        <f t="shared" si="13"/>
        <v>368.87741000000005</v>
      </c>
      <c r="EY28" s="307">
        <f t="shared" si="54"/>
        <v>-30.362803145143609</v>
      </c>
      <c r="EZ28" s="164"/>
      <c r="FA28" s="165"/>
      <c r="FC28" s="165"/>
    </row>
    <row r="29" spans="1:170" s="162" customFormat="1" ht="15" customHeight="1">
      <c r="A29" s="352">
        <v>16</v>
      </c>
      <c r="B29" s="353" t="s">
        <v>318</v>
      </c>
      <c r="C29" s="305">
        <f t="shared" si="14"/>
        <v>12427.91042</v>
      </c>
      <c r="D29" s="306">
        <f t="shared" si="0"/>
        <v>11444.795680000001</v>
      </c>
      <c r="E29" s="307">
        <f t="shared" si="1"/>
        <v>92.089460683447712</v>
      </c>
      <c r="F29" s="308">
        <f t="shared" si="2"/>
        <v>2115.6602800000001</v>
      </c>
      <c r="G29" s="308">
        <f t="shared" si="3"/>
        <v>1815.6356000000001</v>
      </c>
      <c r="H29" s="307">
        <f t="shared" si="15"/>
        <v>85.818863130521123</v>
      </c>
      <c r="I29" s="312">
        <f>Яро!C6</f>
        <v>109.68899999999999</v>
      </c>
      <c r="J29" s="475">
        <f>Яро!D6</f>
        <v>99.479140000000001</v>
      </c>
      <c r="K29" s="307">
        <f t="shared" si="16"/>
        <v>90.691992816052675</v>
      </c>
      <c r="L29" s="307">
        <f>Яро!C8</f>
        <v>157.55000000000001</v>
      </c>
      <c r="M29" s="307">
        <f>Яро!D8</f>
        <v>214.18839</v>
      </c>
      <c r="N29" s="307">
        <f t="shared" si="17"/>
        <v>135.94947000952078</v>
      </c>
      <c r="O29" s="307">
        <f>Яро!C9</f>
        <v>1.69</v>
      </c>
      <c r="P29" s="307">
        <f>Яро!D9</f>
        <v>1.57721</v>
      </c>
      <c r="Q29" s="307">
        <f t="shared" si="18"/>
        <v>93.326035502958575</v>
      </c>
      <c r="R29" s="307">
        <f>Яро!C10</f>
        <v>263.14</v>
      </c>
      <c r="S29" s="307">
        <f>Яро!D10</f>
        <v>287.73719999999997</v>
      </c>
      <c r="T29" s="307">
        <f t="shared" si="19"/>
        <v>109.34757163487117</v>
      </c>
      <c r="U29" s="307">
        <f>Яро!C11</f>
        <v>0</v>
      </c>
      <c r="V29" s="311">
        <f>Яро!D11</f>
        <v>-32.257599999999996</v>
      </c>
      <c r="W29" s="307" t="e">
        <f t="shared" si="20"/>
        <v>#DIV/0!</v>
      </c>
      <c r="X29" s="312">
        <f>Яро!C13</f>
        <v>5</v>
      </c>
      <c r="Y29" s="312">
        <f>Яро!D13</f>
        <v>0.77749999999999997</v>
      </c>
      <c r="Z29" s="307">
        <f t="shared" si="21"/>
        <v>15.55</v>
      </c>
      <c r="AA29" s="312">
        <f>Яро!C15</f>
        <v>228</v>
      </c>
      <c r="AB29" s="313">
        <f>Яро!D15</f>
        <v>179.36788000000001</v>
      </c>
      <c r="AC29" s="307">
        <f t="shared" si="22"/>
        <v>78.670122807017549</v>
      </c>
      <c r="AD29" s="312">
        <f>Яро!C16</f>
        <v>1028</v>
      </c>
      <c r="AE29" s="312">
        <f>Яро!D16</f>
        <v>823.37207000000001</v>
      </c>
      <c r="AF29" s="307">
        <f t="shared" si="4"/>
        <v>80.094559338521393</v>
      </c>
      <c r="AG29" s="307">
        <f>Яро!C18</f>
        <v>5</v>
      </c>
      <c r="AH29" s="307">
        <f>Яро!D18</f>
        <v>3.95</v>
      </c>
      <c r="AI29" s="307">
        <f t="shared" si="23"/>
        <v>79</v>
      </c>
      <c r="AJ29" s="307"/>
      <c r="AK29" s="307"/>
      <c r="AL29" s="307" t="e">
        <f>AJ29/AK29*100</f>
        <v>#DIV/0!</v>
      </c>
      <c r="AM29" s="312">
        <v>0</v>
      </c>
      <c r="AN29" s="312">
        <v>0</v>
      </c>
      <c r="AO29" s="307" t="e">
        <f t="shared" si="6"/>
        <v>#DIV/0!</v>
      </c>
      <c r="AP29" s="312">
        <f>Яро!C26</f>
        <v>300</v>
      </c>
      <c r="AQ29" s="315">
        <f>Яро!D27</f>
        <v>220.10954000000001</v>
      </c>
      <c r="AR29" s="307">
        <f t="shared" si="24"/>
        <v>73.369846666666675</v>
      </c>
      <c r="AS29" s="316">
        <v>0</v>
      </c>
      <c r="AT29" s="315">
        <f>Яро!D28</f>
        <v>0</v>
      </c>
      <c r="AU29" s="307" t="e">
        <f t="shared" si="25"/>
        <v>#DIV/0!</v>
      </c>
      <c r="AV29" s="312"/>
      <c r="AW29" s="312"/>
      <c r="AX29" s="307" t="e">
        <f t="shared" si="26"/>
        <v>#DIV/0!</v>
      </c>
      <c r="AY29" s="307"/>
      <c r="AZ29" s="317">
        <f>Яро!D29</f>
        <v>5.4325999999999999</v>
      </c>
      <c r="BA29" s="307" t="e">
        <f t="shared" si="27"/>
        <v>#DIV/0!</v>
      </c>
      <c r="BB29" s="307"/>
      <c r="BC29" s="307"/>
      <c r="BD29" s="307"/>
      <c r="BE29" s="307">
        <f>Яро!C33</f>
        <v>17.591280000000001</v>
      </c>
      <c r="BF29" s="307">
        <f>Яро!D31</f>
        <v>6.399</v>
      </c>
      <c r="BG29" s="307">
        <f t="shared" si="28"/>
        <v>36.37597718869803</v>
      </c>
      <c r="BH29" s="307"/>
      <c r="BI29" s="307"/>
      <c r="BJ29" s="307" t="e">
        <f t="shared" si="29"/>
        <v>#DIV/0!</v>
      </c>
      <c r="BK29" s="307"/>
      <c r="BL29" s="307"/>
      <c r="BM29" s="307"/>
      <c r="BN29" s="307"/>
      <c r="BO29" s="318">
        <f>Яро!D34</f>
        <v>5.5026700000000002</v>
      </c>
      <c r="BP29" s="307" t="e">
        <f t="shared" si="30"/>
        <v>#DIV/0!</v>
      </c>
      <c r="BQ29" s="307">
        <f>Яро!C34</f>
        <v>0</v>
      </c>
      <c r="BR29" s="307">
        <v>0</v>
      </c>
      <c r="BS29" s="307" t="e">
        <f t="shared" si="31"/>
        <v>#DIV/0!</v>
      </c>
      <c r="BT29" s="307"/>
      <c r="BU29" s="307"/>
      <c r="BV29" s="319" t="e">
        <f t="shared" si="32"/>
        <v>#DIV/0!</v>
      </c>
      <c r="BW29" s="319"/>
      <c r="BX29" s="319"/>
      <c r="BY29" s="319" t="e">
        <f t="shared" si="33"/>
        <v>#DIV/0!</v>
      </c>
      <c r="BZ29" s="312">
        <f t="shared" si="34"/>
        <v>10312.25014</v>
      </c>
      <c r="CA29" s="343">
        <f t="shared" si="35"/>
        <v>9629.1600800000015</v>
      </c>
      <c r="CB29" s="307">
        <f t="shared" si="53"/>
        <v>93.37593589443324</v>
      </c>
      <c r="CC29" s="314">
        <f>Яро!C39</f>
        <v>550.70000000000005</v>
      </c>
      <c r="CD29" s="314">
        <f>Яро!D39</f>
        <v>514.03599999999994</v>
      </c>
      <c r="CE29" s="307">
        <f t="shared" si="36"/>
        <v>93.342291628836008</v>
      </c>
      <c r="CF29" s="307">
        <f>Яро!C40</f>
        <v>2195</v>
      </c>
      <c r="CG29" s="307">
        <f>Яро!D40</f>
        <v>1692.1428000000001</v>
      </c>
      <c r="CH29" s="307">
        <f t="shared" si="37"/>
        <v>77.090788154897496</v>
      </c>
      <c r="CI29" s="307">
        <f>Яро!C41</f>
        <v>1797.84664</v>
      </c>
      <c r="CJ29" s="307">
        <f>Яро!D41</f>
        <v>1723.192</v>
      </c>
      <c r="CK29" s="307">
        <f t="shared" si="7"/>
        <v>95.847552380774815</v>
      </c>
      <c r="CL29" s="307">
        <f>Яро!C42</f>
        <v>93.018000000000001</v>
      </c>
      <c r="CM29" s="307">
        <f>Яро!D42</f>
        <v>84.843599999999995</v>
      </c>
      <c r="CN29" s="307">
        <f t="shared" si="8"/>
        <v>91.212023479326575</v>
      </c>
      <c r="CO29" s="307">
        <f>Яро!C44</f>
        <v>5435.2018200000002</v>
      </c>
      <c r="CP29" s="318">
        <f>Яро!D44</f>
        <v>5374.4620000000004</v>
      </c>
      <c r="CQ29" s="307">
        <f>Яро!E44</f>
        <v>98.882473512271531</v>
      </c>
      <c r="CR29" s="311">
        <f>Яро!C45</f>
        <v>240.48367999999999</v>
      </c>
      <c r="CS29" s="307">
        <f>Яро!D45</f>
        <v>240.48367999999999</v>
      </c>
      <c r="CT29" s="307">
        <f t="shared" si="9"/>
        <v>100</v>
      </c>
      <c r="CU29" s="307"/>
      <c r="CV29" s="307"/>
      <c r="CW29" s="307"/>
      <c r="CX29" s="312"/>
      <c r="CY29" s="312"/>
      <c r="CZ29" s="307" t="e">
        <f t="shared" si="38"/>
        <v>#DIV/0!</v>
      </c>
      <c r="DA29" s="307"/>
      <c r="DB29" s="307"/>
      <c r="DC29" s="307"/>
      <c r="DD29" s="307"/>
      <c r="DE29" s="307"/>
      <c r="DF29" s="307"/>
      <c r="DG29" s="316">
        <f t="shared" si="39"/>
        <v>12480.18485</v>
      </c>
      <c r="DH29" s="316">
        <f t="shared" si="39"/>
        <v>11152.14004</v>
      </c>
      <c r="DI29" s="307">
        <f t="shared" si="40"/>
        <v>89.358772919136698</v>
      </c>
      <c r="DJ29" s="312">
        <f t="shared" si="41"/>
        <v>1343.5059999999999</v>
      </c>
      <c r="DK29" s="312">
        <f t="shared" si="41"/>
        <v>1109.3751</v>
      </c>
      <c r="DL29" s="307">
        <f t="shared" si="42"/>
        <v>82.573140722854987</v>
      </c>
      <c r="DM29" s="307">
        <f>Яро!C55</f>
        <v>1332.4159999999999</v>
      </c>
      <c r="DN29" s="318">
        <f>Яро!D55</f>
        <v>1106.2855999999999</v>
      </c>
      <c r="DO29" s="307">
        <f t="shared" si="43"/>
        <v>83.028543638022953</v>
      </c>
      <c r="DP29" s="307">
        <f>Яро!C58</f>
        <v>0</v>
      </c>
      <c r="DQ29" s="307">
        <f>Яро!D58</f>
        <v>0</v>
      </c>
      <c r="DR29" s="307" t="e">
        <f t="shared" si="44"/>
        <v>#DIV/0!</v>
      </c>
      <c r="DS29" s="307">
        <f>Яро!C59</f>
        <v>5</v>
      </c>
      <c r="DT29" s="307">
        <f>Яро!D59</f>
        <v>0</v>
      </c>
      <c r="DU29" s="307">
        <f t="shared" si="45"/>
        <v>0</v>
      </c>
      <c r="DV29" s="307">
        <f>Яро!C60</f>
        <v>6.09</v>
      </c>
      <c r="DW29" s="307">
        <f>Яро!D60</f>
        <v>3.0895000000000001</v>
      </c>
      <c r="DX29" s="307">
        <f t="shared" si="46"/>
        <v>50.730706075533661</v>
      </c>
      <c r="DY29" s="307">
        <f>Яро!C61</f>
        <v>89.944999999999993</v>
      </c>
      <c r="DZ29" s="307">
        <f>Яро!D61</f>
        <v>56.83222</v>
      </c>
      <c r="EA29" s="307">
        <f t="shared" si="47"/>
        <v>63.185524487186619</v>
      </c>
      <c r="EB29" s="307">
        <f>Яро!C63</f>
        <v>16</v>
      </c>
      <c r="EC29" s="344">
        <f>Яро!D63</f>
        <v>7.6354300000000004</v>
      </c>
      <c r="ED29" s="307">
        <f t="shared" si="48"/>
        <v>47.7214375</v>
      </c>
      <c r="EE29" s="312">
        <f>Яро!C69</f>
        <v>4195.6548999999995</v>
      </c>
      <c r="EF29" s="312">
        <f>Яро!D69</f>
        <v>3794.4299900000001</v>
      </c>
      <c r="EG29" s="307">
        <f t="shared" si="49"/>
        <v>90.437132710795652</v>
      </c>
      <c r="EH29" s="312">
        <f>Яро!C74</f>
        <v>448.79333000000003</v>
      </c>
      <c r="EI29" s="312">
        <f>Яро!D74</f>
        <v>381.47750000000002</v>
      </c>
      <c r="EJ29" s="307">
        <f t="shared" si="50"/>
        <v>85.00070622707338</v>
      </c>
      <c r="EK29" s="312">
        <f>Яро!C79</f>
        <v>6384.0006199999998</v>
      </c>
      <c r="EL29" s="320">
        <f>Яро!D78</f>
        <v>5801.1048000000001</v>
      </c>
      <c r="EM29" s="307">
        <f t="shared" si="10"/>
        <v>90.869427265187213</v>
      </c>
      <c r="EN29" s="307">
        <f>Яро!C80</f>
        <v>0</v>
      </c>
      <c r="EO29" s="307">
        <f>Яро!D80</f>
        <v>0</v>
      </c>
      <c r="EP29" s="307" t="e">
        <f t="shared" si="11"/>
        <v>#DIV/0!</v>
      </c>
      <c r="EQ29" s="308">
        <f>Яро!C85</f>
        <v>2.2850000000000001</v>
      </c>
      <c r="ER29" s="308">
        <f>Яро!D85</f>
        <v>1.2849999999999999</v>
      </c>
      <c r="ES29" s="307">
        <f t="shared" si="51"/>
        <v>56.236323851203494</v>
      </c>
      <c r="ET29" s="307">
        <f>Яро!C91</f>
        <v>0</v>
      </c>
      <c r="EU29" s="307">
        <f>Яро!D91</f>
        <v>0</v>
      </c>
      <c r="EV29" s="307" t="e">
        <f t="shared" si="52"/>
        <v>#DIV/0!</v>
      </c>
      <c r="EW29" s="321">
        <f t="shared" si="12"/>
        <v>-52.274429999999484</v>
      </c>
      <c r="EX29" s="321">
        <f t="shared" si="13"/>
        <v>292.65564000000086</v>
      </c>
      <c r="EY29" s="307">
        <f t="shared" si="54"/>
        <v>-559.84472714480819</v>
      </c>
      <c r="EZ29" s="164"/>
      <c r="FA29" s="165"/>
      <c r="FC29" s="165"/>
    </row>
    <row r="30" spans="1:170" s="162" customFormat="1" ht="17.25" customHeight="1">
      <c r="A30" s="359"/>
      <c r="B30" s="360"/>
      <c r="C30" s="341"/>
      <c r="D30" s="342"/>
      <c r="E30" s="307"/>
      <c r="F30" s="308"/>
      <c r="G30" s="312"/>
      <c r="H30" s="307"/>
      <c r="I30" s="312"/>
      <c r="J30" s="476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44"/>
      <c r="W30" s="307"/>
      <c r="X30" s="312"/>
      <c r="Y30" s="312"/>
      <c r="Z30" s="307"/>
      <c r="AA30" s="312"/>
      <c r="AB30" s="312"/>
      <c r="AC30" s="307"/>
      <c r="AD30" s="312"/>
      <c r="AE30" s="312"/>
      <c r="AF30" s="307"/>
      <c r="AG30" s="307"/>
      <c r="AH30" s="307"/>
      <c r="AI30" s="307"/>
      <c r="AJ30" s="307"/>
      <c r="AK30" s="307"/>
      <c r="AL30" s="307"/>
      <c r="AM30" s="312"/>
      <c r="AN30" s="312"/>
      <c r="AO30" s="307"/>
      <c r="AP30" s="312"/>
      <c r="AQ30" s="312"/>
      <c r="AR30" s="307"/>
      <c r="AS30" s="312"/>
      <c r="AT30" s="315"/>
      <c r="AU30" s="307"/>
      <c r="AV30" s="312"/>
      <c r="AW30" s="312"/>
      <c r="AX30" s="307"/>
      <c r="AY30" s="307"/>
      <c r="AZ30" s="317"/>
      <c r="BA30" s="307" t="e">
        <f t="shared" si="27"/>
        <v>#DIV/0!</v>
      </c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19"/>
      <c r="BW30" s="319"/>
      <c r="BX30" s="319"/>
      <c r="BY30" s="319"/>
      <c r="BZ30" s="312"/>
      <c r="CA30" s="343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  <c r="CO30" s="307"/>
      <c r="CP30" s="307"/>
      <c r="CQ30" s="307"/>
      <c r="CR30" s="344"/>
      <c r="CS30" s="307"/>
      <c r="CT30" s="307"/>
      <c r="CU30" s="307"/>
      <c r="CV30" s="307"/>
      <c r="CW30" s="307"/>
      <c r="CX30" s="312"/>
      <c r="CY30" s="312"/>
      <c r="CZ30" s="307"/>
      <c r="DA30" s="307"/>
      <c r="DB30" s="307"/>
      <c r="DC30" s="307"/>
      <c r="DD30" s="307"/>
      <c r="DE30" s="307"/>
      <c r="DF30" s="307"/>
      <c r="DG30" s="312"/>
      <c r="DH30" s="312"/>
      <c r="DI30" s="307"/>
      <c r="DJ30" s="312"/>
      <c r="DK30" s="343"/>
      <c r="DL30" s="307"/>
      <c r="DM30" s="307"/>
      <c r="DN30" s="307"/>
      <c r="DO30" s="307"/>
      <c r="DP30" s="307"/>
      <c r="DQ30" s="307"/>
      <c r="DR30" s="307"/>
      <c r="DS30" s="307"/>
      <c r="DT30" s="307"/>
      <c r="DU30" s="307"/>
      <c r="DV30" s="307"/>
      <c r="DW30" s="307"/>
      <c r="DX30" s="307"/>
      <c r="DY30" s="307"/>
      <c r="DZ30" s="318"/>
      <c r="EA30" s="307"/>
      <c r="EB30" s="307"/>
      <c r="EC30" s="344"/>
      <c r="ED30" s="307"/>
      <c r="EE30" s="312"/>
      <c r="EF30" s="312"/>
      <c r="EG30" s="307"/>
      <c r="EH30" s="312"/>
      <c r="EI30" s="312"/>
      <c r="EJ30" s="307"/>
      <c r="EK30" s="312"/>
      <c r="EL30" s="312"/>
      <c r="EM30" s="307"/>
      <c r="EN30" s="307"/>
      <c r="EO30" s="307"/>
      <c r="EP30" s="307"/>
      <c r="EQ30" s="308"/>
      <c r="ER30" s="308"/>
      <c r="ES30" s="307"/>
      <c r="ET30" s="307"/>
      <c r="EU30" s="307"/>
      <c r="EV30" s="307"/>
      <c r="EW30" s="321"/>
      <c r="EX30" s="321"/>
      <c r="EY30" s="307" t="e">
        <f t="shared" si="54"/>
        <v>#DIV/0!</v>
      </c>
      <c r="FA30" s="165"/>
      <c r="FC30" s="165"/>
    </row>
    <row r="31" spans="1:170" s="168" customFormat="1" ht="18.75">
      <c r="A31" s="523" t="s">
        <v>179</v>
      </c>
      <c r="B31" s="524"/>
      <c r="C31" s="345">
        <f>SUM(C14:C29)</f>
        <v>180275.30260999998</v>
      </c>
      <c r="D31" s="345">
        <f>SUM(D14:D29)</f>
        <v>124863.93419</v>
      </c>
      <c r="E31" s="346">
        <f>D31/C31*100</f>
        <v>69.262917539029402</v>
      </c>
      <c r="F31" s="347">
        <f>SUM(F14:F29)</f>
        <v>39835.968569999997</v>
      </c>
      <c r="G31" s="348">
        <f>SUM(G14:G29)</f>
        <v>36369.786670000009</v>
      </c>
      <c r="H31" s="346">
        <f>G31/F31*100</f>
        <v>91.298863754475562</v>
      </c>
      <c r="I31" s="348">
        <f>SUM(I14:I29)</f>
        <v>5311.6999999999989</v>
      </c>
      <c r="J31" s="477">
        <f>SUM(J14:J29)</f>
        <v>4739.6949800000002</v>
      </c>
      <c r="K31" s="346">
        <f>J31/I31*100</f>
        <v>89.23122503153418</v>
      </c>
      <c r="L31" s="346">
        <f>SUM(L14:L29)</f>
        <v>3048.8849999999993</v>
      </c>
      <c r="M31" s="346">
        <f>SUM(M14:M29)</f>
        <v>4144.9820899999995</v>
      </c>
      <c r="N31" s="346">
        <f>M31/L31*100</f>
        <v>135.95075216021598</v>
      </c>
      <c r="O31" s="346">
        <f>SUM(O14:O29)</f>
        <v>32.633000000000003</v>
      </c>
      <c r="P31" s="346">
        <f>SUM(P14:P29)</f>
        <v>30.52244</v>
      </c>
      <c r="Q31" s="346">
        <f>P31/O31*100</f>
        <v>93.532436490668942</v>
      </c>
      <c r="R31" s="346">
        <f>SUM(R14:R29)</f>
        <v>5092.3970000000008</v>
      </c>
      <c r="S31" s="346">
        <f>SUM(S14:S29)</f>
        <v>5568.3021099999996</v>
      </c>
      <c r="T31" s="346">
        <f>S31/R31*100</f>
        <v>109.34540472787174</v>
      </c>
      <c r="U31" s="346">
        <f>SUM(U14:U29)</f>
        <v>0</v>
      </c>
      <c r="V31" s="346">
        <f>SUM(V14:V29)</f>
        <v>-624.25054</v>
      </c>
      <c r="W31" s="346" t="e">
        <f>V31/U31*100</f>
        <v>#DIV/0!</v>
      </c>
      <c r="X31" s="348">
        <f>SUM(X14:X29)</f>
        <v>514.20000000000005</v>
      </c>
      <c r="Y31" s="348">
        <f>SUM(Y14:Y29)</f>
        <v>583.22735999999998</v>
      </c>
      <c r="Z31" s="346">
        <f>Y31/X31*100</f>
        <v>113.42422403733954</v>
      </c>
      <c r="AA31" s="348">
        <f>SUM(AA14:AA29)</f>
        <v>4671</v>
      </c>
      <c r="AB31" s="348">
        <f>SUM(AB14:AB29)</f>
        <v>3854.9261699999997</v>
      </c>
      <c r="AC31" s="346">
        <f>AB31/AA31*100</f>
        <v>82.528926782273587</v>
      </c>
      <c r="AD31" s="348">
        <f>SUM(AD14:AD29)</f>
        <v>17719.37729</v>
      </c>
      <c r="AE31" s="348">
        <f>SUM(AE14:AE29)</f>
        <v>14695.27304</v>
      </c>
      <c r="AF31" s="346">
        <f>AE31/AD31*100</f>
        <v>82.933349177531952</v>
      </c>
      <c r="AG31" s="349">
        <f>SUM(AG14:AG29)</f>
        <v>147</v>
      </c>
      <c r="AH31" s="346">
        <f>SUM(AH14:AH29)</f>
        <v>116.265</v>
      </c>
      <c r="AI31" s="307">
        <f t="shared" si="23"/>
        <v>79.091836734693871</v>
      </c>
      <c r="AJ31" s="348">
        <f>AJ14+AJ15+AJ16+AJ17+AJ18+AJ19+AJ20+AJ21+AJ22+AJ23+AJ24+AJ25+AJ26+AJ27+AJ28+AJ29</f>
        <v>0</v>
      </c>
      <c r="AK31" s="348">
        <f>AK14+AK15+AK16+AK17+AK18+AK19+AK20+AK21+AK22+AK23+AK24+AK25+AK26+AK27+AK28+AK29</f>
        <v>0</v>
      </c>
      <c r="AL31" s="307" t="e">
        <f>AK31/AJ31*100</f>
        <v>#DIV/0!</v>
      </c>
      <c r="AM31" s="348">
        <f>SUM(AM14:AM29)</f>
        <v>0</v>
      </c>
      <c r="AN31" s="348">
        <f>SUM(AN14:AN29)</f>
        <v>0</v>
      </c>
      <c r="AO31" s="346" t="e">
        <f>AN31/AM31*100</f>
        <v>#DIV/0!</v>
      </c>
      <c r="AP31" s="348">
        <f>SUM(AP14:AP29)</f>
        <v>1751.9</v>
      </c>
      <c r="AQ31" s="348">
        <f>SUM(AQ14:AQ29)</f>
        <v>1695.7394599999998</v>
      </c>
      <c r="AR31" s="346">
        <f>AQ31/AP31*100</f>
        <v>96.794306752668518</v>
      </c>
      <c r="AS31" s="348">
        <f>SUM(AS14:AS29)</f>
        <v>255.7</v>
      </c>
      <c r="AT31" s="348">
        <f>SUM(AT14:AT29)</f>
        <v>350.82873000000006</v>
      </c>
      <c r="AU31" s="346">
        <f>AT31/AS31*100</f>
        <v>137.20325772389521</v>
      </c>
      <c r="AV31" s="348">
        <f>SUM(AV14:AV29)</f>
        <v>0</v>
      </c>
      <c r="AW31" s="348">
        <f>SUM(AW14:AW29)</f>
        <v>0</v>
      </c>
      <c r="AX31" s="346" t="e">
        <f>AW31/AV31*100</f>
        <v>#DIV/0!</v>
      </c>
      <c r="AY31" s="346">
        <f>SUM(AY14:AY29)</f>
        <v>843</v>
      </c>
      <c r="AZ31" s="346">
        <f>SUM(AZ14:AZ29)</f>
        <v>916.37234999999987</v>
      </c>
      <c r="BA31" s="307">
        <f t="shared" si="27"/>
        <v>108.70371886120995</v>
      </c>
      <c r="BB31" s="307">
        <f>SUM(BB14:BB29)</f>
        <v>6</v>
      </c>
      <c r="BC31" s="307">
        <f>SUM(BC14:BC29)</f>
        <v>6.3845299999999998</v>
      </c>
      <c r="BD31" s="307">
        <f>BC31/BB31*100</f>
        <v>106.40883333333333</v>
      </c>
      <c r="BE31" s="347">
        <f>SUM(BE14:BE29)</f>
        <v>448.17627999999996</v>
      </c>
      <c r="BF31" s="348">
        <f>SUM(BF14:BF29)</f>
        <v>10.557</v>
      </c>
      <c r="BG31" s="348">
        <f t="shared" si="28"/>
        <v>2.3555463488607655</v>
      </c>
      <c r="BH31" s="348">
        <f>SUM(BH14:BH29)</f>
        <v>0</v>
      </c>
      <c r="BI31" s="348">
        <f>SUM(BI14:BI29)</f>
        <v>0</v>
      </c>
      <c r="BJ31" s="346" t="e">
        <f>BI31/BH31*100</f>
        <v>#DIV/0!</v>
      </c>
      <c r="BK31" s="346">
        <f>SUM(BK14:BK29)</f>
        <v>0</v>
      </c>
      <c r="BL31" s="346">
        <f>BL15+BL27+BL28+BL19+BL22+BL26+BL18</f>
        <v>0</v>
      </c>
      <c r="BM31" s="346" t="e">
        <f>BL31/BK31*100</f>
        <v>#DIV/0!</v>
      </c>
      <c r="BN31" s="346">
        <f>BN14+BN15+BN16+BN17+BN18+BN19+BN20+BN21+BN22+BN23+BN24+BN25+BN26+BN27+BN28+BN29</f>
        <v>0</v>
      </c>
      <c r="BO31" s="346">
        <f>BO14+BO15+BO16+BO17+BO18+BO19+BO20+BO21+BO22+BO23+BO24+BO25+BO26+BO27+BO28+BO29</f>
        <v>291.99648000000002</v>
      </c>
      <c r="BP31" s="346" t="e">
        <f>BO31/BN31*100</f>
        <v>#DIV/0!</v>
      </c>
      <c r="BQ31" s="348">
        <f>SUM(BQ14:BQ29)</f>
        <v>0</v>
      </c>
      <c r="BR31" s="348">
        <f>SUM(BR14:BR29)</f>
        <v>-4.6500000000000004</v>
      </c>
      <c r="BS31" s="346" t="e">
        <f>BR31/BQ31*100</f>
        <v>#DIV/0!</v>
      </c>
      <c r="BT31" s="346">
        <f t="shared" ref="BT31:BY31" si="55">SUM(BT14:BT29)</f>
        <v>0</v>
      </c>
      <c r="BU31" s="346"/>
      <c r="BV31" s="346" t="e">
        <f t="shared" si="55"/>
        <v>#DIV/0!</v>
      </c>
      <c r="BW31" s="346">
        <f t="shared" si="55"/>
        <v>0</v>
      </c>
      <c r="BX31" s="346">
        <f t="shared" si="55"/>
        <v>0</v>
      </c>
      <c r="BY31" s="350" t="e">
        <f t="shared" si="55"/>
        <v>#DIV/0!</v>
      </c>
      <c r="BZ31" s="347">
        <f>SUM(BZ14:BZ29)</f>
        <v>140439.33404000002</v>
      </c>
      <c r="CA31" s="479">
        <f>SUM(CA14:CA29)</f>
        <v>88494.147520000013</v>
      </c>
      <c r="CB31" s="348">
        <f t="shared" si="53"/>
        <v>63.012366246905628</v>
      </c>
      <c r="CC31" s="348">
        <f>SUM(CC14:CC29)</f>
        <v>28294.000000000004</v>
      </c>
      <c r="CD31" s="348">
        <f>SUM(CD14:CD29)</f>
        <v>26483.153000000002</v>
      </c>
      <c r="CE31" s="348">
        <f>CD31/CC31*100</f>
        <v>93.599890436134871</v>
      </c>
      <c r="CF31" s="347">
        <f>SUM(CF14:CF29)</f>
        <v>7816.308</v>
      </c>
      <c r="CG31" s="348">
        <f>SUM(CG14:CG29)</f>
        <v>6027.6928000000007</v>
      </c>
      <c r="CH31" s="348">
        <f>CG31/CF31*100</f>
        <v>77.116879222261986</v>
      </c>
      <c r="CI31" s="348">
        <f>SUM(CI14:CI29)</f>
        <v>83138.873790000012</v>
      </c>
      <c r="CJ31" s="348">
        <f>SUM(CJ14:CJ29)</f>
        <v>38739.836660000001</v>
      </c>
      <c r="CK31" s="348">
        <f>CJ31/CI31*100</f>
        <v>46.596537689279657</v>
      </c>
      <c r="CL31" s="348">
        <f>SUM(CL14:CL29)</f>
        <v>2201.1</v>
      </c>
      <c r="CM31" s="348">
        <f>SUM(CM14:CM29)</f>
        <v>1997.4220000000003</v>
      </c>
      <c r="CN31" s="348">
        <f t="shared" si="8"/>
        <v>90.746535822997615</v>
      </c>
      <c r="CO31" s="348">
        <f>SUM(CO14:CO29)</f>
        <v>15439.034170000001</v>
      </c>
      <c r="CP31" s="479">
        <f>SUM(CP14:CP29)</f>
        <v>12003.79927</v>
      </c>
      <c r="CQ31" s="348">
        <f>CP31/CO31*100</f>
        <v>77.749677459260397</v>
      </c>
      <c r="CR31" s="348">
        <f>SUM(CR14:CR29)</f>
        <v>3550.0180800000003</v>
      </c>
      <c r="CS31" s="348">
        <f>SUM(CS14:CS29)</f>
        <v>3242.24379</v>
      </c>
      <c r="CT31" s="348">
        <f t="shared" si="9"/>
        <v>91.330345844323119</v>
      </c>
      <c r="CU31" s="348">
        <f>SUM(CU14:CU29)</f>
        <v>0</v>
      </c>
      <c r="CV31" s="348">
        <f>SUM(CV14:CV29)</f>
        <v>0</v>
      </c>
      <c r="CW31" s="348" t="e">
        <f>CV31/CU31*100</f>
        <v>#DIV/0!</v>
      </c>
      <c r="CX31" s="348">
        <f>SUM(CX14:CX29)</f>
        <v>0</v>
      </c>
      <c r="CY31" s="348">
        <f>SUM(CY14:CY29)</f>
        <v>0</v>
      </c>
      <c r="CZ31" s="346" t="e">
        <f>CY31/CX31*100</f>
        <v>#DIV/0!</v>
      </c>
      <c r="DA31" s="346">
        <f>DA14+DA15+DA16+DA17+DA18+DA19+DA20+DA21+DA22+DA23+DA24+DA25+DA26+DA27+DA28+DA29</f>
        <v>0</v>
      </c>
      <c r="DB31" s="346">
        <f>DB14+DB15+DB16+DB17+DB18+DB19+DB20+DB21+DB22+DB23+DB24+DB25+DB26+DB27+DB28+DB29</f>
        <v>0</v>
      </c>
      <c r="DC31" s="346" t="e">
        <f>DB31/DA31*100</f>
        <v>#DIV/0!</v>
      </c>
      <c r="DD31" s="346">
        <f>DD14+DD15+DD16+DD17+DD18+DD19+DD20+DD21+DD22+DD23+DD24+DD25+DD26+DD27+DD28+DD29</f>
        <v>0</v>
      </c>
      <c r="DE31" s="346">
        <f>DE14+DE15+DE16+DE17+DE18+DE19+DE20+DE21+DE22+DE23+DE24+DE25+DE26+DE27+DE28+DE29</f>
        <v>0</v>
      </c>
      <c r="DF31" s="346">
        <v>0</v>
      </c>
      <c r="DG31" s="347">
        <f>SUM(DG14:DG29)</f>
        <v>187871.60036999994</v>
      </c>
      <c r="DH31" s="347">
        <f>SUM(DH14:DH29)</f>
        <v>122846.84868000001</v>
      </c>
      <c r="DI31" s="346">
        <f>DH31/DG31*100</f>
        <v>65.388727427701554</v>
      </c>
      <c r="DJ31" s="347">
        <f>SUM(DJ14:DJ29)</f>
        <v>23810.772890000004</v>
      </c>
      <c r="DK31" s="490">
        <f>SUM(DK14:DK29)</f>
        <v>19393.656830000004</v>
      </c>
      <c r="DL31" s="346">
        <f>DK31/DJ31*100</f>
        <v>81.44908575456158</v>
      </c>
      <c r="DM31" s="348">
        <f>SUM(DM14:DM29)</f>
        <v>23153.015889999995</v>
      </c>
      <c r="DN31" s="489">
        <f>SUM(DN14:DN29)</f>
        <v>19020.391259999997</v>
      </c>
      <c r="DO31" s="346">
        <f>DN31/DM31*100</f>
        <v>82.150815040104916</v>
      </c>
      <c r="DP31" s="348">
        <f>SUM(DP14:DP29)</f>
        <v>20.13</v>
      </c>
      <c r="DQ31" s="348">
        <f>SUM(DQ14:DQ29)</f>
        <v>20.13</v>
      </c>
      <c r="DR31" s="346">
        <f>DQ31/DP31*100</f>
        <v>100</v>
      </c>
      <c r="DS31" s="351">
        <f>SUM(DS14:DS29)</f>
        <v>80</v>
      </c>
      <c r="DT31" s="346">
        <f>SUM(DT14:DT29)</f>
        <v>0</v>
      </c>
      <c r="DU31" s="346">
        <f>DT31/DS31*100</f>
        <v>0</v>
      </c>
      <c r="DV31" s="346">
        <f>SUM(DV14:DV29)</f>
        <v>557.62700000000007</v>
      </c>
      <c r="DW31" s="346">
        <f>SUM(DW14:DW29)</f>
        <v>353.13557000000003</v>
      </c>
      <c r="DX31" s="307">
        <f>DW31/DV31*100</f>
        <v>63.328276787171355</v>
      </c>
      <c r="DY31" s="346">
        <f>SUM(DY14:DY29)</f>
        <v>2158.6999999999998</v>
      </c>
      <c r="DZ31" s="351">
        <f>SUM(DZ14:DZ29)</f>
        <v>1767.7562999999998</v>
      </c>
      <c r="EA31" s="348">
        <f t="shared" si="47"/>
        <v>81.889855005327277</v>
      </c>
      <c r="EB31" s="351">
        <f>SUM(EB14:EB29)</f>
        <v>405.80288000000002</v>
      </c>
      <c r="EC31" s="452">
        <f>SUM(EC14:EC29)</f>
        <v>345.04672999999991</v>
      </c>
      <c r="ED31" s="307">
        <f t="shared" si="48"/>
        <v>85.028161948973818</v>
      </c>
      <c r="EE31" s="348">
        <f>SUM(EE14:EE29)</f>
        <v>60416.424220000001</v>
      </c>
      <c r="EF31" s="347">
        <f>SUM(EF14:EF29)</f>
        <v>49467.642099999997</v>
      </c>
      <c r="EG31" s="346">
        <f>EF31/EE31*100</f>
        <v>81.87780514760162</v>
      </c>
      <c r="EH31" s="348">
        <f>SUM(EH14:EH29)</f>
        <v>61146.035639999995</v>
      </c>
      <c r="EI31" s="347">
        <f>SUM(EI14:EI29)</f>
        <v>21203.696950000009</v>
      </c>
      <c r="EJ31" s="346">
        <f>EI31/EH31*100</f>
        <v>34.677140926744158</v>
      </c>
      <c r="EK31" s="347">
        <f>SUM(EK14:EK29)</f>
        <v>39672.783810000001</v>
      </c>
      <c r="EL31" s="347">
        <f>SUM(EL14:EL29)</f>
        <v>30511.411769999999</v>
      </c>
      <c r="EM31" s="346">
        <f>EL31/EK31*100</f>
        <v>76.907665255164758</v>
      </c>
      <c r="EN31" s="347">
        <f>SUM(EN14:EN29)</f>
        <v>0</v>
      </c>
      <c r="EO31" s="347">
        <f>SUM(EO14:EO29)</f>
        <v>0</v>
      </c>
      <c r="EP31" s="346" t="e">
        <f>EO31/EN31*100</f>
        <v>#DIV/0!</v>
      </c>
      <c r="EQ31" s="348">
        <f>SUM(EQ14:EQ29)</f>
        <v>261.08093000000002</v>
      </c>
      <c r="ER31" s="348">
        <f>SUM(ER14:ER29)</f>
        <v>157.63800000000001</v>
      </c>
      <c r="ES31" s="346">
        <f>ER31/EQ31*100</f>
        <v>60.378979039181445</v>
      </c>
      <c r="ET31" s="346">
        <f>SUM(ET14:ET29)</f>
        <v>0</v>
      </c>
      <c r="EU31" s="349">
        <f>SUM(EU14:EU29)</f>
        <v>0</v>
      </c>
      <c r="EV31" s="307" t="e">
        <f>EU31/ET31*100</f>
        <v>#DIV/0!</v>
      </c>
      <c r="EW31" s="351">
        <f>SUM(EW14:EW29)</f>
        <v>-7596.2977599999895</v>
      </c>
      <c r="EX31" s="346">
        <f>SUM(EX14:EX29)</f>
        <v>2017.0855100000035</v>
      </c>
      <c r="EY31" s="307">
        <f>EX31/EW31*100</f>
        <v>-26.553534020499036</v>
      </c>
    </row>
    <row r="32" spans="1:170" s="170" customFormat="1" ht="27.75" customHeight="1">
      <c r="C32" s="169">
        <v>180275.30261000001</v>
      </c>
      <c r="D32" s="169">
        <v>124863.93419</v>
      </c>
      <c r="E32" s="169"/>
      <c r="F32" s="169">
        <v>39835.968569999997</v>
      </c>
      <c r="G32" s="169">
        <v>36369.786670000001</v>
      </c>
      <c r="H32" s="169"/>
      <c r="I32" s="169">
        <v>5311.7</v>
      </c>
      <c r="J32" s="169">
        <v>4739.6949800000002</v>
      </c>
      <c r="K32" s="169"/>
      <c r="L32" s="169">
        <v>3048.8850000000002</v>
      </c>
      <c r="M32" s="169">
        <v>4144.9820900000004</v>
      </c>
      <c r="N32" s="169"/>
      <c r="O32" s="169">
        <v>32.633000000000003</v>
      </c>
      <c r="P32" s="169">
        <v>30.52244</v>
      </c>
      <c r="Q32" s="169"/>
      <c r="R32" s="169">
        <v>5092.3969999999999</v>
      </c>
      <c r="S32" s="169">
        <v>5568.3021099999996</v>
      </c>
      <c r="T32" s="169"/>
      <c r="U32" s="169" t="e">
        <f>#REF!-U31</f>
        <v>#REF!</v>
      </c>
      <c r="V32" s="169">
        <v>-624.25054</v>
      </c>
      <c r="W32" s="169"/>
      <c r="X32" s="169">
        <v>514.20000000000005</v>
      </c>
      <c r="Y32" s="169">
        <v>583.22735999999998</v>
      </c>
      <c r="Z32" s="169"/>
      <c r="AA32" s="169">
        <v>4671</v>
      </c>
      <c r="AB32" s="169">
        <v>3854.9261700000002</v>
      </c>
      <c r="AC32" s="169"/>
      <c r="AD32" s="169">
        <v>17719.37729</v>
      </c>
      <c r="AE32" s="169">
        <v>14695.27304</v>
      </c>
      <c r="AF32" s="169"/>
      <c r="AG32" s="169">
        <v>147</v>
      </c>
      <c r="AH32" s="169">
        <v>116.265</v>
      </c>
      <c r="AI32" s="169"/>
      <c r="AJ32" s="169" t="e">
        <f>#REF!-AJ31</f>
        <v>#REF!</v>
      </c>
      <c r="AK32" s="169" t="e">
        <f>#REF!-AK31</f>
        <v>#REF!</v>
      </c>
      <c r="AL32" s="169"/>
      <c r="AM32" s="169" t="e">
        <f>#REF!-AM31</f>
        <v>#REF!</v>
      </c>
      <c r="AN32" s="169" t="e">
        <f>#REF!-AN31</f>
        <v>#REF!</v>
      </c>
      <c r="AO32" s="169"/>
      <c r="AP32" s="169">
        <v>1751.9</v>
      </c>
      <c r="AQ32" s="169">
        <v>1695.73946</v>
      </c>
      <c r="AR32" s="169"/>
      <c r="AS32" s="169">
        <v>255.7</v>
      </c>
      <c r="AT32" s="169">
        <v>350.82873000000001</v>
      </c>
      <c r="AU32" s="169"/>
      <c r="AV32" s="169" t="e">
        <f>#REF!-AV31</f>
        <v>#REF!</v>
      </c>
      <c r="AW32" s="169" t="e">
        <f>#REF!-AW31</f>
        <v>#REF!</v>
      </c>
      <c r="AX32" s="169" t="e">
        <f>#REF!-AX31</f>
        <v>#REF!</v>
      </c>
      <c r="AY32" s="169">
        <v>843</v>
      </c>
      <c r="AZ32" s="169">
        <v>916.37234999999998</v>
      </c>
      <c r="BA32" s="169"/>
      <c r="BB32" s="169" t="e">
        <f>#REF!-BB31</f>
        <v>#REF!</v>
      </c>
      <c r="BC32" s="169" t="e">
        <f>#REF!-BC31</f>
        <v>#REF!</v>
      </c>
      <c r="BD32" s="169" t="e">
        <f>#REF!-BD31</f>
        <v>#REF!</v>
      </c>
      <c r="BE32" s="169">
        <v>448.17628000000002</v>
      </c>
      <c r="BF32" s="169">
        <v>10.557</v>
      </c>
      <c r="BG32" s="169"/>
      <c r="BH32" s="169" t="e">
        <f>#REF!-BH31</f>
        <v>#REF!</v>
      </c>
      <c r="BI32" s="169" t="e">
        <f>#REF!-BI31</f>
        <v>#REF!</v>
      </c>
      <c r="BJ32" s="169" t="e">
        <f>#REF!-BJ31</f>
        <v>#REF!</v>
      </c>
      <c r="BK32" s="169" t="e">
        <f>#REF!-BK31</f>
        <v>#REF!</v>
      </c>
      <c r="BL32" s="169" t="e">
        <f>#REF!-BL31</f>
        <v>#REF!</v>
      </c>
      <c r="BM32" s="169" t="e">
        <f>#REF!-BM31</f>
        <v>#REF!</v>
      </c>
      <c r="BN32" s="169">
        <v>0</v>
      </c>
      <c r="BO32" s="169">
        <v>291.99648000000002</v>
      </c>
      <c r="BP32" s="169"/>
      <c r="BQ32" s="169" t="e">
        <f>#REF!-BQ31</f>
        <v>#REF!</v>
      </c>
      <c r="BR32" s="169">
        <v>-4.6500000000000004</v>
      </c>
      <c r="BS32" s="169"/>
      <c r="BT32" s="169" t="e">
        <f>#REF!-BT31</f>
        <v>#REF!</v>
      </c>
      <c r="BU32" s="169" t="e">
        <f>#REF!-BU31</f>
        <v>#REF!</v>
      </c>
      <c r="BV32" s="169" t="e">
        <f>#REF!-BV31</f>
        <v>#REF!</v>
      </c>
      <c r="BW32" s="169" t="e">
        <f>#REF!-BW31</f>
        <v>#REF!</v>
      </c>
      <c r="BX32" s="169" t="e">
        <f>#REF!-BX31</f>
        <v>#REF!</v>
      </c>
      <c r="BY32" s="169" t="e">
        <f>#REF!-BY31</f>
        <v>#REF!</v>
      </c>
      <c r="BZ32" s="169">
        <v>140439.33403999999</v>
      </c>
      <c r="CA32" s="169">
        <v>88494.147519999999</v>
      </c>
      <c r="CB32" s="169"/>
      <c r="CC32" s="169">
        <v>28294</v>
      </c>
      <c r="CD32" s="169">
        <v>26483.152999999998</v>
      </c>
      <c r="CE32" s="169"/>
      <c r="CF32" s="169">
        <v>7816.308</v>
      </c>
      <c r="CG32" s="169">
        <v>6027.6927999999998</v>
      </c>
      <c r="CH32" s="169"/>
      <c r="CI32" s="169">
        <v>83138.873789999998</v>
      </c>
      <c r="CJ32" s="169">
        <v>38739.836660000001</v>
      </c>
      <c r="CK32" s="169"/>
      <c r="CL32" s="169">
        <v>2201.1</v>
      </c>
      <c r="CM32" s="169">
        <v>1997.422</v>
      </c>
      <c r="CN32" s="169"/>
      <c r="CO32" s="169">
        <v>15439.034170000001</v>
      </c>
      <c r="CP32" s="169">
        <v>12003.79927</v>
      </c>
      <c r="CQ32" s="169"/>
      <c r="CR32" s="169">
        <v>3550.0180799999998</v>
      </c>
      <c r="CS32" s="169">
        <v>3242.24379</v>
      </c>
      <c r="CT32" s="169"/>
      <c r="CU32" s="169" t="e">
        <f>#REF!-CU31</f>
        <v>#REF!</v>
      </c>
      <c r="CV32" s="169" t="e">
        <f>-(#REF!-CV31)</f>
        <v>#REF!</v>
      </c>
      <c r="CW32" s="169"/>
      <c r="CX32" s="169" t="e">
        <f>#REF!-CX31</f>
        <v>#REF!</v>
      </c>
      <c r="CY32" s="169" t="e">
        <f>#REF!-CY31</f>
        <v>#REF!</v>
      </c>
      <c r="CZ32" s="169" t="e">
        <f>#REF!-CZ31</f>
        <v>#REF!</v>
      </c>
      <c r="DA32" s="169" t="e">
        <f>#REF!-DA31</f>
        <v>#REF!</v>
      </c>
      <c r="DB32" s="169" t="e">
        <f>#REF!-DB31</f>
        <v>#REF!</v>
      </c>
      <c r="DC32" s="169" t="e">
        <f>#REF!-DC31</f>
        <v>#REF!</v>
      </c>
      <c r="DD32" s="169" t="e">
        <f>#REF!-DD31</f>
        <v>#REF!</v>
      </c>
      <c r="DE32" s="169" t="e">
        <f>#REF!-DE31</f>
        <v>#REF!</v>
      </c>
      <c r="DF32" s="169"/>
      <c r="DG32" s="169">
        <v>187871.60037</v>
      </c>
      <c r="DH32" s="169">
        <v>122846.84868</v>
      </c>
      <c r="DI32" s="169"/>
      <c r="DJ32" s="169">
        <v>23810.77289</v>
      </c>
      <c r="DK32" s="169">
        <v>19393.65683</v>
      </c>
      <c r="DL32" s="169"/>
      <c r="DM32" s="169">
        <v>23153.015889999999</v>
      </c>
      <c r="DN32" s="169">
        <v>19020.39126</v>
      </c>
      <c r="DO32" s="169"/>
      <c r="DP32" s="169">
        <v>20.13</v>
      </c>
      <c r="DQ32" s="169">
        <v>20.13</v>
      </c>
      <c r="DR32" s="169"/>
      <c r="DS32" s="169">
        <v>80</v>
      </c>
      <c r="DT32" s="169" t="e">
        <f>#REF!-DT31</f>
        <v>#REF!</v>
      </c>
      <c r="DU32" s="169"/>
      <c r="DV32" s="169">
        <v>557.62699999999995</v>
      </c>
      <c r="DW32" s="169">
        <v>353.13556999999997</v>
      </c>
      <c r="DX32" s="169"/>
      <c r="DY32" s="169">
        <v>2158.6999999999998</v>
      </c>
      <c r="DZ32" s="169">
        <v>1767.7563</v>
      </c>
      <c r="EA32" s="169"/>
      <c r="EB32" s="169">
        <v>405.80288000000002</v>
      </c>
      <c r="EC32" s="169">
        <v>345.04673000000003</v>
      </c>
      <c r="ED32" s="169"/>
      <c r="EE32" s="169">
        <v>60416.424220000001</v>
      </c>
      <c r="EF32" s="169">
        <v>49467.642099999997</v>
      </c>
      <c r="EG32" s="169"/>
      <c r="EH32" s="169">
        <v>61146.035640000002</v>
      </c>
      <c r="EI32" s="169">
        <v>21203.696950000001</v>
      </c>
      <c r="EJ32" s="169"/>
      <c r="EK32" s="169">
        <v>39672.783810000001</v>
      </c>
      <c r="EL32" s="169">
        <v>30511.411769999999</v>
      </c>
      <c r="EM32" s="169"/>
      <c r="EN32" s="169">
        <v>0</v>
      </c>
      <c r="EO32" s="169">
        <v>0</v>
      </c>
      <c r="EP32" s="169"/>
      <c r="EQ32" s="169">
        <v>261.08093000000002</v>
      </c>
      <c r="ER32" s="169">
        <v>157.63800000000001</v>
      </c>
      <c r="ES32" s="169"/>
      <c r="ET32" s="169" t="e">
        <f>#REF!-ET31</f>
        <v>#REF!</v>
      </c>
      <c r="EU32" s="169" t="e">
        <f>#REF!-EU31</f>
        <v>#REF!</v>
      </c>
      <c r="EV32" s="169"/>
      <c r="EW32" s="169">
        <v>-7596.2977600000004</v>
      </c>
      <c r="EX32" s="169">
        <v>2017.0855100000001</v>
      </c>
    </row>
    <row r="33" spans="3:155">
      <c r="C33" s="169">
        <f>C32-C31</f>
        <v>0</v>
      </c>
      <c r="D33" s="169">
        <f>D32-D31</f>
        <v>0</v>
      </c>
      <c r="E33" s="169"/>
      <c r="F33" s="169">
        <f>F32-F31</f>
        <v>0</v>
      </c>
      <c r="G33" s="169">
        <f>G32-G31</f>
        <v>0</v>
      </c>
      <c r="H33" s="169"/>
      <c r="I33" s="169">
        <f>I32-I31</f>
        <v>0</v>
      </c>
      <c r="J33" s="169">
        <f>J32-J31</f>
        <v>0</v>
      </c>
      <c r="K33" s="169"/>
      <c r="L33" s="169">
        <f>L32-L31</f>
        <v>0</v>
      </c>
      <c r="M33" s="169">
        <f>M32-M31</f>
        <v>0</v>
      </c>
      <c r="N33" s="169"/>
      <c r="O33" s="169">
        <f>O32-O31</f>
        <v>0</v>
      </c>
      <c r="P33" s="169">
        <f>P32-P31</f>
        <v>0</v>
      </c>
      <c r="Q33" s="169"/>
      <c r="R33" s="169">
        <f>R32-R31</f>
        <v>0</v>
      </c>
      <c r="S33" s="169">
        <f>S32-S31</f>
        <v>0</v>
      </c>
      <c r="T33" s="169"/>
      <c r="U33" s="169" t="e">
        <f>U32-U31</f>
        <v>#REF!</v>
      </c>
      <c r="V33" s="169">
        <f>V32-V31</f>
        <v>0</v>
      </c>
      <c r="W33" s="169"/>
      <c r="X33" s="169">
        <f>X32-X31</f>
        <v>0</v>
      </c>
      <c r="Y33" s="169">
        <f>Y32-Y31</f>
        <v>0</v>
      </c>
      <c r="Z33" s="169"/>
      <c r="AA33" s="169">
        <f>AA32-AA31</f>
        <v>0</v>
      </c>
      <c r="AB33" s="169">
        <f>AB32-AB31</f>
        <v>0</v>
      </c>
      <c r="AC33" s="169"/>
      <c r="AD33" s="169">
        <f>AD32-AD31</f>
        <v>0</v>
      </c>
      <c r="AE33" s="169">
        <f>AE32-AE31</f>
        <v>0</v>
      </c>
      <c r="AF33" s="169"/>
      <c r="AG33" s="169">
        <f>AG32-AG31</f>
        <v>0</v>
      </c>
      <c r="AH33" s="169">
        <f>AH32-AH31</f>
        <v>0</v>
      </c>
      <c r="AI33" s="169"/>
      <c r="AJ33" s="169" t="e">
        <f t="shared" ref="AJ33:AQ33" si="56">AJ32-AJ31</f>
        <v>#REF!</v>
      </c>
      <c r="AK33" s="169" t="e">
        <f t="shared" si="56"/>
        <v>#REF!</v>
      </c>
      <c r="AL33" s="169" t="e">
        <f t="shared" si="56"/>
        <v>#DIV/0!</v>
      </c>
      <c r="AM33" s="169" t="e">
        <f t="shared" si="56"/>
        <v>#REF!</v>
      </c>
      <c r="AN33" s="169" t="e">
        <f t="shared" si="56"/>
        <v>#REF!</v>
      </c>
      <c r="AO33" s="169" t="e">
        <f t="shared" si="56"/>
        <v>#DIV/0!</v>
      </c>
      <c r="AP33" s="169">
        <f t="shared" si="56"/>
        <v>0</v>
      </c>
      <c r="AQ33" s="169">
        <f t="shared" si="56"/>
        <v>0</v>
      </c>
      <c r="AR33" s="169"/>
      <c r="AS33" s="169">
        <f>AS32-AS31</f>
        <v>0</v>
      </c>
      <c r="AT33" s="169">
        <f>AT32-AT31</f>
        <v>0</v>
      </c>
      <c r="AU33" s="169"/>
      <c r="AV33" s="169" t="e">
        <f>AV32-AV31</f>
        <v>#REF!</v>
      </c>
      <c r="AW33" s="169" t="e">
        <f>AW32-AW31</f>
        <v>#REF!</v>
      </c>
      <c r="AX33" s="169" t="e">
        <f>AX32-AX31</f>
        <v>#REF!</v>
      </c>
      <c r="AY33" s="169">
        <f>AY32-AY31</f>
        <v>0</v>
      </c>
      <c r="AZ33" s="169">
        <f>AZ32-AZ31</f>
        <v>0</v>
      </c>
      <c r="BA33" s="169"/>
      <c r="BB33" s="169" t="e">
        <f>BB32-BB31</f>
        <v>#REF!</v>
      </c>
      <c r="BC33" s="169" t="e">
        <f>BC32-BC31</f>
        <v>#REF!</v>
      </c>
      <c r="BD33" s="169" t="e">
        <f>BD32-BD31</f>
        <v>#REF!</v>
      </c>
      <c r="BE33" s="169">
        <f>BE32-BE31</f>
        <v>0</v>
      </c>
      <c r="BF33" s="169">
        <f>BF32-BF31</f>
        <v>0</v>
      </c>
      <c r="BG33" s="169"/>
      <c r="BH33" s="169" t="e">
        <f t="shared" ref="BH33:BO33" si="57">BH32-BH31</f>
        <v>#REF!</v>
      </c>
      <c r="BI33" s="169" t="e">
        <f t="shared" si="57"/>
        <v>#REF!</v>
      </c>
      <c r="BJ33" s="169" t="e">
        <f t="shared" si="57"/>
        <v>#REF!</v>
      </c>
      <c r="BK33" s="169" t="e">
        <f t="shared" si="57"/>
        <v>#REF!</v>
      </c>
      <c r="BL33" s="169" t="e">
        <f t="shared" si="57"/>
        <v>#REF!</v>
      </c>
      <c r="BM33" s="169" t="e">
        <f t="shared" si="57"/>
        <v>#REF!</v>
      </c>
      <c r="BN33" s="169">
        <f t="shared" si="57"/>
        <v>0</v>
      </c>
      <c r="BO33" s="169">
        <f t="shared" si="57"/>
        <v>0</v>
      </c>
      <c r="BP33" s="169"/>
      <c r="BQ33" s="169" t="e">
        <f>BQ32-BQ31</f>
        <v>#REF!</v>
      </c>
      <c r="BR33" s="169">
        <f>BR32-BR31</f>
        <v>0</v>
      </c>
      <c r="BS33" s="169"/>
      <c r="BT33" s="169" t="e">
        <f t="shared" ref="BT33:CA33" si="58">BT32-BT31</f>
        <v>#REF!</v>
      </c>
      <c r="BU33" s="169" t="e">
        <f t="shared" si="58"/>
        <v>#REF!</v>
      </c>
      <c r="BV33" s="169" t="e">
        <f t="shared" si="58"/>
        <v>#REF!</v>
      </c>
      <c r="BW33" s="169" t="e">
        <f t="shared" si="58"/>
        <v>#REF!</v>
      </c>
      <c r="BX33" s="169" t="e">
        <f t="shared" si="58"/>
        <v>#REF!</v>
      </c>
      <c r="BY33" s="169" t="e">
        <f t="shared" si="58"/>
        <v>#REF!</v>
      </c>
      <c r="BZ33" s="169">
        <f t="shared" si="58"/>
        <v>0</v>
      </c>
      <c r="CA33" s="169">
        <f t="shared" si="58"/>
        <v>0</v>
      </c>
      <c r="CB33" s="169"/>
      <c r="CC33" s="169">
        <f>CC32-CC31</f>
        <v>0</v>
      </c>
      <c r="CD33" s="169">
        <f>CD32-CD31</f>
        <v>0</v>
      </c>
      <c r="CE33" s="169"/>
      <c r="CF33" s="169">
        <f>CF32-CF31</f>
        <v>0</v>
      </c>
      <c r="CG33" s="169">
        <f>CG32-CG31</f>
        <v>0</v>
      </c>
      <c r="CH33" s="169"/>
      <c r="CI33" s="169">
        <f>CI32-CI31</f>
        <v>0</v>
      </c>
      <c r="CJ33" s="169">
        <f>CJ32-CJ31</f>
        <v>0</v>
      </c>
      <c r="CK33" s="169"/>
      <c r="CL33" s="169">
        <f>CL32-CL31</f>
        <v>0</v>
      </c>
      <c r="CM33" s="169">
        <f>CM32-CM31</f>
        <v>0</v>
      </c>
      <c r="CN33" s="169"/>
      <c r="CO33" s="169">
        <f>CO32-CO31</f>
        <v>0</v>
      </c>
      <c r="CP33" s="169">
        <f>CP32-CP31</f>
        <v>0</v>
      </c>
      <c r="CQ33" s="169"/>
      <c r="CR33" s="169">
        <f>CR32-CR31</f>
        <v>0</v>
      </c>
      <c r="CS33" s="169">
        <f>CS32-CS31</f>
        <v>0</v>
      </c>
      <c r="CT33" s="169"/>
      <c r="CU33" s="169" t="e">
        <f>CU32-CU31</f>
        <v>#REF!</v>
      </c>
      <c r="CV33" s="169" t="e">
        <f>CV32-CV31</f>
        <v>#REF!</v>
      </c>
      <c r="CW33" s="169"/>
      <c r="CX33" s="169" t="e">
        <f t="shared" ref="CX33:DH33" si="59">CX32-CX31</f>
        <v>#REF!</v>
      </c>
      <c r="CY33" s="169" t="e">
        <f t="shared" si="59"/>
        <v>#REF!</v>
      </c>
      <c r="CZ33" s="169" t="e">
        <f t="shared" si="59"/>
        <v>#REF!</v>
      </c>
      <c r="DA33" s="169" t="e">
        <f t="shared" si="59"/>
        <v>#REF!</v>
      </c>
      <c r="DB33" s="169" t="e">
        <f t="shared" si="59"/>
        <v>#REF!</v>
      </c>
      <c r="DC33" s="169" t="e">
        <f t="shared" si="59"/>
        <v>#REF!</v>
      </c>
      <c r="DD33" s="169" t="e">
        <f t="shared" si="59"/>
        <v>#REF!</v>
      </c>
      <c r="DE33" s="169" t="e">
        <f t="shared" si="59"/>
        <v>#REF!</v>
      </c>
      <c r="DF33" s="169">
        <f t="shared" si="59"/>
        <v>0</v>
      </c>
      <c r="DG33" s="169">
        <f t="shared" si="59"/>
        <v>0</v>
      </c>
      <c r="DH33" s="169">
        <f t="shared" si="59"/>
        <v>0</v>
      </c>
      <c r="DI33" s="169"/>
      <c r="DJ33" s="169">
        <f>DJ32-DJ31</f>
        <v>0</v>
      </c>
      <c r="DK33" s="169">
        <f>DK32-DK31</f>
        <v>0</v>
      </c>
      <c r="DL33" s="169"/>
      <c r="DM33" s="169">
        <f>DM32-DM31</f>
        <v>0</v>
      </c>
      <c r="DN33" s="169">
        <f>DN32-DN31</f>
        <v>0</v>
      </c>
      <c r="DO33" s="169"/>
      <c r="DP33" s="169">
        <f>DP32-DP31</f>
        <v>0</v>
      </c>
      <c r="DQ33" s="169">
        <f>DQ32-DQ31</f>
        <v>0</v>
      </c>
      <c r="DR33" s="169"/>
      <c r="DS33" s="169">
        <f>DS32-DS31</f>
        <v>0</v>
      </c>
      <c r="DT33" s="169" t="e">
        <f>DT32-DT31</f>
        <v>#REF!</v>
      </c>
      <c r="DU33" s="169"/>
      <c r="DV33" s="169">
        <f>DV32-DV31</f>
        <v>0</v>
      </c>
      <c r="DW33" s="169">
        <f>DW32-DW31</f>
        <v>0</v>
      </c>
      <c r="DX33" s="169"/>
      <c r="DY33" s="169">
        <f>DY32-DY31</f>
        <v>0</v>
      </c>
      <c r="DZ33" s="169">
        <f>DZ32-DZ31</f>
        <v>0</v>
      </c>
      <c r="EA33" s="169"/>
      <c r="EB33" s="169">
        <f>EB32-EB31</f>
        <v>0</v>
      </c>
      <c r="EC33" s="169">
        <f>EC32-EC31</f>
        <v>0</v>
      </c>
      <c r="ED33" s="169"/>
      <c r="EE33" s="169">
        <f>EE32-EE31</f>
        <v>0</v>
      </c>
      <c r="EF33" s="169">
        <f>EF32-EF31</f>
        <v>0</v>
      </c>
      <c r="EG33" s="169"/>
      <c r="EH33" s="169">
        <f>EH32-EH31</f>
        <v>0</v>
      </c>
      <c r="EI33" s="169">
        <f>EI32-EI31</f>
        <v>0</v>
      </c>
      <c r="EJ33" s="169"/>
      <c r="EK33" s="169">
        <f>EK32-EK31</f>
        <v>0</v>
      </c>
      <c r="EL33" s="169">
        <f>EL32-EL31</f>
        <v>0</v>
      </c>
      <c r="EM33" s="169"/>
      <c r="EN33" s="169">
        <f>EN32-EN31</f>
        <v>0</v>
      </c>
      <c r="EO33" s="169">
        <f>EO32-EO31</f>
        <v>0</v>
      </c>
      <c r="EP33" s="169"/>
      <c r="EQ33" s="169">
        <f>EQ32-EQ31</f>
        <v>0</v>
      </c>
      <c r="ER33" s="169">
        <f>ER32-ER31</f>
        <v>0</v>
      </c>
      <c r="ES33" s="169"/>
      <c r="ET33" s="169" t="e">
        <f>ET32-ET31</f>
        <v>#REF!</v>
      </c>
      <c r="EU33" s="169" t="e">
        <f>EU32-EU31</f>
        <v>#REF!</v>
      </c>
      <c r="EV33" s="169"/>
      <c r="EW33" s="169">
        <f>EW32-EW31</f>
        <v>-1.0913936421275139E-11</v>
      </c>
      <c r="EX33" s="169">
        <f>EX32-EX31</f>
        <v>-3.4106051316484809E-12</v>
      </c>
      <c r="EY33" s="171"/>
    </row>
  </sheetData>
  <customSheetViews>
    <customSheetView guid="{120EA1E0-6265-45F1-AFBB-CEB5CB007D02}" scale="70" showPageBreaks="1" printArea="1" hiddenColumns="1" view="pageBreakPreview">
      <selection activeCell="CP18" sqref="CP18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C14" sqref="C14:D2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0CE22D-C12F-4E12-8BB9-3AAE0A6991CC}" scale="75" showPageBreaks="1" fitToPage="1" printArea="1" hiddenColumns="1" view="pageBreakPreview" topLeftCell="AR4">
      <selection activeCell="CA16" sqref="CA16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3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5BFCA170-DEAE-4D2C-98A0-1E68B427AC01}" scale="75" showPageBreaks="1" printArea="1" hiddenColumns="1" view="pageBreakPreview" topLeftCell="A10">
      <pane xSplit="2" ySplit="4" topLeftCell="BN14" activePane="bottomRight" state="frozen"/>
      <selection pane="bottomRight" activeCell="BP33" sqref="BP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61528DAC-5C4C-48F4-ADE2-8A724B05A086}" scale="70" showPageBreaks="1" printArea="1" hiddenColumns="1" view="pageBreakPreview">
      <selection activeCell="CP18" sqref="CP18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11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361</v>
      </c>
      <c r="AO1" t="s">
        <v>362</v>
      </c>
      <c r="AP1" t="s">
        <v>363</v>
      </c>
      <c r="AS1" t="s">
        <v>364</v>
      </c>
      <c r="AW1">
        <v>187.4</v>
      </c>
      <c r="AX1" t="s">
        <v>365</v>
      </c>
      <c r="AY1" t="s">
        <v>366</v>
      </c>
    </row>
    <row r="2" spans="32:51">
      <c r="AF2" t="s">
        <v>367</v>
      </c>
      <c r="AJ2" t="s">
        <v>368</v>
      </c>
    </row>
    <row r="3" spans="32:51">
      <c r="AF3" t="s">
        <v>370</v>
      </c>
      <c r="AH3" t="s">
        <v>369</v>
      </c>
      <c r="AJ3" t="s">
        <v>370</v>
      </c>
      <c r="AN3" t="s">
        <v>369</v>
      </c>
      <c r="AO3" t="s">
        <v>369</v>
      </c>
      <c r="AP3" t="s">
        <v>369</v>
      </c>
      <c r="AS3" t="s">
        <v>371</v>
      </c>
      <c r="AT3" t="s">
        <v>372</v>
      </c>
      <c r="AU3" t="s">
        <v>373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374</v>
      </c>
      <c r="AU4" t="s">
        <v>375</v>
      </c>
      <c r="AV4" t="s">
        <v>376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377</v>
      </c>
      <c r="AU5" t="s">
        <v>375</v>
      </c>
      <c r="AV5" t="s">
        <v>378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379</v>
      </c>
      <c r="AU6" t="s">
        <v>375</v>
      </c>
      <c r="AV6" t="s">
        <v>378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380</v>
      </c>
      <c r="AU7" t="s">
        <v>375</v>
      </c>
      <c r="AV7" t="s">
        <v>381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382</v>
      </c>
      <c r="AU8" t="s">
        <v>375</v>
      </c>
      <c r="AV8" t="s">
        <v>383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384</v>
      </c>
      <c r="AU9" t="s">
        <v>375</v>
      </c>
      <c r="AV9" t="s">
        <v>385</v>
      </c>
      <c r="AW9" t="s">
        <v>386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387</v>
      </c>
      <c r="AU10" t="s">
        <v>375</v>
      </c>
      <c r="AV10" t="s">
        <v>388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389</v>
      </c>
      <c r="AU11" t="s">
        <v>375</v>
      </c>
      <c r="AV11" t="s">
        <v>390</v>
      </c>
      <c r="AW11" t="s">
        <v>386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391</v>
      </c>
      <c r="AU12" t="s">
        <v>375</v>
      </c>
      <c r="AV12" t="s">
        <v>392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393</v>
      </c>
      <c r="AU13" t="s">
        <v>375</v>
      </c>
      <c r="AV13" t="s">
        <v>394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395</v>
      </c>
      <c r="AU14" t="s">
        <v>375</v>
      </c>
      <c r="AV14" t="s">
        <v>381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396</v>
      </c>
      <c r="AU15" t="s">
        <v>375</v>
      </c>
      <c r="AV15" t="s">
        <v>397</v>
      </c>
      <c r="AW15" t="s">
        <v>398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399</v>
      </c>
      <c r="AU16" t="s">
        <v>375</v>
      </c>
      <c r="AV16" t="s">
        <v>378</v>
      </c>
      <c r="AW16" t="s">
        <v>400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401</v>
      </c>
      <c r="AU17" t="s">
        <v>375</v>
      </c>
      <c r="AV17" t="s">
        <v>402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403</v>
      </c>
      <c r="AU18" t="s">
        <v>375</v>
      </c>
      <c r="AV18" t="s">
        <v>378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404</v>
      </c>
      <c r="AU19" t="s">
        <v>405</v>
      </c>
      <c r="AV19" t="s">
        <v>388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406</v>
      </c>
      <c r="AY20" t="s">
        <v>407</v>
      </c>
    </row>
    <row r="82" hidden="1"/>
    <row r="83" hidden="1"/>
    <row r="84" hidden="1"/>
  </sheetData>
  <customSheetViews>
    <customSheetView guid="{120EA1E0-6265-45F1-AFBB-CEB5CB007D02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120EA1E0-6265-45F1-AFBB-CEB5CB007D02}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B30CE22D-C12F-4E12-8BB9-3AAE0A6991CC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120EA1E0-6265-45F1-AFBB-CEB5CB007D02}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B30CE22D-C12F-4E12-8BB9-3AAE0A6991CC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61528DAC-5C4C-48F4-ADE2-8A724B05A086}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120EA1E0-6265-45F1-AFBB-CEB5CB007D02}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B30CE22D-C12F-4E12-8BB9-3AAE0A6991CC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61528DAC-5C4C-48F4-ADE2-8A724B05A0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8"/>
  <sheetViews>
    <sheetView view="pageBreakPreview" topLeftCell="A42" zoomScale="60" workbookViewId="0">
      <selection activeCell="D75" sqref="D75"/>
    </sheetView>
  </sheetViews>
  <sheetFormatPr defaultRowHeight="15.75"/>
  <cols>
    <col min="1" max="1" width="16.2851562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45" t="s">
        <v>419</v>
      </c>
      <c r="B1" s="445"/>
      <c r="C1" s="445"/>
      <c r="D1" s="445"/>
      <c r="E1" s="445"/>
      <c r="F1" s="445"/>
    </row>
    <row r="2" spans="1:6" ht="20.25">
      <c r="A2" s="445" t="s">
        <v>441</v>
      </c>
      <c r="B2" s="445"/>
      <c r="C2" s="445"/>
      <c r="D2" s="445"/>
      <c r="E2" s="445"/>
      <c r="F2" s="445"/>
    </row>
    <row r="3" spans="1:6" ht="101.25">
      <c r="A3" s="368" t="s">
        <v>0</v>
      </c>
      <c r="B3" s="368" t="s">
        <v>1</v>
      </c>
      <c r="C3" s="369" t="s">
        <v>411</v>
      </c>
      <c r="D3" s="370" t="s">
        <v>422</v>
      </c>
      <c r="E3" s="369" t="s">
        <v>2</v>
      </c>
      <c r="F3" s="371" t="s">
        <v>3</v>
      </c>
    </row>
    <row r="4" spans="1:6" s="6" customFormat="1" ht="20.25">
      <c r="A4" s="372"/>
      <c r="B4" s="373" t="s">
        <v>4</v>
      </c>
      <c r="C4" s="374">
        <f>C5+C12+C16+C21+C23+C27+C7</f>
        <v>138350.342</v>
      </c>
      <c r="D4" s="374">
        <f>D5+D12+D16+D21+D23+D27+D7</f>
        <v>120741.73881</v>
      </c>
      <c r="E4" s="374">
        <f>SUM(D4/C4*100)</f>
        <v>87.272454165671661</v>
      </c>
      <c r="F4" s="374">
        <f>SUM(D4-C4)</f>
        <v>-17608.603190000009</v>
      </c>
    </row>
    <row r="5" spans="1:6" s="6" customFormat="1" ht="20.25">
      <c r="A5" s="372">
        <v>1010000</v>
      </c>
      <c r="B5" s="373" t="s">
        <v>5</v>
      </c>
      <c r="C5" s="374">
        <f>C6</f>
        <v>115207.3</v>
      </c>
      <c r="D5" s="374">
        <f>D6</f>
        <v>97855.622820000004</v>
      </c>
      <c r="E5" s="374">
        <f t="shared" ref="E5:E82" si="0">SUM(D5/C5*100)</f>
        <v>84.938734628795217</v>
      </c>
      <c r="F5" s="374">
        <f t="shared" ref="F5:F82" si="1">SUM(D5-C5)</f>
        <v>-17351.677179999999</v>
      </c>
    </row>
    <row r="6" spans="1:6" ht="20.25">
      <c r="A6" s="375">
        <v>1010200001</v>
      </c>
      <c r="B6" s="376" t="s">
        <v>228</v>
      </c>
      <c r="C6" s="377">
        <v>115207.3</v>
      </c>
      <c r="D6" s="378">
        <v>97855.622820000004</v>
      </c>
      <c r="E6" s="377">
        <f t="shared" si="0"/>
        <v>84.938734628795217</v>
      </c>
      <c r="F6" s="377">
        <f t="shared" si="1"/>
        <v>-17351.677179999999</v>
      </c>
    </row>
    <row r="7" spans="1:6" ht="40.5">
      <c r="A7" s="372">
        <v>1030000</v>
      </c>
      <c r="B7" s="379" t="s">
        <v>280</v>
      </c>
      <c r="C7" s="374">
        <f>C8+C10+C9</f>
        <v>5331.89</v>
      </c>
      <c r="D7" s="374">
        <f>D8+D10+D9+D11</f>
        <v>4899.9883800000007</v>
      </c>
      <c r="E7" s="377">
        <f t="shared" si="0"/>
        <v>91.899652468449275</v>
      </c>
      <c r="F7" s="377">
        <f t="shared" si="1"/>
        <v>-431.90161999999964</v>
      </c>
    </row>
    <row r="8" spans="1:6" ht="20.25">
      <c r="A8" s="375">
        <v>1030223001</v>
      </c>
      <c r="B8" s="376" t="s">
        <v>282</v>
      </c>
      <c r="C8" s="377">
        <v>1809.797</v>
      </c>
      <c r="D8" s="378">
        <v>2227.12201</v>
      </c>
      <c r="E8" s="377">
        <f t="shared" si="0"/>
        <v>123.05921658616961</v>
      </c>
      <c r="F8" s="377">
        <f>SUM(D8-C8)</f>
        <v>417.32501000000002</v>
      </c>
    </row>
    <row r="9" spans="1:6" ht="20.25">
      <c r="A9" s="375">
        <v>1030224001</v>
      </c>
      <c r="B9" s="376" t="s">
        <v>288</v>
      </c>
      <c r="C9" s="377">
        <v>21.959</v>
      </c>
      <c r="D9" s="378">
        <v>16.400020000000001</v>
      </c>
      <c r="E9" s="377">
        <f t="shared" si="0"/>
        <v>74.684730634364044</v>
      </c>
      <c r="F9" s="377">
        <f>SUM(D9-C9)</f>
        <v>-5.5589799999999983</v>
      </c>
    </row>
    <row r="10" spans="1:6" ht="20.25">
      <c r="A10" s="375">
        <v>1030225001</v>
      </c>
      <c r="B10" s="376" t="s">
        <v>281</v>
      </c>
      <c r="C10" s="377">
        <v>3500.134</v>
      </c>
      <c r="D10" s="378">
        <v>2991.8796900000002</v>
      </c>
      <c r="E10" s="377">
        <f t="shared" si="0"/>
        <v>85.479004232409395</v>
      </c>
      <c r="F10" s="377">
        <f t="shared" si="1"/>
        <v>-508.2543099999998</v>
      </c>
    </row>
    <row r="11" spans="1:6" ht="20.25">
      <c r="A11" s="375">
        <v>1030226001</v>
      </c>
      <c r="B11" s="376" t="s">
        <v>290</v>
      </c>
      <c r="C11" s="377">
        <v>0</v>
      </c>
      <c r="D11" s="378">
        <v>-335.41334000000001</v>
      </c>
      <c r="E11" s="377" t="e">
        <f t="shared" si="0"/>
        <v>#DIV/0!</v>
      </c>
      <c r="F11" s="377">
        <f t="shared" si="1"/>
        <v>-335.41334000000001</v>
      </c>
    </row>
    <row r="12" spans="1:6" s="6" customFormat="1" ht="20.25">
      <c r="A12" s="372">
        <v>1050000</v>
      </c>
      <c r="B12" s="373" t="s">
        <v>6</v>
      </c>
      <c r="C12" s="374">
        <f>SUM(C13:C15)</f>
        <v>11561.152</v>
      </c>
      <c r="D12" s="374">
        <f>SUM(D13:D15)</f>
        <v>11924.001539999999</v>
      </c>
      <c r="E12" s="374">
        <f t="shared" si="0"/>
        <v>103.13852408479708</v>
      </c>
      <c r="F12" s="374">
        <f t="shared" si="1"/>
        <v>362.84953999999925</v>
      </c>
    </row>
    <row r="13" spans="1:6" ht="20.25">
      <c r="A13" s="375">
        <v>1050200000</v>
      </c>
      <c r="B13" s="380" t="s">
        <v>238</v>
      </c>
      <c r="C13" s="381">
        <v>9831.5</v>
      </c>
      <c r="D13" s="378">
        <v>10489.395329999999</v>
      </c>
      <c r="E13" s="377">
        <f t="shared" si="0"/>
        <v>106.69170858973706</v>
      </c>
      <c r="F13" s="377">
        <f t="shared" si="1"/>
        <v>657.89532999999938</v>
      </c>
    </row>
    <row r="14" spans="1:6" ht="23.25" customHeight="1">
      <c r="A14" s="375">
        <v>1050300000</v>
      </c>
      <c r="B14" s="380" t="s">
        <v>229</v>
      </c>
      <c r="C14" s="381">
        <v>1529.652</v>
      </c>
      <c r="D14" s="378">
        <v>1360.8638699999999</v>
      </c>
      <c r="E14" s="377">
        <f t="shared" si="0"/>
        <v>88.965586290215015</v>
      </c>
      <c r="F14" s="377">
        <f t="shared" si="1"/>
        <v>-168.78813000000014</v>
      </c>
    </row>
    <row r="15" spans="1:6" ht="40.5">
      <c r="A15" s="375">
        <v>1050400002</v>
      </c>
      <c r="B15" s="376" t="s">
        <v>265</v>
      </c>
      <c r="C15" s="381">
        <v>200</v>
      </c>
      <c r="D15" s="378">
        <v>73.742339999999999</v>
      </c>
      <c r="E15" s="377">
        <f t="shared" si="0"/>
        <v>36.871169999999999</v>
      </c>
      <c r="F15" s="377">
        <f t="shared" si="1"/>
        <v>-126.25766</v>
      </c>
    </row>
    <row r="16" spans="1:6" s="6" customFormat="1" ht="24" customHeight="1">
      <c r="A16" s="372">
        <v>1060000</v>
      </c>
      <c r="B16" s="373" t="s">
        <v>135</v>
      </c>
      <c r="C16" s="374">
        <f>SUM(C17:C20)</f>
        <v>2150</v>
      </c>
      <c r="D16" s="374">
        <f>SUM(D17:D20)</f>
        <v>2030.06996</v>
      </c>
      <c r="E16" s="374">
        <f t="shared" si="0"/>
        <v>94.421858604651163</v>
      </c>
      <c r="F16" s="374">
        <f t="shared" si="1"/>
        <v>-119.93003999999996</v>
      </c>
    </row>
    <row r="17" spans="1:6" s="6" customFormat="1" ht="18" hidden="1" customHeight="1">
      <c r="A17" s="375">
        <v>1060100000</v>
      </c>
      <c r="B17" s="380" t="s">
        <v>8</v>
      </c>
      <c r="C17" s="377"/>
      <c r="D17" s="378"/>
      <c r="E17" s="374" t="e">
        <f t="shared" si="0"/>
        <v>#DIV/0!</v>
      </c>
      <c r="F17" s="374">
        <f t="shared" si="1"/>
        <v>0</v>
      </c>
    </row>
    <row r="18" spans="1:6" s="6" customFormat="1" ht="2.25" customHeight="1">
      <c r="A18" s="375">
        <v>1060200000</v>
      </c>
      <c r="B18" s="380" t="s">
        <v>122</v>
      </c>
      <c r="C18" s="377"/>
      <c r="D18" s="378"/>
      <c r="E18" s="374" t="e">
        <f t="shared" si="0"/>
        <v>#DIV/0!</v>
      </c>
      <c r="F18" s="374">
        <f t="shared" si="1"/>
        <v>0</v>
      </c>
    </row>
    <row r="19" spans="1:6" s="6" customFormat="1" ht="21.75" customHeight="1">
      <c r="A19" s="375">
        <v>1060400000</v>
      </c>
      <c r="B19" s="380" t="s">
        <v>279</v>
      </c>
      <c r="C19" s="377">
        <v>2150</v>
      </c>
      <c r="D19" s="378">
        <v>2030.06996</v>
      </c>
      <c r="E19" s="377">
        <f t="shared" si="0"/>
        <v>94.421858604651163</v>
      </c>
      <c r="F19" s="377">
        <f t="shared" si="1"/>
        <v>-119.93003999999996</v>
      </c>
    </row>
    <row r="20" spans="1:6" ht="15.75" hidden="1" customHeight="1">
      <c r="A20" s="375">
        <v>1060600000</v>
      </c>
      <c r="B20" s="380" t="s">
        <v>7</v>
      </c>
      <c r="C20" s="377"/>
      <c r="D20" s="378"/>
      <c r="E20" s="377" t="e">
        <f t="shared" si="0"/>
        <v>#DIV/0!</v>
      </c>
      <c r="F20" s="377">
        <f t="shared" si="1"/>
        <v>0</v>
      </c>
    </row>
    <row r="21" spans="1:6" s="6" customFormat="1" ht="42" customHeight="1">
      <c r="A21" s="372">
        <v>1070000</v>
      </c>
      <c r="B21" s="379" t="s">
        <v>9</v>
      </c>
      <c r="C21" s="374">
        <f>SUM(C22)</f>
        <v>1400</v>
      </c>
      <c r="D21" s="374">
        <f>SUM(D22)</f>
        <v>1533.67929</v>
      </c>
      <c r="E21" s="374">
        <f t="shared" si="0"/>
        <v>109.54852071428571</v>
      </c>
      <c r="F21" s="374">
        <f t="shared" si="1"/>
        <v>133.67929000000004</v>
      </c>
    </row>
    <row r="22" spans="1:6" ht="41.25" customHeight="1">
      <c r="A22" s="375">
        <v>1070102001</v>
      </c>
      <c r="B22" s="376" t="s">
        <v>239</v>
      </c>
      <c r="C22" s="377">
        <v>1400</v>
      </c>
      <c r="D22" s="378">
        <v>1533.67929</v>
      </c>
      <c r="E22" s="377">
        <f t="shared" si="0"/>
        <v>109.54852071428571</v>
      </c>
      <c r="F22" s="377">
        <f t="shared" si="1"/>
        <v>133.67929000000004</v>
      </c>
    </row>
    <row r="23" spans="1:6" s="6" customFormat="1" ht="20.25">
      <c r="A23" s="372">
        <v>1080000</v>
      </c>
      <c r="B23" s="373" t="s">
        <v>10</v>
      </c>
      <c r="C23" s="374">
        <f>C24+C25+C26</f>
        <v>2700</v>
      </c>
      <c r="D23" s="455">
        <f>D24+D25+D26</f>
        <v>2498.37682</v>
      </c>
      <c r="E23" s="374">
        <f t="shared" si="0"/>
        <v>92.532474814814819</v>
      </c>
      <c r="F23" s="374">
        <f t="shared" si="1"/>
        <v>-201.62318000000005</v>
      </c>
    </row>
    <row r="24" spans="1:6" ht="36.75" customHeight="1">
      <c r="A24" s="375">
        <v>1080300001</v>
      </c>
      <c r="B24" s="376" t="s">
        <v>240</v>
      </c>
      <c r="C24" s="377">
        <v>1900</v>
      </c>
      <c r="D24" s="456">
        <v>1791.74657</v>
      </c>
      <c r="E24" s="377">
        <f t="shared" si="0"/>
        <v>94.302451052631568</v>
      </c>
      <c r="F24" s="377">
        <f t="shared" si="1"/>
        <v>-108.25342999999998</v>
      </c>
    </row>
    <row r="25" spans="1:6" ht="33.75" customHeight="1">
      <c r="A25" s="375">
        <v>1080600001</v>
      </c>
      <c r="B25" s="376" t="s">
        <v>227</v>
      </c>
      <c r="C25" s="377">
        <v>0</v>
      </c>
      <c r="D25" s="378">
        <v>11.5</v>
      </c>
      <c r="E25" s="377" t="e">
        <f>SUM(D25/C25*100)</f>
        <v>#DIV/0!</v>
      </c>
      <c r="F25" s="377">
        <f t="shared" si="1"/>
        <v>11.5</v>
      </c>
    </row>
    <row r="26" spans="1:6" ht="87.75" customHeight="1">
      <c r="A26" s="375">
        <v>1080714001</v>
      </c>
      <c r="B26" s="376" t="s">
        <v>226</v>
      </c>
      <c r="C26" s="377">
        <v>800</v>
      </c>
      <c r="D26" s="378">
        <v>695.13025000000005</v>
      </c>
      <c r="E26" s="377">
        <f t="shared" si="0"/>
        <v>86.891281250000006</v>
      </c>
      <c r="F26" s="377">
        <f t="shared" si="1"/>
        <v>-104.86974999999995</v>
      </c>
    </row>
    <row r="27" spans="1:6" s="15" customFormat="1" ht="40.5" hidden="1">
      <c r="A27" s="372">
        <v>1090000000</v>
      </c>
      <c r="B27" s="379" t="s">
        <v>230</v>
      </c>
      <c r="C27" s="374">
        <f>C28+C29+C30+C31</f>
        <v>0</v>
      </c>
      <c r="D27" s="374">
        <f>D28+D29+D30+D31</f>
        <v>0</v>
      </c>
      <c r="E27" s="377" t="e">
        <f t="shared" si="0"/>
        <v>#DIV/0!</v>
      </c>
      <c r="F27" s="374">
        <f t="shared" si="1"/>
        <v>0</v>
      </c>
    </row>
    <row r="28" spans="1:6" s="15" customFormat="1" ht="17.25" hidden="1" customHeight="1">
      <c r="A28" s="375">
        <v>1090100000</v>
      </c>
      <c r="B28" s="376" t="s">
        <v>124</v>
      </c>
      <c r="C28" s="377">
        <v>0</v>
      </c>
      <c r="D28" s="378">
        <v>0</v>
      </c>
      <c r="E28" s="377" t="e">
        <f t="shared" si="0"/>
        <v>#DIV/0!</v>
      </c>
      <c r="F28" s="377">
        <f t="shared" si="1"/>
        <v>0</v>
      </c>
    </row>
    <row r="29" spans="1:6" s="15" customFormat="1" ht="17.25" hidden="1" customHeight="1">
      <c r="A29" s="375">
        <v>1090400000</v>
      </c>
      <c r="B29" s="376" t="s">
        <v>125</v>
      </c>
      <c r="C29" s="377">
        <v>0</v>
      </c>
      <c r="D29" s="378">
        <v>0</v>
      </c>
      <c r="E29" s="377" t="e">
        <f t="shared" si="0"/>
        <v>#DIV/0!</v>
      </c>
      <c r="F29" s="377">
        <f t="shared" si="1"/>
        <v>0</v>
      </c>
    </row>
    <row r="30" spans="1:6" s="15" customFormat="1" ht="15.75" hidden="1" customHeight="1">
      <c r="A30" s="375">
        <v>1090600000</v>
      </c>
      <c r="B30" s="376" t="s">
        <v>126</v>
      </c>
      <c r="C30" s="377">
        <v>0</v>
      </c>
      <c r="D30" s="378">
        <v>0</v>
      </c>
      <c r="E30" s="377" t="e">
        <f t="shared" si="0"/>
        <v>#DIV/0!</v>
      </c>
      <c r="F30" s="377">
        <f t="shared" si="1"/>
        <v>0</v>
      </c>
    </row>
    <row r="31" spans="1:6" s="15" customFormat="1" ht="42" hidden="1" customHeight="1">
      <c r="A31" s="375">
        <v>1090700000</v>
      </c>
      <c r="B31" s="376" t="s">
        <v>127</v>
      </c>
      <c r="C31" s="377">
        <v>0</v>
      </c>
      <c r="D31" s="378">
        <v>0</v>
      </c>
      <c r="E31" s="377" t="e">
        <f t="shared" si="0"/>
        <v>#DIV/0!</v>
      </c>
      <c r="F31" s="377">
        <f t="shared" si="1"/>
        <v>0</v>
      </c>
    </row>
    <row r="32" spans="1:6" s="6" customFormat="1" ht="33.75" customHeight="1">
      <c r="A32" s="372"/>
      <c r="B32" s="373" t="s">
        <v>12</v>
      </c>
      <c r="C32" s="374">
        <f>C33+C42+C44+C47+C50+C52+C69</f>
        <v>25681.599999999999</v>
      </c>
      <c r="D32" s="374">
        <f>D33+D42+D44+D47+D50+D52+D69</f>
        <v>20282.671330000001</v>
      </c>
      <c r="E32" s="374">
        <f t="shared" si="0"/>
        <v>78.977444279172644</v>
      </c>
      <c r="F32" s="374">
        <f t="shared" si="1"/>
        <v>-5398.9286699999975</v>
      </c>
    </row>
    <row r="33" spans="1:6" s="6" customFormat="1" ht="60.75" customHeight="1">
      <c r="A33" s="372">
        <v>1110000</v>
      </c>
      <c r="B33" s="379" t="s">
        <v>128</v>
      </c>
      <c r="C33" s="374">
        <f>SUM(C34:C41)</f>
        <v>9391.6</v>
      </c>
      <c r="D33" s="455">
        <f>SUM(D34+D36+D37+D39+D40+D41)</f>
        <v>9631.2431100000013</v>
      </c>
      <c r="E33" s="374">
        <f t="shared" si="0"/>
        <v>102.55167500745348</v>
      </c>
      <c r="F33" s="374">
        <f t="shared" si="1"/>
        <v>239.64311000000089</v>
      </c>
    </row>
    <row r="34" spans="1:6" s="6" customFormat="1" ht="34.5" customHeight="1">
      <c r="A34" s="375">
        <v>1110105005</v>
      </c>
      <c r="B34" s="376" t="s">
        <v>319</v>
      </c>
      <c r="C34" s="377">
        <v>10</v>
      </c>
      <c r="D34" s="377">
        <v>23.658000000000001</v>
      </c>
      <c r="E34" s="377">
        <f t="shared" si="0"/>
        <v>236.58</v>
      </c>
      <c r="F34" s="377">
        <f t="shared" si="1"/>
        <v>13.658000000000001</v>
      </c>
    </row>
    <row r="35" spans="1:6" ht="27.75" hidden="1" customHeight="1">
      <c r="A35" s="375">
        <v>1110305005</v>
      </c>
      <c r="B35" s="380" t="s">
        <v>241</v>
      </c>
      <c r="C35" s="377">
        <v>0</v>
      </c>
      <c r="D35" s="378">
        <v>0</v>
      </c>
      <c r="E35" s="377" t="e">
        <f t="shared" si="0"/>
        <v>#DIV/0!</v>
      </c>
      <c r="F35" s="377">
        <f t="shared" si="1"/>
        <v>0</v>
      </c>
    </row>
    <row r="36" spans="1:6" ht="20.25">
      <c r="A36" s="382">
        <v>1110501101</v>
      </c>
      <c r="B36" s="383" t="s">
        <v>225</v>
      </c>
      <c r="C36" s="381">
        <v>8636.6</v>
      </c>
      <c r="D36" s="378">
        <v>8672.4217700000008</v>
      </c>
      <c r="E36" s="377">
        <f t="shared" si="0"/>
        <v>100.41476703795476</v>
      </c>
      <c r="F36" s="377">
        <f t="shared" si="1"/>
        <v>35.82177000000047</v>
      </c>
    </row>
    <row r="37" spans="1:6" ht="20.25" customHeight="1">
      <c r="A37" s="375">
        <v>1110503505</v>
      </c>
      <c r="B37" s="380" t="s">
        <v>224</v>
      </c>
      <c r="C37" s="381">
        <v>230</v>
      </c>
      <c r="D37" s="378">
        <v>249.23247000000001</v>
      </c>
      <c r="E37" s="377">
        <f t="shared" si="0"/>
        <v>108.36194347826087</v>
      </c>
      <c r="F37" s="377">
        <f t="shared" si="1"/>
        <v>19.232470000000006</v>
      </c>
    </row>
    <row r="38" spans="1:6" ht="131.25" hidden="1" customHeight="1">
      <c r="A38" s="375">
        <v>1110502000</v>
      </c>
      <c r="B38" s="376" t="s">
        <v>276</v>
      </c>
      <c r="C38" s="384">
        <v>0</v>
      </c>
      <c r="D38" s="378">
        <v>0</v>
      </c>
      <c r="E38" s="377" t="e">
        <f t="shared" si="0"/>
        <v>#DIV/0!</v>
      </c>
      <c r="F38" s="377">
        <f t="shared" si="1"/>
        <v>0</v>
      </c>
    </row>
    <row r="39" spans="1:6" s="15" customFormat="1" ht="20.25">
      <c r="A39" s="375">
        <v>1110701505</v>
      </c>
      <c r="B39" s="380" t="s">
        <v>242</v>
      </c>
      <c r="C39" s="381">
        <v>20</v>
      </c>
      <c r="D39" s="378">
        <v>26.303000000000001</v>
      </c>
      <c r="E39" s="377">
        <f t="shared" si="0"/>
        <v>131.51500000000001</v>
      </c>
      <c r="F39" s="377">
        <f t="shared" si="1"/>
        <v>6.3030000000000008</v>
      </c>
    </row>
    <row r="40" spans="1:6" s="15" customFormat="1" ht="20.25">
      <c r="A40" s="375">
        <v>1110903000</v>
      </c>
      <c r="B40" s="380" t="s">
        <v>409</v>
      </c>
      <c r="C40" s="381">
        <v>0</v>
      </c>
      <c r="D40" s="378">
        <v>0.31791000000000003</v>
      </c>
      <c r="E40" s="377" t="e">
        <f>SUM(D40/C40*100)</f>
        <v>#DIV/0!</v>
      </c>
      <c r="F40" s="377">
        <f>SUM(D40-C40)</f>
        <v>0.31791000000000003</v>
      </c>
    </row>
    <row r="41" spans="1:6" s="15" customFormat="1" ht="20.25">
      <c r="A41" s="375">
        <v>1110904505</v>
      </c>
      <c r="B41" s="380" t="s">
        <v>333</v>
      </c>
      <c r="C41" s="381">
        <v>495</v>
      </c>
      <c r="D41" s="378">
        <v>659.30996000000005</v>
      </c>
      <c r="E41" s="377">
        <f t="shared" si="0"/>
        <v>133.19393131313134</v>
      </c>
      <c r="F41" s="377">
        <f t="shared" si="1"/>
        <v>164.30996000000005</v>
      </c>
    </row>
    <row r="42" spans="1:6" s="15" customFormat="1" ht="40.5">
      <c r="A42" s="372">
        <v>1120000</v>
      </c>
      <c r="B42" s="379" t="s">
        <v>129</v>
      </c>
      <c r="C42" s="385">
        <f>C43</f>
        <v>600</v>
      </c>
      <c r="D42" s="385">
        <f>D43</f>
        <v>445.91152</v>
      </c>
      <c r="E42" s="374">
        <f t="shared" si="0"/>
        <v>74.318586666666661</v>
      </c>
      <c r="F42" s="374">
        <f t="shared" si="1"/>
        <v>-154.08848</v>
      </c>
    </row>
    <row r="43" spans="1:6" s="15" customFormat="1" ht="40.5">
      <c r="A43" s="375">
        <v>1120100001</v>
      </c>
      <c r="B43" s="376" t="s">
        <v>243</v>
      </c>
      <c r="C43" s="377">
        <v>600</v>
      </c>
      <c r="D43" s="378">
        <v>445.91152</v>
      </c>
      <c r="E43" s="377">
        <f t="shared" si="0"/>
        <v>74.318586666666661</v>
      </c>
      <c r="F43" s="377">
        <f t="shared" si="1"/>
        <v>-154.08848</v>
      </c>
    </row>
    <row r="44" spans="1:6" s="189" customFormat="1" ht="21.75" customHeight="1">
      <c r="A44" s="386">
        <v>1130000</v>
      </c>
      <c r="B44" s="387" t="s">
        <v>130</v>
      </c>
      <c r="C44" s="374">
        <f>C45+C46</f>
        <v>0</v>
      </c>
      <c r="D44" s="374">
        <f>D45+D46</f>
        <v>1618.9607900000001</v>
      </c>
      <c r="E44" s="374" t="e">
        <f t="shared" si="0"/>
        <v>#DIV/0!</v>
      </c>
      <c r="F44" s="374">
        <f t="shared" si="1"/>
        <v>1618.9607900000001</v>
      </c>
    </row>
    <row r="45" spans="1:6" s="15" customFormat="1" ht="36" customHeight="1">
      <c r="A45" s="375">
        <v>1130200000</v>
      </c>
      <c r="B45" s="376" t="s">
        <v>329</v>
      </c>
      <c r="C45" s="377">
        <v>0</v>
      </c>
      <c r="D45" s="491">
        <v>1618.9607900000001</v>
      </c>
      <c r="E45" s="377" t="e">
        <f>SUM(D45/C45*100)</f>
        <v>#DIV/0!</v>
      </c>
      <c r="F45" s="377">
        <f>SUM(D45-C45)</f>
        <v>1618.9607900000001</v>
      </c>
    </row>
    <row r="46" spans="1:6" ht="25.5" customHeight="1">
      <c r="A46" s="375">
        <v>1130305005</v>
      </c>
      <c r="B46" s="376" t="s">
        <v>223</v>
      </c>
      <c r="C46" s="377">
        <v>0</v>
      </c>
      <c r="D46" s="378">
        <v>0</v>
      </c>
      <c r="E46" s="377"/>
      <c r="F46" s="377">
        <f t="shared" si="1"/>
        <v>0</v>
      </c>
    </row>
    <row r="47" spans="1:6" ht="20.25" customHeight="1">
      <c r="A47" s="388">
        <v>1140000</v>
      </c>
      <c r="B47" s="389" t="s">
        <v>131</v>
      </c>
      <c r="C47" s="374">
        <f>C48+C49</f>
        <v>10300</v>
      </c>
      <c r="D47" s="374">
        <f>D48+D49</f>
        <v>4132.1558299999997</v>
      </c>
      <c r="E47" s="374">
        <f t="shared" si="0"/>
        <v>40.118017766990292</v>
      </c>
      <c r="F47" s="374">
        <f t="shared" si="1"/>
        <v>-6167.8441700000003</v>
      </c>
    </row>
    <row r="48" spans="1:6" ht="20.25">
      <c r="A48" s="382">
        <v>1140200000</v>
      </c>
      <c r="B48" s="390" t="s">
        <v>221</v>
      </c>
      <c r="C48" s="377">
        <v>200</v>
      </c>
      <c r="D48" s="378">
        <v>305.55360000000002</v>
      </c>
      <c r="E48" s="377">
        <f t="shared" si="0"/>
        <v>152.77680000000001</v>
      </c>
      <c r="F48" s="377">
        <f t="shared" si="1"/>
        <v>105.55360000000002</v>
      </c>
    </row>
    <row r="49" spans="1:8" ht="24" customHeight="1">
      <c r="A49" s="375">
        <v>1140600000</v>
      </c>
      <c r="B49" s="376" t="s">
        <v>222</v>
      </c>
      <c r="C49" s="377">
        <v>10100</v>
      </c>
      <c r="D49" s="378">
        <v>3826.60223</v>
      </c>
      <c r="E49" s="377">
        <f t="shared" si="0"/>
        <v>37.887150792079204</v>
      </c>
      <c r="F49" s="377">
        <f t="shared" si="1"/>
        <v>-6273.3977699999996</v>
      </c>
    </row>
    <row r="50" spans="1:8" ht="0.75" hidden="1" customHeight="1">
      <c r="A50" s="372">
        <v>1150000000</v>
      </c>
      <c r="B50" s="379" t="s">
        <v>234</v>
      </c>
      <c r="C50" s="374">
        <f>C51</f>
        <v>0</v>
      </c>
      <c r="D50" s="374">
        <f>D51</f>
        <v>0</v>
      </c>
      <c r="E50" s="374" t="e">
        <f t="shared" si="0"/>
        <v>#DIV/0!</v>
      </c>
      <c r="F50" s="374">
        <f t="shared" si="1"/>
        <v>0</v>
      </c>
    </row>
    <row r="51" spans="1:8" ht="61.5" hidden="1" customHeight="1">
      <c r="A51" s="375">
        <v>1150205005</v>
      </c>
      <c r="B51" s="376" t="s">
        <v>235</v>
      </c>
      <c r="C51" s="377">
        <v>0</v>
      </c>
      <c r="D51" s="378">
        <v>0</v>
      </c>
      <c r="E51" s="377" t="e">
        <f t="shared" si="0"/>
        <v>#DIV/0!</v>
      </c>
      <c r="F51" s="377">
        <f t="shared" si="1"/>
        <v>0</v>
      </c>
    </row>
    <row r="52" spans="1:8" ht="40.5">
      <c r="A52" s="372">
        <v>1160000</v>
      </c>
      <c r="B52" s="379" t="s">
        <v>133</v>
      </c>
      <c r="C52" s="374">
        <f>C53+C54+C55+C56+C57+C58+C59+C60+C61+C62+C63+C64+C65+C66+C67+C68</f>
        <v>5390</v>
      </c>
      <c r="D52" s="455">
        <f>SUM(D53:D68)</f>
        <v>4454.4000799999994</v>
      </c>
      <c r="E52" s="374">
        <f>SUM(D52/C52*100)</f>
        <v>82.641930983302402</v>
      </c>
      <c r="F52" s="374">
        <f t="shared" si="1"/>
        <v>-935.59992000000057</v>
      </c>
      <c r="H52" s="152"/>
    </row>
    <row r="53" spans="1:8" ht="23.25" customHeight="1">
      <c r="A53" s="375">
        <v>1160301001</v>
      </c>
      <c r="B53" s="376" t="s">
        <v>244</v>
      </c>
      <c r="C53" s="377">
        <v>10</v>
      </c>
      <c r="D53" s="391">
        <v>7.6829999999999998</v>
      </c>
      <c r="E53" s="377">
        <f>SUM(D53/C53*100)</f>
        <v>76.83</v>
      </c>
      <c r="F53" s="377">
        <f t="shared" si="1"/>
        <v>-2.3170000000000002</v>
      </c>
    </row>
    <row r="54" spans="1:8" ht="19.5" customHeight="1">
      <c r="A54" s="375">
        <v>1160303001</v>
      </c>
      <c r="B54" s="376" t="s">
        <v>245</v>
      </c>
      <c r="C54" s="377">
        <v>7</v>
      </c>
      <c r="D54" s="392">
        <v>13.721270000000001</v>
      </c>
      <c r="E54" s="377">
        <f t="shared" si="0"/>
        <v>196.01814285714286</v>
      </c>
      <c r="F54" s="377">
        <f t="shared" si="1"/>
        <v>6.7212700000000005</v>
      </c>
    </row>
    <row r="55" spans="1:8" ht="23.25" hidden="1" customHeight="1">
      <c r="A55" s="375">
        <v>1160600000</v>
      </c>
      <c r="B55" s="376" t="s">
        <v>246</v>
      </c>
      <c r="C55" s="393">
        <v>0</v>
      </c>
      <c r="D55" s="392">
        <v>0</v>
      </c>
      <c r="E55" s="377" t="e">
        <f t="shared" si="0"/>
        <v>#DIV/0!</v>
      </c>
      <c r="F55" s="377">
        <f t="shared" si="1"/>
        <v>0</v>
      </c>
    </row>
    <row r="56" spans="1:8" s="15" customFormat="1" ht="48" customHeight="1">
      <c r="A56" s="375">
        <v>1160800001</v>
      </c>
      <c r="B56" s="376" t="s">
        <v>247</v>
      </c>
      <c r="C56" s="377">
        <v>50</v>
      </c>
      <c r="D56" s="392">
        <v>31.5</v>
      </c>
      <c r="E56" s="377">
        <f t="shared" si="0"/>
        <v>63</v>
      </c>
      <c r="F56" s="377">
        <f t="shared" si="1"/>
        <v>-18.5</v>
      </c>
    </row>
    <row r="57" spans="1:8" ht="35.25" hidden="1" customHeight="1">
      <c r="A57" s="375">
        <v>1160802001</v>
      </c>
      <c r="B57" s="376" t="s">
        <v>341</v>
      </c>
      <c r="C57" s="393">
        <v>0</v>
      </c>
      <c r="D57" s="378">
        <v>0</v>
      </c>
      <c r="E57" s="377" t="e">
        <f t="shared" si="0"/>
        <v>#DIV/0!</v>
      </c>
      <c r="F57" s="377">
        <f t="shared" si="1"/>
        <v>0</v>
      </c>
    </row>
    <row r="58" spans="1:8" ht="35.25" customHeight="1">
      <c r="A58" s="375">
        <v>1162105005</v>
      </c>
      <c r="B58" s="376" t="s">
        <v>15</v>
      </c>
      <c r="C58" s="377">
        <v>250</v>
      </c>
      <c r="D58" s="378">
        <v>315.26315</v>
      </c>
      <c r="E58" s="377">
        <f t="shared" si="0"/>
        <v>126.10526</v>
      </c>
      <c r="F58" s="377">
        <f t="shared" si="1"/>
        <v>65.263149999999996</v>
      </c>
    </row>
    <row r="59" spans="1:8" ht="35.25" customHeight="1">
      <c r="A59" s="382">
        <v>1162503001</v>
      </c>
      <c r="B59" s="390" t="s">
        <v>332</v>
      </c>
      <c r="C59" s="377">
        <v>10</v>
      </c>
      <c r="D59" s="378">
        <v>50</v>
      </c>
      <c r="E59" s="377">
        <f t="shared" si="0"/>
        <v>500</v>
      </c>
      <c r="F59" s="377">
        <f t="shared" si="1"/>
        <v>40</v>
      </c>
    </row>
    <row r="60" spans="1:8" ht="21.75" customHeight="1">
      <c r="A60" s="382">
        <v>1162505001</v>
      </c>
      <c r="B60" s="390" t="s">
        <v>344</v>
      </c>
      <c r="C60" s="377">
        <v>20</v>
      </c>
      <c r="D60" s="378">
        <v>20</v>
      </c>
      <c r="E60" s="377">
        <f t="shared" si="0"/>
        <v>100</v>
      </c>
      <c r="F60" s="377">
        <f t="shared" si="1"/>
        <v>0</v>
      </c>
    </row>
    <row r="61" spans="1:8" ht="20.25" customHeight="1">
      <c r="A61" s="382">
        <v>1162506001</v>
      </c>
      <c r="B61" s="390" t="s">
        <v>268</v>
      </c>
      <c r="C61" s="377">
        <v>170</v>
      </c>
      <c r="D61" s="378">
        <v>166.81963999999999</v>
      </c>
      <c r="E61" s="377">
        <f t="shared" si="0"/>
        <v>98.129199999999997</v>
      </c>
      <c r="F61" s="377">
        <f t="shared" si="1"/>
        <v>-3.1803600000000074</v>
      </c>
    </row>
    <row r="62" spans="1:8" ht="0.75" hidden="1" customHeight="1">
      <c r="A62" s="375">
        <v>1162700001</v>
      </c>
      <c r="B62" s="376" t="s">
        <v>248</v>
      </c>
      <c r="C62" s="377">
        <v>0</v>
      </c>
      <c r="D62" s="378">
        <v>0</v>
      </c>
      <c r="E62" s="377" t="e">
        <f t="shared" si="0"/>
        <v>#DIV/0!</v>
      </c>
      <c r="F62" s="377">
        <f t="shared" si="1"/>
        <v>0</v>
      </c>
    </row>
    <row r="63" spans="1:8" ht="37.5" customHeight="1">
      <c r="A63" s="375">
        <v>1162800001</v>
      </c>
      <c r="B63" s="376" t="s">
        <v>237</v>
      </c>
      <c r="C63" s="377">
        <v>450</v>
      </c>
      <c r="D63" s="378">
        <v>445.50945999999999</v>
      </c>
      <c r="E63" s="377">
        <f>SUM(D63/C63*100)</f>
        <v>99.00210222222222</v>
      </c>
      <c r="F63" s="377">
        <f>SUM(D63-C63)</f>
        <v>-4.49054000000001</v>
      </c>
    </row>
    <row r="64" spans="1:8" ht="36" customHeight="1">
      <c r="A64" s="375">
        <v>1163003001</v>
      </c>
      <c r="B64" s="376" t="s">
        <v>269</v>
      </c>
      <c r="C64" s="377">
        <v>500</v>
      </c>
      <c r="D64" s="378">
        <v>441.5</v>
      </c>
      <c r="E64" s="377">
        <f>SUM(D64/C64*100)</f>
        <v>88.3</v>
      </c>
      <c r="F64" s="377">
        <f>SUM(D64-C64)</f>
        <v>-58.5</v>
      </c>
    </row>
    <row r="65" spans="1:8" ht="60.75">
      <c r="A65" s="375">
        <v>1164300001</v>
      </c>
      <c r="B65" s="394" t="s">
        <v>261</v>
      </c>
      <c r="C65" s="377">
        <v>520</v>
      </c>
      <c r="D65" s="378">
        <v>564.92634999999996</v>
      </c>
      <c r="E65" s="377">
        <f t="shared" si="0"/>
        <v>108.63968269230769</v>
      </c>
      <c r="F65" s="377">
        <f t="shared" si="1"/>
        <v>44.926349999999957</v>
      </c>
    </row>
    <row r="66" spans="1:8" ht="73.5" customHeight="1">
      <c r="A66" s="375">
        <v>1163305005</v>
      </c>
      <c r="B66" s="376" t="s">
        <v>16</v>
      </c>
      <c r="C66" s="377">
        <v>70</v>
      </c>
      <c r="D66" s="378">
        <v>104.11462</v>
      </c>
      <c r="E66" s="377">
        <f t="shared" si="0"/>
        <v>148.73517142857142</v>
      </c>
      <c r="F66" s="377">
        <f t="shared" si="1"/>
        <v>34.114620000000002</v>
      </c>
    </row>
    <row r="67" spans="1:8" ht="20.25">
      <c r="A67" s="375">
        <v>1163500000</v>
      </c>
      <c r="B67" s="376" t="s">
        <v>330</v>
      </c>
      <c r="C67" s="377">
        <v>0</v>
      </c>
      <c r="D67" s="378">
        <v>1.3480300000000001</v>
      </c>
      <c r="E67" s="377" t="e">
        <f t="shared" si="0"/>
        <v>#DIV/0!</v>
      </c>
      <c r="F67" s="377">
        <f t="shared" si="1"/>
        <v>1.3480300000000001</v>
      </c>
    </row>
    <row r="68" spans="1:8" ht="35.25" customHeight="1">
      <c r="A68" s="375">
        <v>1169000000</v>
      </c>
      <c r="B68" s="376" t="s">
        <v>236</v>
      </c>
      <c r="C68" s="377">
        <v>3333</v>
      </c>
      <c r="D68" s="378">
        <v>2292.0145600000001</v>
      </c>
      <c r="E68" s="377">
        <f t="shared" si="0"/>
        <v>68.767313531353139</v>
      </c>
      <c r="F68" s="377">
        <f t="shared" si="1"/>
        <v>-1040.9854399999999</v>
      </c>
    </row>
    <row r="69" spans="1:8" ht="25.5" customHeight="1">
      <c r="A69" s="372">
        <v>1170000</v>
      </c>
      <c r="B69" s="379" t="s">
        <v>134</v>
      </c>
      <c r="C69" s="374">
        <f>C70+C71</f>
        <v>0</v>
      </c>
      <c r="D69" s="374">
        <f>D70+D71</f>
        <v>0</v>
      </c>
      <c r="E69" s="377" t="e">
        <f t="shared" si="0"/>
        <v>#DIV/0!</v>
      </c>
      <c r="F69" s="374">
        <f t="shared" si="1"/>
        <v>0</v>
      </c>
    </row>
    <row r="70" spans="1:8" ht="20.25">
      <c r="A70" s="375">
        <v>1170105005</v>
      </c>
      <c r="B70" s="376" t="s">
        <v>17</v>
      </c>
      <c r="C70" s="377">
        <v>0</v>
      </c>
      <c r="D70" s="377">
        <v>0</v>
      </c>
      <c r="E70" s="377" t="e">
        <f t="shared" si="0"/>
        <v>#DIV/0!</v>
      </c>
      <c r="F70" s="377">
        <f t="shared" si="1"/>
        <v>0</v>
      </c>
    </row>
    <row r="71" spans="1:8" ht="20.25">
      <c r="A71" s="375">
        <v>1170505005</v>
      </c>
      <c r="B71" s="380" t="s">
        <v>220</v>
      </c>
      <c r="C71" s="377">
        <v>0</v>
      </c>
      <c r="D71" s="378">
        <v>0</v>
      </c>
      <c r="E71" s="377" t="e">
        <f t="shared" si="0"/>
        <v>#DIV/0!</v>
      </c>
      <c r="F71" s="377">
        <f t="shared" si="1"/>
        <v>0</v>
      </c>
    </row>
    <row r="72" spans="1:8" s="6" customFormat="1" ht="20.25">
      <c r="A72" s="372">
        <v>100000</v>
      </c>
      <c r="B72" s="373" t="s">
        <v>18</v>
      </c>
      <c r="C72" s="453">
        <f>SUM(C4,C32)</f>
        <v>164031.94200000001</v>
      </c>
      <c r="D72" s="453">
        <f>SUM(D4,D32)</f>
        <v>141024.41013999999</v>
      </c>
      <c r="E72" s="374">
        <f>SUM(D72/C72*100)</f>
        <v>85.973749027491237</v>
      </c>
      <c r="F72" s="374">
        <f>SUM(D72-C72)</f>
        <v>-23007.531860000017</v>
      </c>
      <c r="G72" s="94"/>
      <c r="H72" s="94"/>
    </row>
    <row r="73" spans="1:8" s="6" customFormat="1" ht="30" customHeight="1">
      <c r="A73" s="372">
        <v>200000</v>
      </c>
      <c r="B73" s="373" t="s">
        <v>19</v>
      </c>
      <c r="C73" s="454">
        <f>C74+C77+C78+C79+C81+C76+C80</f>
        <v>694425.83325999998</v>
      </c>
      <c r="D73" s="374">
        <f>D74+D77+D78+D79+D81+D76+D80</f>
        <v>557332.11436999997</v>
      </c>
      <c r="E73" s="374">
        <f t="shared" si="0"/>
        <v>80.257975391495734</v>
      </c>
      <c r="F73" s="374">
        <f t="shared" si="1"/>
        <v>-137093.71889000002</v>
      </c>
      <c r="G73" s="94"/>
      <c r="H73" s="94"/>
    </row>
    <row r="74" spans="1:8" ht="21.75" customHeight="1">
      <c r="A74" s="382">
        <v>2021000000</v>
      </c>
      <c r="B74" s="383" t="s">
        <v>20</v>
      </c>
      <c r="C74" s="381">
        <v>27513.7</v>
      </c>
      <c r="D74" s="395">
        <v>25026.6</v>
      </c>
      <c r="E74" s="377">
        <f t="shared" si="0"/>
        <v>90.960503312895028</v>
      </c>
      <c r="F74" s="377">
        <f t="shared" si="1"/>
        <v>-2487.1000000000022</v>
      </c>
    </row>
    <row r="75" spans="1:8" ht="21" customHeight="1">
      <c r="A75" s="382">
        <v>2020100905</v>
      </c>
      <c r="B75" s="390" t="s">
        <v>275</v>
      </c>
      <c r="C75" s="381">
        <v>0</v>
      </c>
      <c r="D75" s="395" t="s">
        <v>443</v>
      </c>
      <c r="E75" s="377" t="e">
        <f t="shared" si="0"/>
        <v>#VALUE!</v>
      </c>
      <c r="F75" s="377" t="e">
        <f t="shared" si="1"/>
        <v>#VALUE!</v>
      </c>
    </row>
    <row r="76" spans="1:8" ht="21.75" customHeight="1">
      <c r="A76" s="382">
        <v>2021500200</v>
      </c>
      <c r="B76" s="383" t="s">
        <v>231</v>
      </c>
      <c r="C76" s="381">
        <v>10103.5</v>
      </c>
      <c r="D76" s="395">
        <v>10103.5</v>
      </c>
      <c r="E76" s="377">
        <f t="shared" si="0"/>
        <v>100</v>
      </c>
      <c r="F76" s="377">
        <f t="shared" si="1"/>
        <v>0</v>
      </c>
    </row>
    <row r="77" spans="1:8" ht="20.25">
      <c r="A77" s="382">
        <v>2022000000</v>
      </c>
      <c r="B77" s="383" t="s">
        <v>21</v>
      </c>
      <c r="C77" s="381">
        <v>249830.94631999999</v>
      </c>
      <c r="D77" s="378">
        <v>106036.05243</v>
      </c>
      <c r="E77" s="377">
        <f t="shared" si="0"/>
        <v>42.443121635612755</v>
      </c>
      <c r="F77" s="377">
        <f t="shared" si="1"/>
        <v>-143794.89389000001</v>
      </c>
    </row>
    <row r="78" spans="1:8" ht="20.25">
      <c r="A78" s="382">
        <v>2023000000</v>
      </c>
      <c r="B78" s="383" t="s">
        <v>22</v>
      </c>
      <c r="C78" s="381">
        <v>347994.19494000002</v>
      </c>
      <c r="D78" s="396">
        <v>318385.59054</v>
      </c>
      <c r="E78" s="377">
        <f t="shared" si="0"/>
        <v>91.491638415087635</v>
      </c>
      <c r="F78" s="377">
        <f t="shared" si="1"/>
        <v>-29608.604400000011</v>
      </c>
    </row>
    <row r="79" spans="1:8" ht="19.5" customHeight="1">
      <c r="A79" s="382">
        <v>2024000000</v>
      </c>
      <c r="B79" s="390" t="s">
        <v>23</v>
      </c>
      <c r="C79" s="381">
        <v>88023.991999999998</v>
      </c>
      <c r="D79" s="397">
        <v>126911.2524</v>
      </c>
      <c r="E79" s="377">
        <f t="shared" si="0"/>
        <v>144.17802410052022</v>
      </c>
      <c r="F79" s="377">
        <f t="shared" si="1"/>
        <v>38887.260399999999</v>
      </c>
    </row>
    <row r="80" spans="1:8" ht="20.25">
      <c r="A80" s="382">
        <v>2180500005</v>
      </c>
      <c r="B80" s="390" t="s">
        <v>324</v>
      </c>
      <c r="C80" s="381">
        <v>0</v>
      </c>
      <c r="D80" s="397">
        <v>0</v>
      </c>
      <c r="E80" s="377" t="e">
        <f t="shared" si="0"/>
        <v>#DIV/0!</v>
      </c>
      <c r="F80" s="377">
        <f t="shared" si="1"/>
        <v>0</v>
      </c>
    </row>
    <row r="81" spans="1:8" ht="18" customHeight="1">
      <c r="A81" s="375">
        <v>2196001005</v>
      </c>
      <c r="B81" s="380" t="s">
        <v>25</v>
      </c>
      <c r="C81" s="378">
        <v>-29040.5</v>
      </c>
      <c r="D81" s="378">
        <v>-29130.881000000001</v>
      </c>
      <c r="E81" s="377">
        <f t="shared" si="0"/>
        <v>100.31122398030337</v>
      </c>
      <c r="F81" s="377">
        <f>SUM(D81-C81)</f>
        <v>-90.381000000001222</v>
      </c>
    </row>
    <row r="82" spans="1:8" s="6" customFormat="1" ht="22.5" customHeight="1">
      <c r="A82" s="372">
        <v>3000000000</v>
      </c>
      <c r="B82" s="379" t="s">
        <v>26</v>
      </c>
      <c r="C82" s="385">
        <v>0</v>
      </c>
      <c r="D82" s="398">
        <v>0</v>
      </c>
      <c r="E82" s="377" t="e">
        <f t="shared" si="0"/>
        <v>#DIV/0!</v>
      </c>
      <c r="F82" s="374">
        <f t="shared" si="1"/>
        <v>0</v>
      </c>
    </row>
    <row r="83" spans="1:8" s="6" customFormat="1" ht="22.5" customHeight="1">
      <c r="A83" s="372"/>
      <c r="B83" s="373" t="s">
        <v>27</v>
      </c>
      <c r="C83" s="459">
        <f>C72+C73</f>
        <v>858457.77526000002</v>
      </c>
      <c r="D83" s="457">
        <f>D72+D73</f>
        <v>698356.5245099999</v>
      </c>
      <c r="E83" s="377">
        <f>SUM(D83/C83*100)</f>
        <v>81.350130971612373</v>
      </c>
      <c r="F83" s="374">
        <f>SUM(D84-C83)</f>
        <v>-888170.10600000015</v>
      </c>
      <c r="G83" s="215">
        <f>C83-798026.07441</f>
        <v>60431.700850000023</v>
      </c>
      <c r="H83" s="94">
        <f>D83-379713.41199</f>
        <v>318643.11251999991</v>
      </c>
    </row>
    <row r="84" spans="1:8" s="6" customFormat="1" ht="20.25">
      <c r="A84" s="372"/>
      <c r="B84" s="399" t="s">
        <v>320</v>
      </c>
      <c r="C84" s="400">
        <f>C83-C145</f>
        <v>-36165.280569999828</v>
      </c>
      <c r="D84" s="374">
        <f>D83-D145</f>
        <v>-29712.330740000121</v>
      </c>
      <c r="E84" s="401"/>
      <c r="F84" s="401"/>
      <c r="G84" s="94"/>
      <c r="H84" s="94"/>
    </row>
    <row r="85" spans="1:8" ht="20.25">
      <c r="A85" s="402"/>
      <c r="B85" s="403"/>
      <c r="C85" s="404"/>
      <c r="D85" s="404"/>
      <c r="E85" s="405"/>
      <c r="F85" s="405"/>
    </row>
    <row r="86" spans="1:8" ht="101.25">
      <c r="A86" s="406" t="s">
        <v>0</v>
      </c>
      <c r="B86" s="406" t="s">
        <v>28</v>
      </c>
      <c r="C86" s="369" t="s">
        <v>411</v>
      </c>
      <c r="D86" s="370" t="s">
        <v>442</v>
      </c>
      <c r="E86" s="369" t="s">
        <v>2</v>
      </c>
      <c r="F86" s="371" t="s">
        <v>3</v>
      </c>
    </row>
    <row r="87" spans="1:8" ht="20.25">
      <c r="A87" s="407">
        <v>1</v>
      </c>
      <c r="B87" s="406">
        <v>2</v>
      </c>
      <c r="C87" s="408">
        <v>3</v>
      </c>
      <c r="D87" s="409">
        <v>4</v>
      </c>
      <c r="E87" s="408">
        <v>5</v>
      </c>
      <c r="F87" s="408">
        <v>6</v>
      </c>
    </row>
    <row r="88" spans="1:8" s="6" customFormat="1" ht="22.5" customHeight="1">
      <c r="A88" s="410" t="s">
        <v>29</v>
      </c>
      <c r="B88" s="411" t="s">
        <v>30</v>
      </c>
      <c r="C88" s="401">
        <f>SUM(C89+C90+C91+C92+C93+C94+C95)</f>
        <v>56108.770759999999</v>
      </c>
      <c r="D88" s="401">
        <f>SUM(D89:D95)</f>
        <v>39556.961469999995</v>
      </c>
      <c r="E88" s="412">
        <f>SUM(D88/C88*100)</f>
        <v>70.500495616275728</v>
      </c>
      <c r="F88" s="412">
        <f>SUM(D88-C88)</f>
        <v>-16551.809290000005</v>
      </c>
    </row>
    <row r="89" spans="1:8" s="6" customFormat="1" ht="40.5">
      <c r="A89" s="413" t="s">
        <v>31</v>
      </c>
      <c r="B89" s="414" t="s">
        <v>32</v>
      </c>
      <c r="C89" s="415">
        <v>50</v>
      </c>
      <c r="D89" s="415">
        <v>26.522960000000001</v>
      </c>
      <c r="E89" s="412">
        <f>SUM(D89/C89*100)</f>
        <v>53.045920000000002</v>
      </c>
      <c r="F89" s="412">
        <f>SUM(D89-C89)</f>
        <v>-23.477039999999999</v>
      </c>
    </row>
    <row r="90" spans="1:8" ht="21.75" customHeight="1">
      <c r="A90" s="413" t="s">
        <v>33</v>
      </c>
      <c r="B90" s="416" t="s">
        <v>34</v>
      </c>
      <c r="C90" s="415">
        <v>23262.037</v>
      </c>
      <c r="D90" s="415">
        <v>18964.744900000002</v>
      </c>
      <c r="E90" s="417">
        <f t="shared" ref="E90:E145" si="2">SUM(D90/C90*100)</f>
        <v>81.52658728898075</v>
      </c>
      <c r="F90" s="417">
        <f t="shared" ref="F90:F145" si="3">SUM(D90-C90)</f>
        <v>-4297.2920999999988</v>
      </c>
    </row>
    <row r="91" spans="1:8" ht="19.5" customHeight="1">
      <c r="A91" s="413" t="s">
        <v>35</v>
      </c>
      <c r="B91" s="416" t="s">
        <v>36</v>
      </c>
      <c r="C91" s="415">
        <v>10.5</v>
      </c>
      <c r="D91" s="415">
        <v>10.5</v>
      </c>
      <c r="E91" s="417">
        <f t="shared" si="2"/>
        <v>100</v>
      </c>
      <c r="F91" s="417">
        <f t="shared" si="3"/>
        <v>0</v>
      </c>
    </row>
    <row r="92" spans="1:8" ht="38.25" customHeight="1">
      <c r="A92" s="413" t="s">
        <v>37</v>
      </c>
      <c r="B92" s="416" t="s">
        <v>38</v>
      </c>
      <c r="C92" s="418">
        <v>5105.0619999999999</v>
      </c>
      <c r="D92" s="418">
        <v>4356.3374100000001</v>
      </c>
      <c r="E92" s="417">
        <f t="shared" si="2"/>
        <v>85.333682725106968</v>
      </c>
      <c r="F92" s="417">
        <f t="shared" si="3"/>
        <v>-748.72458999999981</v>
      </c>
    </row>
    <row r="93" spans="1:8" ht="18.75" customHeight="1">
      <c r="A93" s="413" t="s">
        <v>39</v>
      </c>
      <c r="B93" s="416" t="s">
        <v>40</v>
      </c>
      <c r="C93" s="415">
        <v>75.599999999999994</v>
      </c>
      <c r="D93" s="415">
        <v>75.599999999999994</v>
      </c>
      <c r="E93" s="417">
        <f t="shared" si="2"/>
        <v>100</v>
      </c>
      <c r="F93" s="417">
        <f t="shared" si="3"/>
        <v>0</v>
      </c>
    </row>
    <row r="94" spans="1:8" ht="24.75" customHeight="1">
      <c r="A94" s="413" t="s">
        <v>41</v>
      </c>
      <c r="B94" s="416" t="s">
        <v>42</v>
      </c>
      <c r="C94" s="418">
        <v>9338.8137299999999</v>
      </c>
      <c r="D94" s="418">
        <v>0</v>
      </c>
      <c r="E94" s="417">
        <f t="shared" si="2"/>
        <v>0</v>
      </c>
      <c r="F94" s="417">
        <f t="shared" si="3"/>
        <v>-9338.8137299999999</v>
      </c>
    </row>
    <row r="95" spans="1:8" ht="24" customHeight="1">
      <c r="A95" s="413" t="s">
        <v>43</v>
      </c>
      <c r="B95" s="416" t="s">
        <v>44</v>
      </c>
      <c r="C95" s="415">
        <v>18266.758030000001</v>
      </c>
      <c r="D95" s="415">
        <v>16123.2562</v>
      </c>
      <c r="E95" s="417">
        <f t="shared" si="2"/>
        <v>88.265559622130709</v>
      </c>
      <c r="F95" s="417">
        <f t="shared" si="3"/>
        <v>-2143.5018300000011</v>
      </c>
    </row>
    <row r="96" spans="1:8" s="6" customFormat="1" ht="20.25">
      <c r="A96" s="419" t="s">
        <v>45</v>
      </c>
      <c r="B96" s="420" t="s">
        <v>46</v>
      </c>
      <c r="C96" s="401">
        <f>C97</f>
        <v>2158.6999999999998</v>
      </c>
      <c r="D96" s="401">
        <f>D97</f>
        <v>1978.8</v>
      </c>
      <c r="E96" s="412">
        <f t="shared" si="2"/>
        <v>91.666280631861781</v>
      </c>
      <c r="F96" s="412">
        <f t="shared" si="3"/>
        <v>-179.89999999999986</v>
      </c>
    </row>
    <row r="97" spans="1:7" ht="20.25">
      <c r="A97" s="421" t="s">
        <v>47</v>
      </c>
      <c r="B97" s="422" t="s">
        <v>48</v>
      </c>
      <c r="C97" s="415">
        <v>2158.6999999999998</v>
      </c>
      <c r="D97" s="415">
        <v>1978.8</v>
      </c>
      <c r="E97" s="417">
        <f t="shared" si="2"/>
        <v>91.666280631861781</v>
      </c>
      <c r="F97" s="417">
        <f t="shared" si="3"/>
        <v>-179.89999999999986</v>
      </c>
    </row>
    <row r="98" spans="1:7" s="6" customFormat="1" ht="21" customHeight="1">
      <c r="A98" s="410" t="s">
        <v>49</v>
      </c>
      <c r="B98" s="411" t="s">
        <v>50</v>
      </c>
      <c r="C98" s="401">
        <f>SUM(C100:C103)</f>
        <v>14156.291999999999</v>
      </c>
      <c r="D98" s="401">
        <f>SUM(D100:D103)</f>
        <v>10500.221670000001</v>
      </c>
      <c r="E98" s="412">
        <f t="shared" si="2"/>
        <v>74.173531246741746</v>
      </c>
      <c r="F98" s="412">
        <f t="shared" si="3"/>
        <v>-3656.0703299999986</v>
      </c>
    </row>
    <row r="99" spans="1:7" ht="23.25" hidden="1" customHeight="1">
      <c r="A99" s="413" t="s">
        <v>51</v>
      </c>
      <c r="B99" s="416" t="s">
        <v>52</v>
      </c>
      <c r="C99" s="415"/>
      <c r="D99" s="415"/>
      <c r="E99" s="417" t="e">
        <f t="shared" si="2"/>
        <v>#DIV/0!</v>
      </c>
      <c r="F99" s="417">
        <f t="shared" si="3"/>
        <v>0</v>
      </c>
    </row>
    <row r="100" spans="1:7" ht="20.25">
      <c r="A100" s="423" t="s">
        <v>53</v>
      </c>
      <c r="B100" s="416" t="s">
        <v>326</v>
      </c>
      <c r="C100" s="415">
        <v>1811.2</v>
      </c>
      <c r="D100" s="415">
        <v>1493.96478</v>
      </c>
      <c r="E100" s="417">
        <f t="shared" si="2"/>
        <v>82.484804549469956</v>
      </c>
      <c r="F100" s="417">
        <f t="shared" si="3"/>
        <v>-317.23522000000003</v>
      </c>
    </row>
    <row r="101" spans="1:7" ht="36.75" customHeight="1">
      <c r="A101" s="424" t="s">
        <v>55</v>
      </c>
      <c r="B101" s="425" t="s">
        <v>56</v>
      </c>
      <c r="C101" s="415">
        <v>2277.8000000000002</v>
      </c>
      <c r="D101" s="415">
        <v>2095.0275000000001</v>
      </c>
      <c r="E101" s="417">
        <f t="shared" si="2"/>
        <v>91.975919747124408</v>
      </c>
      <c r="F101" s="417">
        <f t="shared" si="3"/>
        <v>-182.77250000000004</v>
      </c>
    </row>
    <row r="102" spans="1:7" ht="21" customHeight="1">
      <c r="A102" s="424" t="s">
        <v>218</v>
      </c>
      <c r="B102" s="425" t="s">
        <v>219</v>
      </c>
      <c r="C102" s="415">
        <v>0</v>
      </c>
      <c r="D102" s="415">
        <v>0</v>
      </c>
      <c r="E102" s="417" t="e">
        <f t="shared" si="2"/>
        <v>#DIV/0!</v>
      </c>
      <c r="F102" s="417">
        <f t="shared" si="3"/>
        <v>0</v>
      </c>
    </row>
    <row r="103" spans="1:7" ht="34.5" customHeight="1">
      <c r="A103" s="424" t="s">
        <v>357</v>
      </c>
      <c r="B103" s="425" t="s">
        <v>358</v>
      </c>
      <c r="C103" s="426">
        <v>10067.291999999999</v>
      </c>
      <c r="D103" s="415">
        <v>6911.2293900000004</v>
      </c>
      <c r="E103" s="417">
        <f t="shared" si="2"/>
        <v>68.650332085331399</v>
      </c>
      <c r="F103" s="417">
        <f t="shared" si="3"/>
        <v>-3156.062609999999</v>
      </c>
    </row>
    <row r="104" spans="1:7" s="6" customFormat="1" ht="27" customHeight="1">
      <c r="A104" s="410" t="s">
        <v>57</v>
      </c>
      <c r="B104" s="411" t="s">
        <v>58</v>
      </c>
      <c r="C104" s="427">
        <f>SUM(C105:C110)</f>
        <v>188030.753</v>
      </c>
      <c r="D104" s="427">
        <f>SUM(D105:D110)</f>
        <v>171511.57893000002</v>
      </c>
      <c r="E104" s="412">
        <f t="shared" si="2"/>
        <v>91.214642388843714</v>
      </c>
      <c r="F104" s="412">
        <f t="shared" si="3"/>
        <v>-16519.174069999979</v>
      </c>
    </row>
    <row r="105" spans="1:7" ht="27" customHeight="1">
      <c r="A105" s="413" t="s">
        <v>417</v>
      </c>
      <c r="B105" s="414" t="s">
        <v>418</v>
      </c>
      <c r="C105" s="428">
        <v>200</v>
      </c>
      <c r="D105" s="428">
        <v>200</v>
      </c>
      <c r="E105" s="417">
        <f t="shared" si="2"/>
        <v>100</v>
      </c>
      <c r="F105" s="417">
        <f t="shared" si="3"/>
        <v>0</v>
      </c>
    </row>
    <row r="106" spans="1:7" ht="21" hidden="1" customHeight="1">
      <c r="A106" s="413" t="s">
        <v>59</v>
      </c>
      <c r="B106" s="416" t="s">
        <v>60</v>
      </c>
      <c r="C106" s="428">
        <v>0</v>
      </c>
      <c r="D106" s="415">
        <v>0</v>
      </c>
      <c r="E106" s="417" t="e">
        <f t="shared" si="2"/>
        <v>#DIV/0!</v>
      </c>
      <c r="F106" s="417">
        <f t="shared" si="3"/>
        <v>0</v>
      </c>
    </row>
    <row r="107" spans="1:7" s="6" customFormat="1" ht="20.25" customHeight="1">
      <c r="A107" s="413" t="s">
        <v>59</v>
      </c>
      <c r="B107" s="416" t="s">
        <v>323</v>
      </c>
      <c r="C107" s="428">
        <v>61.3</v>
      </c>
      <c r="D107" s="415">
        <v>27.172000000000001</v>
      </c>
      <c r="E107" s="417">
        <f t="shared" si="2"/>
        <v>44.326264274061991</v>
      </c>
      <c r="F107" s="417">
        <f t="shared" si="3"/>
        <v>-34.128</v>
      </c>
      <c r="G107" s="50"/>
    </row>
    <row r="108" spans="1:7" s="6" customFormat="1" ht="20.25" customHeight="1">
      <c r="A108" s="413" t="s">
        <v>61</v>
      </c>
      <c r="B108" s="416" t="s">
        <v>412</v>
      </c>
      <c r="C108" s="428">
        <v>0</v>
      </c>
      <c r="D108" s="415"/>
      <c r="E108" s="417"/>
      <c r="F108" s="417"/>
      <c r="G108" s="50"/>
    </row>
    <row r="109" spans="1:7" ht="26.25" customHeight="1">
      <c r="A109" s="413" t="s">
        <v>63</v>
      </c>
      <c r="B109" s="416" t="s">
        <v>64</v>
      </c>
      <c r="C109" s="428">
        <v>186828.05300000001</v>
      </c>
      <c r="D109" s="415">
        <v>170587.60286000001</v>
      </c>
      <c r="E109" s="417">
        <f t="shared" si="2"/>
        <v>91.307274320307769</v>
      </c>
      <c r="F109" s="417">
        <f t="shared" si="3"/>
        <v>-16240.450140000001</v>
      </c>
    </row>
    <row r="110" spans="1:7" ht="20.25">
      <c r="A110" s="413" t="s">
        <v>65</v>
      </c>
      <c r="B110" s="416" t="s">
        <v>66</v>
      </c>
      <c r="C110" s="428">
        <v>941.4</v>
      </c>
      <c r="D110" s="415">
        <v>696.80407000000002</v>
      </c>
      <c r="E110" s="417">
        <f t="shared" si="2"/>
        <v>74.017853197365639</v>
      </c>
      <c r="F110" s="417">
        <f t="shared" si="3"/>
        <v>-244.59592999999995</v>
      </c>
    </row>
    <row r="111" spans="1:7" s="6" customFormat="1" ht="20.25">
      <c r="A111" s="410" t="s">
        <v>67</v>
      </c>
      <c r="B111" s="411" t="s">
        <v>68</v>
      </c>
      <c r="C111" s="401">
        <f>SUM(C112:C114)</f>
        <v>54074.568499999994</v>
      </c>
      <c r="D111" s="401">
        <f>SUM(D112:D114)</f>
        <v>15287.70788</v>
      </c>
      <c r="E111" s="412">
        <f t="shared" si="2"/>
        <v>28.271530044664161</v>
      </c>
      <c r="F111" s="412">
        <f t="shared" si="3"/>
        <v>-38786.860619999992</v>
      </c>
    </row>
    <row r="112" spans="1:7" ht="20.25">
      <c r="A112" s="413" t="s">
        <v>69</v>
      </c>
      <c r="B112" s="429" t="s">
        <v>70</v>
      </c>
      <c r="C112" s="415">
        <v>1153.3</v>
      </c>
      <c r="D112" s="415">
        <v>463.44434999999999</v>
      </c>
      <c r="E112" s="417">
        <f t="shared" si="2"/>
        <v>40.184197520159543</v>
      </c>
      <c r="F112" s="417">
        <f t="shared" si="3"/>
        <v>-689.85564999999997</v>
      </c>
    </row>
    <row r="113" spans="1:7" ht="23.25" customHeight="1">
      <c r="A113" s="413" t="s">
        <v>71</v>
      </c>
      <c r="B113" s="429" t="s">
        <v>72</v>
      </c>
      <c r="C113" s="415">
        <v>6677.9</v>
      </c>
      <c r="D113" s="415">
        <v>6033.9052499999998</v>
      </c>
      <c r="E113" s="417">
        <f t="shared" si="2"/>
        <v>90.356328336752583</v>
      </c>
      <c r="F113" s="417">
        <f t="shared" si="3"/>
        <v>-643.99474999999984</v>
      </c>
    </row>
    <row r="114" spans="1:7" ht="19.5" customHeight="1">
      <c r="A114" s="413" t="s">
        <v>73</v>
      </c>
      <c r="B114" s="416" t="s">
        <v>74</v>
      </c>
      <c r="C114" s="415">
        <v>46243.368499999997</v>
      </c>
      <c r="D114" s="415">
        <v>8790.3582800000004</v>
      </c>
      <c r="E114" s="417">
        <f t="shared" si="2"/>
        <v>19.008905633680211</v>
      </c>
      <c r="F114" s="417">
        <f t="shared" si="3"/>
        <v>-37453.010219999996</v>
      </c>
    </row>
    <row r="115" spans="1:7" s="6" customFormat="1" ht="20.25">
      <c r="A115" s="410" t="s">
        <v>75</v>
      </c>
      <c r="B115" s="430" t="s">
        <v>76</v>
      </c>
      <c r="C115" s="427">
        <f>SUM(C116)</f>
        <v>232</v>
      </c>
      <c r="D115" s="427">
        <f>SUM(D116)</f>
        <v>210.72900000000001</v>
      </c>
      <c r="E115" s="412">
        <f t="shared" si="2"/>
        <v>90.831465517241384</v>
      </c>
      <c r="F115" s="412">
        <f t="shared" si="3"/>
        <v>-21.270999999999987</v>
      </c>
    </row>
    <row r="116" spans="1:7" ht="40.5">
      <c r="A116" s="413" t="s">
        <v>77</v>
      </c>
      <c r="B116" s="429" t="s">
        <v>78</v>
      </c>
      <c r="C116" s="417">
        <v>232</v>
      </c>
      <c r="D116" s="418">
        <v>210.72900000000001</v>
      </c>
      <c r="E116" s="417">
        <f t="shared" si="2"/>
        <v>90.831465517241384</v>
      </c>
      <c r="F116" s="417">
        <f t="shared" si="3"/>
        <v>-21.270999999999987</v>
      </c>
    </row>
    <row r="117" spans="1:7" s="6" customFormat="1" ht="20.25">
      <c r="A117" s="410" t="s">
        <v>79</v>
      </c>
      <c r="B117" s="430" t="s">
        <v>80</v>
      </c>
      <c r="C117" s="427">
        <f>SUM(C118:C122)</f>
        <v>426952.14162999997</v>
      </c>
      <c r="D117" s="427">
        <f>D118+D119+D121+D122+D120</f>
        <v>357882.79095</v>
      </c>
      <c r="E117" s="412">
        <f t="shared" si="2"/>
        <v>83.822694877156508</v>
      </c>
      <c r="F117" s="412">
        <f t="shared" si="3"/>
        <v>-69069.350679999974</v>
      </c>
    </row>
    <row r="118" spans="1:7" ht="20.25">
      <c r="A118" s="413" t="s">
        <v>81</v>
      </c>
      <c r="B118" s="429" t="s">
        <v>257</v>
      </c>
      <c r="C118" s="428">
        <v>102295.23020000001</v>
      </c>
      <c r="D118" s="415">
        <v>90112.647679999995</v>
      </c>
      <c r="E118" s="417">
        <f t="shared" si="2"/>
        <v>88.090761909248812</v>
      </c>
      <c r="F118" s="417">
        <f t="shared" si="3"/>
        <v>-12182.582520000011</v>
      </c>
    </row>
    <row r="119" spans="1:7" ht="20.25">
      <c r="A119" s="413" t="s">
        <v>82</v>
      </c>
      <c r="B119" s="429" t="s">
        <v>258</v>
      </c>
      <c r="C119" s="428">
        <v>295557.77980999998</v>
      </c>
      <c r="D119" s="415">
        <v>242446.54784000001</v>
      </c>
      <c r="E119" s="417">
        <f t="shared" si="2"/>
        <v>82.030169530931431</v>
      </c>
      <c r="F119" s="417">
        <f t="shared" si="3"/>
        <v>-53111.231969999964</v>
      </c>
    </row>
    <row r="120" spans="1:7" ht="20.25">
      <c r="A120" s="413" t="s">
        <v>334</v>
      </c>
      <c r="B120" s="429" t="s">
        <v>335</v>
      </c>
      <c r="C120" s="428">
        <v>21726.278620000001</v>
      </c>
      <c r="D120" s="415">
        <v>18569.787219999998</v>
      </c>
      <c r="E120" s="417">
        <f t="shared" si="2"/>
        <v>85.471550580713298</v>
      </c>
      <c r="F120" s="417">
        <f t="shared" si="3"/>
        <v>-3156.4914000000026</v>
      </c>
    </row>
    <row r="121" spans="1:7" ht="20.25">
      <c r="A121" s="413" t="s">
        <v>83</v>
      </c>
      <c r="B121" s="429" t="s">
        <v>259</v>
      </c>
      <c r="C121" s="428">
        <v>4789.5529999999999</v>
      </c>
      <c r="D121" s="415">
        <v>4712.5125500000004</v>
      </c>
      <c r="E121" s="417">
        <f t="shared" si="2"/>
        <v>98.391489769504588</v>
      </c>
      <c r="F121" s="417">
        <f t="shared" si="3"/>
        <v>-77.04044999999951</v>
      </c>
    </row>
    <row r="122" spans="1:7" ht="20.25">
      <c r="A122" s="413" t="s">
        <v>84</v>
      </c>
      <c r="B122" s="429" t="s">
        <v>260</v>
      </c>
      <c r="C122" s="428">
        <v>2583.3000000000002</v>
      </c>
      <c r="D122" s="415">
        <v>2041.29566</v>
      </c>
      <c r="E122" s="417">
        <f t="shared" si="2"/>
        <v>79.01891611504665</v>
      </c>
      <c r="F122" s="417">
        <f t="shared" si="3"/>
        <v>-542.00434000000018</v>
      </c>
    </row>
    <row r="123" spans="1:7" s="6" customFormat="1" ht="20.25">
      <c r="A123" s="410" t="s">
        <v>85</v>
      </c>
      <c r="B123" s="411" t="s">
        <v>86</v>
      </c>
      <c r="C123" s="401">
        <f>SUM(C124:C125)</f>
        <v>53668.98216</v>
      </c>
      <c r="D123" s="401">
        <f>SUM(D124:D125)</f>
        <v>42524.474040000001</v>
      </c>
      <c r="E123" s="412">
        <f t="shared" si="2"/>
        <v>79.23473173615335</v>
      </c>
      <c r="F123" s="412">
        <f t="shared" si="3"/>
        <v>-11144.508119999999</v>
      </c>
    </row>
    <row r="124" spans="1:7" ht="20.25">
      <c r="A124" s="413" t="s">
        <v>87</v>
      </c>
      <c r="B124" s="416" t="s">
        <v>233</v>
      </c>
      <c r="C124" s="415">
        <v>52360.284160000003</v>
      </c>
      <c r="D124" s="415">
        <v>41420.28024</v>
      </c>
      <c r="E124" s="417">
        <f t="shared" si="2"/>
        <v>79.106293834139493</v>
      </c>
      <c r="F124" s="417">
        <f t="shared" si="3"/>
        <v>-10940.003920000003</v>
      </c>
    </row>
    <row r="125" spans="1:7" ht="40.5">
      <c r="A125" s="413" t="s">
        <v>272</v>
      </c>
      <c r="B125" s="416" t="s">
        <v>273</v>
      </c>
      <c r="C125" s="415">
        <v>1308.6980000000001</v>
      </c>
      <c r="D125" s="415">
        <v>1104.1938</v>
      </c>
      <c r="E125" s="417">
        <f t="shared" si="2"/>
        <v>84.373461256913345</v>
      </c>
      <c r="F125" s="417">
        <f t="shared" si="3"/>
        <v>-204.50420000000008</v>
      </c>
    </row>
    <row r="126" spans="1:7" s="6" customFormat="1" ht="20.25">
      <c r="A126" s="431">
        <v>1000</v>
      </c>
      <c r="B126" s="411" t="s">
        <v>88</v>
      </c>
      <c r="C126" s="401">
        <f>SUM(C127:C130)</f>
        <v>42488.654000000002</v>
      </c>
      <c r="D126" s="480">
        <f>D127+D128+D129+D130</f>
        <v>40769.068630000002</v>
      </c>
      <c r="E126" s="412">
        <f t="shared" si="2"/>
        <v>95.952836326610864</v>
      </c>
      <c r="F126" s="412">
        <f t="shared" si="3"/>
        <v>-1719.5853700000007</v>
      </c>
      <c r="G126" s="94"/>
    </row>
    <row r="127" spans="1:7" ht="20.25">
      <c r="A127" s="432">
        <v>1001</v>
      </c>
      <c r="B127" s="433" t="s">
        <v>89</v>
      </c>
      <c r="C127" s="415">
        <v>60</v>
      </c>
      <c r="D127" s="415">
        <v>48.965699999999998</v>
      </c>
      <c r="E127" s="417">
        <f t="shared" si="2"/>
        <v>81.609499999999997</v>
      </c>
      <c r="F127" s="417">
        <f t="shared" si="3"/>
        <v>-11.034300000000002</v>
      </c>
    </row>
    <row r="128" spans="1:7" ht="20.25">
      <c r="A128" s="432">
        <v>1003</v>
      </c>
      <c r="B128" s="433" t="s">
        <v>90</v>
      </c>
      <c r="C128" s="415">
        <v>15472.56732</v>
      </c>
      <c r="D128" s="415">
        <v>14001.690919999999</v>
      </c>
      <c r="E128" s="417">
        <f t="shared" si="2"/>
        <v>90.493650022134787</v>
      </c>
      <c r="F128" s="417">
        <f t="shared" si="3"/>
        <v>-1470.876400000001</v>
      </c>
    </row>
    <row r="129" spans="1:6" ht="20.25">
      <c r="A129" s="432">
        <v>1004</v>
      </c>
      <c r="B129" s="433" t="s">
        <v>91</v>
      </c>
      <c r="C129" s="415">
        <v>26746.686679999999</v>
      </c>
      <c r="D129" s="481">
        <v>26555.606950000001</v>
      </c>
      <c r="E129" s="417">
        <f t="shared" si="2"/>
        <v>99.285594764368028</v>
      </c>
      <c r="F129" s="417">
        <f t="shared" si="3"/>
        <v>-191.07972999999765</v>
      </c>
    </row>
    <row r="130" spans="1:6" ht="33.75" customHeight="1">
      <c r="A130" s="413" t="s">
        <v>92</v>
      </c>
      <c r="B130" s="416" t="s">
        <v>93</v>
      </c>
      <c r="C130" s="415">
        <v>209.4</v>
      </c>
      <c r="D130" s="415">
        <v>162.80506</v>
      </c>
      <c r="E130" s="417">
        <f t="shared" si="2"/>
        <v>77.748357211079266</v>
      </c>
      <c r="F130" s="417">
        <f t="shared" si="3"/>
        <v>-46.594940000000008</v>
      </c>
    </row>
    <row r="131" spans="1:6" ht="20.25">
      <c r="A131" s="410" t="s">
        <v>94</v>
      </c>
      <c r="B131" s="411" t="s">
        <v>95</v>
      </c>
      <c r="C131" s="401">
        <f>C132+C133</f>
        <v>7108.8652099999999</v>
      </c>
      <c r="D131" s="401">
        <f>D132+D133</f>
        <v>5516.2069499999998</v>
      </c>
      <c r="E131" s="417">
        <f t="shared" si="2"/>
        <v>77.59616741980679</v>
      </c>
      <c r="F131" s="401">
        <f>F132+F133+F134+F135+F136</f>
        <v>-1592.6582600000006</v>
      </c>
    </row>
    <row r="132" spans="1:6" ht="20.25">
      <c r="A132" s="413" t="s">
        <v>96</v>
      </c>
      <c r="B132" s="416" t="s">
        <v>97</v>
      </c>
      <c r="C132" s="415">
        <v>494.86</v>
      </c>
      <c r="D132" s="415">
        <v>428.80694999999997</v>
      </c>
      <c r="E132" s="417">
        <f t="shared" si="2"/>
        <v>86.652174352342072</v>
      </c>
      <c r="F132" s="417">
        <f t="shared" ref="F132:F140" si="4">SUM(D132-C132)</f>
        <v>-66.053050000000042</v>
      </c>
    </row>
    <row r="133" spans="1:6" ht="20.25" customHeight="1">
      <c r="A133" s="413" t="s">
        <v>98</v>
      </c>
      <c r="B133" s="416" t="s">
        <v>99</v>
      </c>
      <c r="C133" s="415">
        <v>6614.0052100000003</v>
      </c>
      <c r="D133" s="415">
        <v>5087.3999999999996</v>
      </c>
      <c r="E133" s="417">
        <f t="shared" si="2"/>
        <v>76.91859680285917</v>
      </c>
      <c r="F133" s="417">
        <f t="shared" si="4"/>
        <v>-1526.6052100000006</v>
      </c>
    </row>
    <row r="134" spans="1:6" ht="15.75" hidden="1" customHeight="1">
      <c r="A134" s="413" t="s">
        <v>100</v>
      </c>
      <c r="B134" s="416" t="s">
        <v>101</v>
      </c>
      <c r="C134" s="415">
        <f>SUM(C124:C125)</f>
        <v>53668.98216</v>
      </c>
      <c r="D134" s="415"/>
      <c r="E134" s="417">
        <f t="shared" si="2"/>
        <v>0</v>
      </c>
      <c r="F134" s="417"/>
    </row>
    <row r="135" spans="1:6" ht="15.75" hidden="1" customHeight="1">
      <c r="A135" s="413" t="s">
        <v>102</v>
      </c>
      <c r="B135" s="416" t="s">
        <v>103</v>
      </c>
      <c r="C135" s="415"/>
      <c r="D135" s="415"/>
      <c r="E135" s="417" t="e">
        <f t="shared" si="2"/>
        <v>#DIV/0!</v>
      </c>
      <c r="F135" s="417"/>
    </row>
    <row r="136" spans="1:6" ht="15.75" hidden="1" customHeight="1">
      <c r="A136" s="413" t="s">
        <v>104</v>
      </c>
      <c r="B136" s="416" t="s">
        <v>105</v>
      </c>
      <c r="C136" s="415"/>
      <c r="D136" s="415"/>
      <c r="E136" s="417" t="e">
        <f t="shared" si="2"/>
        <v>#DIV/0!</v>
      </c>
      <c r="F136" s="417"/>
    </row>
    <row r="137" spans="1:6" ht="20.25" customHeight="1">
      <c r="A137" s="410" t="s">
        <v>106</v>
      </c>
      <c r="B137" s="411" t="s">
        <v>107</v>
      </c>
      <c r="C137" s="401">
        <f>C138</f>
        <v>45.14</v>
      </c>
      <c r="D137" s="482">
        <f>D138</f>
        <v>0</v>
      </c>
      <c r="E137" s="417">
        <f>SUM(D137/C137*100)</f>
        <v>0</v>
      </c>
      <c r="F137" s="417">
        <f t="shared" si="4"/>
        <v>-45.14</v>
      </c>
    </row>
    <row r="138" spans="1:6" ht="22.5" customHeight="1">
      <c r="A138" s="413" t="s">
        <v>108</v>
      </c>
      <c r="B138" s="416" t="s">
        <v>109</v>
      </c>
      <c r="C138" s="415">
        <v>45.14</v>
      </c>
      <c r="D138" s="415">
        <v>0</v>
      </c>
      <c r="E138" s="417">
        <f t="shared" si="2"/>
        <v>0</v>
      </c>
      <c r="F138" s="417">
        <f t="shared" si="4"/>
        <v>-45.14</v>
      </c>
    </row>
    <row r="139" spans="1:6" ht="19.5" hidden="1" customHeight="1">
      <c r="A139" s="410" t="s">
        <v>110</v>
      </c>
      <c r="B139" s="420" t="s">
        <v>111</v>
      </c>
      <c r="C139" s="434">
        <f>C140</f>
        <v>0</v>
      </c>
      <c r="D139" s="434">
        <v>0</v>
      </c>
      <c r="E139" s="417"/>
      <c r="F139" s="412">
        <f t="shared" si="4"/>
        <v>0</v>
      </c>
    </row>
    <row r="140" spans="1:6" ht="37.5" hidden="1" customHeight="1">
      <c r="A140" s="413" t="s">
        <v>112</v>
      </c>
      <c r="B140" s="422" t="s">
        <v>113</v>
      </c>
      <c r="C140" s="418">
        <v>0</v>
      </c>
      <c r="D140" s="418">
        <v>0</v>
      </c>
      <c r="E140" s="412"/>
      <c r="F140" s="417">
        <f t="shared" si="4"/>
        <v>0</v>
      </c>
    </row>
    <row r="141" spans="1:6" s="6" customFormat="1" ht="19.5" customHeight="1">
      <c r="A141" s="431">
        <v>1400</v>
      </c>
      <c r="B141" s="435" t="s">
        <v>114</v>
      </c>
      <c r="C141" s="427">
        <f>C142+C143+C144</f>
        <v>49598.188569999998</v>
      </c>
      <c r="D141" s="427">
        <f>D142+D143+D144</f>
        <v>42330.315730000002</v>
      </c>
      <c r="E141" s="412">
        <f t="shared" si="2"/>
        <v>85.34649540730193</v>
      </c>
      <c r="F141" s="412">
        <f t="shared" si="3"/>
        <v>-7267.8728399999964</v>
      </c>
    </row>
    <row r="142" spans="1:6" ht="40.5" customHeight="1">
      <c r="A142" s="432">
        <v>1401</v>
      </c>
      <c r="B142" s="433" t="s">
        <v>115</v>
      </c>
      <c r="C142" s="428">
        <v>28294</v>
      </c>
      <c r="D142" s="415">
        <v>26483.152999999998</v>
      </c>
      <c r="E142" s="417">
        <f t="shared" si="2"/>
        <v>93.599890436134871</v>
      </c>
      <c r="F142" s="417">
        <f t="shared" si="3"/>
        <v>-1810.8470000000016</v>
      </c>
    </row>
    <row r="143" spans="1:6" ht="24.75" customHeight="1">
      <c r="A143" s="432">
        <v>1402</v>
      </c>
      <c r="B143" s="433" t="s">
        <v>116</v>
      </c>
      <c r="C143" s="428">
        <v>7816.308</v>
      </c>
      <c r="D143" s="415">
        <v>6027.6927999999998</v>
      </c>
      <c r="E143" s="417">
        <f t="shared" si="2"/>
        <v>77.116879222261971</v>
      </c>
      <c r="F143" s="417">
        <f t="shared" si="3"/>
        <v>-1788.6152000000002</v>
      </c>
    </row>
    <row r="144" spans="1:6" ht="27" customHeight="1">
      <c r="A144" s="432">
        <v>1403</v>
      </c>
      <c r="B144" s="433" t="s">
        <v>117</v>
      </c>
      <c r="C144" s="428">
        <v>13487.880569999999</v>
      </c>
      <c r="D144" s="415">
        <v>9819.4699299999993</v>
      </c>
      <c r="E144" s="417">
        <f t="shared" si="2"/>
        <v>72.802171394078414</v>
      </c>
      <c r="F144" s="417">
        <f t="shared" si="3"/>
        <v>-3668.4106400000001</v>
      </c>
    </row>
    <row r="145" spans="1:8" s="6" customFormat="1" ht="20.25">
      <c r="A145" s="431"/>
      <c r="B145" s="436" t="s">
        <v>118</v>
      </c>
      <c r="C145" s="459">
        <f>C88+C96+C98+C104+C111+C115+C117+C123+C126+C131+C137+C139+C141</f>
        <v>894623.05582999985</v>
      </c>
      <c r="D145" s="459">
        <f>D88+D96+D98+D104+D111+D115+D117+D123+D126+D131+D137+D139+D141</f>
        <v>728068.85525000002</v>
      </c>
      <c r="E145" s="412">
        <f t="shared" si="2"/>
        <v>81.38275114925618</v>
      </c>
      <c r="F145" s="412">
        <f t="shared" si="3"/>
        <v>-166554.20057999983</v>
      </c>
      <c r="G145" s="94"/>
      <c r="H145" s="94"/>
    </row>
    <row r="146" spans="1:8" ht="20.25">
      <c r="A146" s="437"/>
      <c r="B146" s="438"/>
      <c r="C146" s="439"/>
      <c r="D146" s="460"/>
      <c r="E146" s="440"/>
      <c r="F146" s="440"/>
    </row>
    <row r="147" spans="1:8" s="65" customFormat="1" ht="20.25">
      <c r="A147" s="441" t="s">
        <v>119</v>
      </c>
      <c r="B147" s="441"/>
      <c r="C147" s="442"/>
      <c r="D147" s="442"/>
      <c r="E147" s="443"/>
      <c r="F147" s="443"/>
    </row>
    <row r="148" spans="1:8" s="65" customFormat="1" ht="20.25">
      <c r="A148" s="444" t="s">
        <v>120</v>
      </c>
      <c r="B148" s="444"/>
      <c r="C148" s="442" t="s">
        <v>121</v>
      </c>
      <c r="D148" s="442"/>
      <c r="E148" s="443"/>
      <c r="F148" s="443"/>
    </row>
  </sheetData>
  <customSheetViews>
    <customSheetView guid="{120EA1E0-6265-45F1-AFBB-CEB5CB007D02}" scale="60" showPageBreaks="1" printArea="1" hiddenRows="1" view="pageBreakPreview" topLeftCell="A42">
      <selection activeCell="D75" sqref="D7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B31C8DB7-3E78-4144-A6B5-8DE36DE63F0E}" scale="67" showPageBreaks="1" hiddenRows="1" view="pageBreakPreview" topLeftCell="A53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4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6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9"/>
      <headerFooter alignWithMargins="0"/>
    </customSheetView>
    <customSheetView guid="{61528DAC-5C4C-48F4-ADE2-8A724B05A086}" scale="60" showPageBreaks="1" printArea="1" hiddenRows="1" view="pageBreakPreview" topLeftCell="A42">
      <selection activeCell="D75" sqref="D7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29" zoomScale="70" zoomScaleSheetLayoutView="70" workbookViewId="0">
      <selection activeCell="D77" sqref="D77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37" t="s">
        <v>423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592.81500000000005</v>
      </c>
      <c r="D4" s="5">
        <f>D5+D12+D14+D17+D20+D7</f>
        <v>584.22963000000004</v>
      </c>
      <c r="E4" s="5">
        <f>SUM(D4/C4*100)</f>
        <v>98.551762354191439</v>
      </c>
      <c r="F4" s="5">
        <f>SUM(D4-C4)</f>
        <v>-8.5853700000000117</v>
      </c>
    </row>
    <row r="5" spans="1:6" s="6" customFormat="1">
      <c r="A5" s="68">
        <v>1010000000</v>
      </c>
      <c r="B5" s="67" t="s">
        <v>5</v>
      </c>
      <c r="C5" s="5">
        <f>C6</f>
        <v>83.85</v>
      </c>
      <c r="D5" s="5">
        <f>D6</f>
        <v>64.770740000000004</v>
      </c>
      <c r="E5" s="5">
        <f t="shared" ref="E5:E47" si="0">SUM(D5/C5*100)</f>
        <v>77.245963029218856</v>
      </c>
      <c r="F5" s="5">
        <f t="shared" ref="F5:F47" si="1">SUM(D5-C5)</f>
        <v>-19.079259999999991</v>
      </c>
    </row>
    <row r="6" spans="1:6">
      <c r="A6" s="7">
        <v>1010200001</v>
      </c>
      <c r="B6" s="8" t="s">
        <v>228</v>
      </c>
      <c r="C6" s="9">
        <v>83.85</v>
      </c>
      <c r="D6" s="10">
        <v>64.770740000000004</v>
      </c>
      <c r="E6" s="9">
        <f t="shared" ref="E6:E11" si="2">SUM(D6/C6*100)</f>
        <v>77.245963029218856</v>
      </c>
      <c r="F6" s="9">
        <f t="shared" si="1"/>
        <v>-19.079259999999991</v>
      </c>
    </row>
    <row r="7" spans="1:6" ht="31.5">
      <c r="A7" s="3">
        <v>1030000000</v>
      </c>
      <c r="B7" s="13" t="s">
        <v>280</v>
      </c>
      <c r="C7" s="5">
        <f>C8+C10+C9</f>
        <v>221.96500000000003</v>
      </c>
      <c r="D7" s="5">
        <f>D8+D10+D9+D11</f>
        <v>247.64415</v>
      </c>
      <c r="E7" s="9">
        <f t="shared" si="2"/>
        <v>111.56900862748628</v>
      </c>
      <c r="F7" s="9">
        <f t="shared" si="1"/>
        <v>25.679149999999964</v>
      </c>
    </row>
    <row r="8" spans="1:6">
      <c r="A8" s="7">
        <v>1030223001</v>
      </c>
      <c r="B8" s="8" t="s">
        <v>282</v>
      </c>
      <c r="C8" s="9">
        <v>82.8</v>
      </c>
      <c r="D8" s="10">
        <v>112.55817999999999</v>
      </c>
      <c r="E8" s="9">
        <f t="shared" si="2"/>
        <v>135.93983091787439</v>
      </c>
      <c r="F8" s="9">
        <f t="shared" si="1"/>
        <v>29.758179999999996</v>
      </c>
    </row>
    <row r="9" spans="1:6">
      <c r="A9" s="7">
        <v>1030224001</v>
      </c>
      <c r="B9" s="8" t="s">
        <v>286</v>
      </c>
      <c r="C9" s="9">
        <v>0.86499999999999999</v>
      </c>
      <c r="D9" s="10">
        <v>0.82882999999999996</v>
      </c>
      <c r="E9" s="9">
        <f t="shared" si="2"/>
        <v>95.818497109826581</v>
      </c>
      <c r="F9" s="9">
        <f t="shared" si="1"/>
        <v>-3.6170000000000035E-2</v>
      </c>
    </row>
    <row r="10" spans="1:6">
      <c r="A10" s="7">
        <v>1030225001</v>
      </c>
      <c r="B10" s="8" t="s">
        <v>281</v>
      </c>
      <c r="C10" s="9">
        <v>138.30000000000001</v>
      </c>
      <c r="D10" s="10">
        <v>151.20884000000001</v>
      </c>
      <c r="E10" s="9">
        <f t="shared" si="2"/>
        <v>109.33394070860447</v>
      </c>
      <c r="F10" s="9">
        <f t="shared" si="1"/>
        <v>12.908839999999998</v>
      </c>
    </row>
    <row r="11" spans="1:6">
      <c r="A11" s="7">
        <v>1030226001</v>
      </c>
      <c r="B11" s="8" t="s">
        <v>287</v>
      </c>
      <c r="C11" s="9">
        <v>0</v>
      </c>
      <c r="D11" s="10">
        <v>-16.951699999999999</v>
      </c>
      <c r="E11" s="9" t="e">
        <f t="shared" si="2"/>
        <v>#DIV/0!</v>
      </c>
      <c r="F11" s="9">
        <f t="shared" si="1"/>
        <v>-16.951699999999999</v>
      </c>
    </row>
    <row r="12" spans="1:6" s="6" customFormat="1">
      <c r="A12" s="68">
        <v>1050000000</v>
      </c>
      <c r="B12" s="67" t="s">
        <v>6</v>
      </c>
      <c r="C12" s="5">
        <f>C13</f>
        <v>42</v>
      </c>
      <c r="D12" s="5">
        <f>D13</f>
        <v>40.129199999999997</v>
      </c>
      <c r="E12" s="5">
        <f t="shared" si="0"/>
        <v>95.545714285714283</v>
      </c>
      <c r="F12" s="5">
        <f t="shared" si="1"/>
        <v>-1.8708000000000027</v>
      </c>
    </row>
    <row r="13" spans="1:6" ht="15.75" customHeight="1">
      <c r="A13" s="7">
        <v>1050300000</v>
      </c>
      <c r="B13" s="11" t="s">
        <v>229</v>
      </c>
      <c r="C13" s="12">
        <v>42</v>
      </c>
      <c r="D13" s="10">
        <v>40.129199999999997</v>
      </c>
      <c r="E13" s="9">
        <f t="shared" si="0"/>
        <v>95.545714285714283</v>
      </c>
      <c r="F13" s="9">
        <f t="shared" si="1"/>
        <v>-1.8708000000000027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240</v>
      </c>
      <c r="D14" s="5">
        <f>D15+D16</f>
        <v>230.08553999999998</v>
      </c>
      <c r="E14" s="5">
        <f t="shared" si="0"/>
        <v>95.868974999999992</v>
      </c>
      <c r="F14" s="5">
        <f t="shared" si="1"/>
        <v>-9.9144600000000196</v>
      </c>
    </row>
    <row r="15" spans="1:6" s="6" customFormat="1" ht="15.75" customHeight="1">
      <c r="A15" s="7">
        <v>1060100000</v>
      </c>
      <c r="B15" s="11" t="s">
        <v>8</v>
      </c>
      <c r="C15" s="9">
        <v>40</v>
      </c>
      <c r="D15" s="10">
        <v>45.584150000000001</v>
      </c>
      <c r="E15" s="9">
        <f t="shared" si="0"/>
        <v>113.960375</v>
      </c>
      <c r="F15" s="9">
        <f>SUM(D15-C15)</f>
        <v>5.5841500000000011</v>
      </c>
    </row>
    <row r="16" spans="1:6" ht="15" customHeight="1">
      <c r="A16" s="7">
        <v>1060600000</v>
      </c>
      <c r="B16" s="11" t="s">
        <v>7</v>
      </c>
      <c r="C16" s="9">
        <v>200</v>
      </c>
      <c r="D16" s="10">
        <v>184.50138999999999</v>
      </c>
      <c r="E16" s="9">
        <f t="shared" si="0"/>
        <v>92.250694999999993</v>
      </c>
      <c r="F16" s="9">
        <f t="shared" si="1"/>
        <v>-15.498610000000014</v>
      </c>
    </row>
    <row r="17" spans="1:6" s="6" customFormat="1" ht="15" customHeight="1">
      <c r="A17" s="3">
        <v>1080000000</v>
      </c>
      <c r="B17" s="4" t="s">
        <v>10</v>
      </c>
      <c r="C17" s="5">
        <f>C18</f>
        <v>5</v>
      </c>
      <c r="D17" s="5">
        <f>D18</f>
        <v>1.6</v>
      </c>
      <c r="E17" s="9">
        <f t="shared" si="0"/>
        <v>32</v>
      </c>
      <c r="F17" s="5">
        <f t="shared" si="1"/>
        <v>-3.4</v>
      </c>
    </row>
    <row r="18" spans="1:6" ht="18.75" customHeight="1">
      <c r="A18" s="7">
        <v>1080402001</v>
      </c>
      <c r="B18" s="8" t="s">
        <v>227</v>
      </c>
      <c r="C18" s="9">
        <v>5</v>
      </c>
      <c r="D18" s="10">
        <v>1.6</v>
      </c>
      <c r="E18" s="9">
        <f t="shared" si="0"/>
        <v>32</v>
      </c>
      <c r="F18" s="9">
        <f t="shared" si="1"/>
        <v>-3.4</v>
      </c>
    </row>
    <row r="19" spans="1:6" ht="15" hidden="1" customHeight="1">
      <c r="A19" s="7">
        <v>1080714001</v>
      </c>
      <c r="B19" s="8" t="s">
        <v>226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230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61</v>
      </c>
      <c r="D25" s="5">
        <f>D26+D31+D34+D29</f>
        <v>60.66921</v>
      </c>
      <c r="E25" s="5">
        <f t="shared" si="0"/>
        <v>99.45772131147541</v>
      </c>
      <c r="F25" s="5">
        <f t="shared" si="1"/>
        <v>-0.33079000000000036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55</v>
      </c>
      <c r="D26" s="5">
        <f>D27+D28</f>
        <v>54.284680000000002</v>
      </c>
      <c r="E26" s="5">
        <f t="shared" si="0"/>
        <v>98.699418181818189</v>
      </c>
      <c r="F26" s="5">
        <f t="shared" si="1"/>
        <v>-0.7153199999999984</v>
      </c>
    </row>
    <row r="27" spans="1:6" ht="22.5" customHeight="1">
      <c r="A27" s="16">
        <v>1110502000</v>
      </c>
      <c r="B27" s="17" t="s">
        <v>225</v>
      </c>
      <c r="C27" s="12">
        <v>55</v>
      </c>
      <c r="D27" s="10">
        <v>54.284680000000002</v>
      </c>
      <c r="E27" s="9">
        <f t="shared" si="0"/>
        <v>98.699418181818189</v>
      </c>
      <c r="F27" s="9">
        <f t="shared" si="1"/>
        <v>-0.7153199999999984</v>
      </c>
    </row>
    <row r="28" spans="1:6" hidden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130</v>
      </c>
      <c r="C29" s="5">
        <f>C30</f>
        <v>6</v>
      </c>
      <c r="D29" s="5">
        <f>D30</f>
        <v>6.3845299999999998</v>
      </c>
      <c r="E29" s="9">
        <f t="shared" si="0"/>
        <v>106.40883333333333</v>
      </c>
      <c r="F29" s="5">
        <f t="shared" si="1"/>
        <v>0.38452999999999982</v>
      </c>
    </row>
    <row r="30" spans="1:6" ht="30.75" customHeight="1">
      <c r="A30" s="7">
        <v>1130200000</v>
      </c>
      <c r="B30" s="8" t="s">
        <v>223</v>
      </c>
      <c r="C30" s="9">
        <v>6</v>
      </c>
      <c r="D30" s="10">
        <v>6.3845299999999998</v>
      </c>
      <c r="E30" s="9">
        <f t="shared" si="0"/>
        <v>106.40883333333333</v>
      </c>
      <c r="F30" s="9">
        <f t="shared" si="1"/>
        <v>0.38452999999999982</v>
      </c>
    </row>
    <row r="31" spans="1:6" ht="25.5" customHeight="1">
      <c r="A31" s="70">
        <v>1140000000</v>
      </c>
      <c r="B31" s="71" t="s">
        <v>131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134</v>
      </c>
      <c r="C34" s="5">
        <v>0</v>
      </c>
      <c r="D34" s="252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18</v>
      </c>
      <c r="C37" s="127">
        <f>C25+C4</f>
        <v>653.81500000000005</v>
      </c>
      <c r="D37" s="127">
        <f>SUM(D4,D25)</f>
        <v>644.89884000000006</v>
      </c>
      <c r="E37" s="5">
        <f t="shared" si="0"/>
        <v>98.636287023087576</v>
      </c>
      <c r="F37" s="5">
        <f t="shared" si="1"/>
        <v>-8.9161599999999908</v>
      </c>
    </row>
    <row r="38" spans="1:11" s="6" customFormat="1">
      <c r="A38" s="3">
        <v>2000000000</v>
      </c>
      <c r="B38" s="4" t="s">
        <v>19</v>
      </c>
      <c r="C38" s="194">
        <f>C39+C40+C41+C42+C43+C44</f>
        <v>3418.9845200000004</v>
      </c>
      <c r="D38" s="194">
        <f>D39+D40+D41+D42+D43+D45+D44</f>
        <v>3089.7585599999998</v>
      </c>
      <c r="E38" s="5">
        <f t="shared" si="0"/>
        <v>90.37065075685102</v>
      </c>
      <c r="F38" s="5">
        <f t="shared" si="1"/>
        <v>-329.22596000000067</v>
      </c>
      <c r="G38" s="19"/>
    </row>
    <row r="39" spans="1:11">
      <c r="A39" s="16">
        <v>2021000000</v>
      </c>
      <c r="B39" s="17" t="s">
        <v>20</v>
      </c>
      <c r="C39" s="226">
        <v>1200.7</v>
      </c>
      <c r="D39" s="20">
        <v>1120.7059999999999</v>
      </c>
      <c r="E39" s="9">
        <f t="shared" si="0"/>
        <v>93.337719663529597</v>
      </c>
      <c r="F39" s="9">
        <f t="shared" si="1"/>
        <v>-79.994000000000142</v>
      </c>
    </row>
    <row r="40" spans="1:11">
      <c r="A40" s="16">
        <v>2021500200</v>
      </c>
      <c r="B40" s="17" t="s">
        <v>231</v>
      </c>
      <c r="C40" s="223">
        <v>452.20800000000003</v>
      </c>
      <c r="D40" s="20">
        <v>340</v>
      </c>
      <c r="E40" s="9">
        <f>SUM(D40/C40*100)</f>
        <v>75.186639776386087</v>
      </c>
      <c r="F40" s="9">
        <f>SUM(D40-C40)</f>
        <v>-112.20800000000003</v>
      </c>
    </row>
    <row r="41" spans="1:11">
      <c r="A41" s="16">
        <v>2022000000</v>
      </c>
      <c r="B41" s="17" t="s">
        <v>21</v>
      </c>
      <c r="C41" s="223">
        <v>1555.6595600000001</v>
      </c>
      <c r="D41" s="10">
        <v>1455.5975599999999</v>
      </c>
      <c r="E41" s="9">
        <f t="shared" si="0"/>
        <v>93.567872909160144</v>
      </c>
      <c r="F41" s="9">
        <f t="shared" si="1"/>
        <v>-100.06200000000013</v>
      </c>
    </row>
    <row r="42" spans="1:11" ht="19.5" customHeight="1">
      <c r="A42" s="16">
        <v>2023000000</v>
      </c>
      <c r="B42" s="17" t="s">
        <v>22</v>
      </c>
      <c r="C42" s="223">
        <v>91.480999999999995</v>
      </c>
      <c r="D42" s="187">
        <v>82.450999999999993</v>
      </c>
      <c r="E42" s="9">
        <f t="shared" si="0"/>
        <v>90.12909784545424</v>
      </c>
      <c r="F42" s="9">
        <f t="shared" si="1"/>
        <v>-9.0300000000000011</v>
      </c>
    </row>
    <row r="43" spans="1:11">
      <c r="A43" s="7">
        <v>2070500010</v>
      </c>
      <c r="B43" s="17" t="s">
        <v>356</v>
      </c>
      <c r="C43" s="223">
        <v>60.477960000000003</v>
      </c>
      <c r="D43" s="188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customHeight="1">
      <c r="A44" s="16">
        <v>2024000000</v>
      </c>
      <c r="B44" s="18" t="s">
        <v>23</v>
      </c>
      <c r="C44" s="223">
        <v>58.457999999999998</v>
      </c>
      <c r="D44" s="188">
        <v>30.504000000000001</v>
      </c>
      <c r="E44" s="9">
        <f t="shared" si="0"/>
        <v>52.181053063738069</v>
      </c>
      <c r="F44" s="9">
        <f t="shared" si="1"/>
        <v>-27.953999999999997</v>
      </c>
    </row>
    <row r="45" spans="1:11" ht="17.25" customHeight="1">
      <c r="A45" s="7">
        <v>2190000010</v>
      </c>
      <c r="B45" s="11" t="s">
        <v>25</v>
      </c>
      <c r="C45" s="231">
        <v>0</v>
      </c>
      <c r="D45" s="220">
        <v>0</v>
      </c>
      <c r="E45" s="5" t="e">
        <f t="shared" si="0"/>
        <v>#DIV/0!</v>
      </c>
      <c r="F45" s="5">
        <f>SUM(D45-C45)</f>
        <v>0</v>
      </c>
    </row>
    <row r="46" spans="1:11" s="458" customFormat="1" ht="19.5" hidden="1" customHeight="1">
      <c r="A46" s="3">
        <v>3000000000</v>
      </c>
      <c r="B46" s="13" t="s">
        <v>26</v>
      </c>
      <c r="C46" s="232">
        <v>0</v>
      </c>
      <c r="D46" s="23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9"/>
      <c r="B47" s="280" t="s">
        <v>27</v>
      </c>
      <c r="C47" s="483">
        <f>C37+C38</f>
        <v>4072.7995200000005</v>
      </c>
      <c r="D47" s="485">
        <f>D37+D38</f>
        <v>3734.6574000000001</v>
      </c>
      <c r="E47" s="281">
        <f t="shared" si="0"/>
        <v>91.697550583093758</v>
      </c>
      <c r="F47" s="281">
        <f t="shared" si="1"/>
        <v>-338.14212000000043</v>
      </c>
      <c r="G47" s="200"/>
      <c r="H47" s="200"/>
      <c r="K47" s="130"/>
    </row>
    <row r="48" spans="1:11" s="6" customFormat="1">
      <c r="A48" s="3"/>
      <c r="B48" s="21" t="s">
        <v>321</v>
      </c>
      <c r="C48" s="484">
        <f>C47-C94</f>
        <v>-213.83623999999872</v>
      </c>
      <c r="D48" s="5">
        <f>D47-D94</f>
        <v>-31.467769999999291</v>
      </c>
      <c r="E48" s="22"/>
      <c r="F48" s="22"/>
    </row>
    <row r="49" spans="1:6">
      <c r="A49" s="23"/>
      <c r="B49" s="24"/>
      <c r="C49" s="186"/>
      <c r="D49" s="186"/>
      <c r="E49" s="26"/>
      <c r="F49" s="92"/>
    </row>
    <row r="50" spans="1:6" ht="50.25" customHeight="1">
      <c r="A50" s="28" t="s">
        <v>0</v>
      </c>
      <c r="B50" s="28" t="s">
        <v>28</v>
      </c>
      <c r="C50" s="179" t="s">
        <v>411</v>
      </c>
      <c r="D50" s="180" t="s">
        <v>422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29</v>
      </c>
      <c r="B52" s="31" t="s">
        <v>30</v>
      </c>
      <c r="C52" s="22">
        <f>C54+C57+C58+C59</f>
        <v>1111.3700000000001</v>
      </c>
      <c r="D52" s="22">
        <f>D54+D57+D58+D59</f>
        <v>900.44708000000003</v>
      </c>
      <c r="E52" s="34">
        <f>SUM(D52/C52*100)</f>
        <v>81.021359223300962</v>
      </c>
      <c r="F52" s="34">
        <f>SUM(D52-C52)</f>
        <v>-210.92292000000009</v>
      </c>
    </row>
    <row r="53" spans="1:6" s="6" customFormat="1" ht="31.5">
      <c r="A53" s="35" t="s">
        <v>31</v>
      </c>
      <c r="B53" s="36" t="s">
        <v>32</v>
      </c>
      <c r="C53" s="92"/>
      <c r="D53" s="92"/>
      <c r="E53" s="38"/>
      <c r="F53" s="38"/>
    </row>
    <row r="54" spans="1:6" ht="16.5" customHeight="1">
      <c r="A54" s="35" t="s">
        <v>33</v>
      </c>
      <c r="B54" s="39" t="s">
        <v>34</v>
      </c>
      <c r="C54" s="92">
        <v>1104.0540000000001</v>
      </c>
      <c r="D54" s="92">
        <v>898.13157999999999</v>
      </c>
      <c r="E54" s="38">
        <f>SUM(D54/C54*100)</f>
        <v>81.348519184750018</v>
      </c>
      <c r="F54" s="38">
        <f t="shared" ref="F54:F94" si="3">SUM(D54-C54)</f>
        <v>-205.9224200000001</v>
      </c>
    </row>
    <row r="55" spans="1:6" ht="0.75" hidden="1" customHeight="1">
      <c r="A55" s="35" t="s">
        <v>35</v>
      </c>
      <c r="B55" s="39" t="s">
        <v>36</v>
      </c>
      <c r="C55" s="92"/>
      <c r="D55" s="92"/>
      <c r="E55" s="38"/>
      <c r="F55" s="38">
        <f t="shared" si="3"/>
        <v>0</v>
      </c>
    </row>
    <row r="56" spans="1:6" ht="15.75" hidden="1" customHeight="1">
      <c r="A56" s="35" t="s">
        <v>37</v>
      </c>
      <c r="B56" s="39" t="s">
        <v>38</v>
      </c>
      <c r="C56" s="92"/>
      <c r="D56" s="92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39</v>
      </c>
      <c r="B57" s="39" t="s">
        <v>40</v>
      </c>
      <c r="C57" s="92">
        <v>0</v>
      </c>
      <c r="D57" s="92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41</v>
      </c>
      <c r="B58" s="39" t="s">
        <v>42</v>
      </c>
      <c r="C58" s="104">
        <v>5</v>
      </c>
      <c r="D58" s="104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43</v>
      </c>
      <c r="B59" s="39" t="s">
        <v>44</v>
      </c>
      <c r="C59" s="92">
        <v>2.3159999999999998</v>
      </c>
      <c r="D59" s="92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45</v>
      </c>
      <c r="B60" s="42" t="s">
        <v>46</v>
      </c>
      <c r="C60" s="22">
        <f>C61</f>
        <v>89.944999999999993</v>
      </c>
      <c r="D60" s="22">
        <f>D61</f>
        <v>76.161209999999997</v>
      </c>
      <c r="E60" s="34">
        <f t="shared" si="4"/>
        <v>84.675312691089005</v>
      </c>
      <c r="F60" s="34">
        <f t="shared" si="3"/>
        <v>-13.783789999999996</v>
      </c>
    </row>
    <row r="61" spans="1:6">
      <c r="A61" s="43" t="s">
        <v>47</v>
      </c>
      <c r="B61" s="44" t="s">
        <v>48</v>
      </c>
      <c r="C61" s="92">
        <v>89.944999999999993</v>
      </c>
      <c r="D61" s="92">
        <v>76.161209999999997</v>
      </c>
      <c r="E61" s="38">
        <f t="shared" si="4"/>
        <v>84.675312691089005</v>
      </c>
      <c r="F61" s="38">
        <f t="shared" si="3"/>
        <v>-13.783789999999996</v>
      </c>
    </row>
    <row r="62" spans="1:6" s="6" customFormat="1" ht="16.5" customHeight="1">
      <c r="A62" s="30" t="s">
        <v>49</v>
      </c>
      <c r="B62" s="31" t="s">
        <v>50</v>
      </c>
      <c r="C62" s="487">
        <f>C65+C66+C67</f>
        <v>16.035110000000003</v>
      </c>
      <c r="D62" s="487">
        <f>D65+D66+D67</f>
        <v>9.4750899999999998</v>
      </c>
      <c r="E62" s="34">
        <f t="shared" si="4"/>
        <v>59.089647654428305</v>
      </c>
      <c r="F62" s="34">
        <f t="shared" si="3"/>
        <v>-6.5600200000000033</v>
      </c>
    </row>
    <row r="63" spans="1:6" ht="13.5" customHeight="1">
      <c r="A63" s="35" t="s">
        <v>51</v>
      </c>
      <c r="B63" s="39" t="s">
        <v>52</v>
      </c>
      <c r="C63" s="92"/>
      <c r="D63" s="92"/>
      <c r="E63" s="34" t="e">
        <f t="shared" si="4"/>
        <v>#DIV/0!</v>
      </c>
      <c r="F63" s="34">
        <f t="shared" si="3"/>
        <v>0</v>
      </c>
    </row>
    <row r="64" spans="1:6">
      <c r="A64" s="45" t="s">
        <v>53</v>
      </c>
      <c r="B64" s="39" t="s">
        <v>54</v>
      </c>
      <c r="C64" s="92"/>
      <c r="D64" s="92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55</v>
      </c>
      <c r="B65" s="47" t="s">
        <v>56</v>
      </c>
      <c r="C65" s="92">
        <v>2.7031100000000001</v>
      </c>
      <c r="D65" s="92">
        <v>2.7031100000000001</v>
      </c>
      <c r="E65" s="34">
        <f t="shared" si="4"/>
        <v>100</v>
      </c>
      <c r="F65" s="34">
        <f t="shared" si="3"/>
        <v>0</v>
      </c>
    </row>
    <row r="66" spans="1:7" ht="15.75" customHeight="1">
      <c r="A66" s="46" t="s">
        <v>218</v>
      </c>
      <c r="B66" s="47" t="s">
        <v>219</v>
      </c>
      <c r="C66" s="92">
        <v>11.332000000000001</v>
      </c>
      <c r="D66" s="92">
        <v>4.7719800000000001</v>
      </c>
      <c r="E66" s="38">
        <f t="shared" si="4"/>
        <v>42.110660077656192</v>
      </c>
      <c r="F66" s="38">
        <f t="shared" si="3"/>
        <v>-6.5600200000000006</v>
      </c>
    </row>
    <row r="67" spans="1:7" ht="15.75" customHeight="1">
      <c r="A67" s="46" t="s">
        <v>357</v>
      </c>
      <c r="B67" s="47" t="s">
        <v>413</v>
      </c>
      <c r="C67" s="92">
        <v>2</v>
      </c>
      <c r="D67" s="92">
        <v>2</v>
      </c>
      <c r="E67" s="38"/>
      <c r="F67" s="38"/>
    </row>
    <row r="68" spans="1:7" s="6" customFormat="1">
      <c r="A68" s="30" t="s">
        <v>57</v>
      </c>
      <c r="B68" s="31" t="s">
        <v>58</v>
      </c>
      <c r="C68" s="105">
        <f>C71+C72+C69+C70</f>
        <v>2191.1391499999995</v>
      </c>
      <c r="D68" s="105">
        <f>D71+D72+D69+D70</f>
        <v>2000.83484</v>
      </c>
      <c r="E68" s="34">
        <f t="shared" si="4"/>
        <v>91.314823159451123</v>
      </c>
      <c r="F68" s="34">
        <f t="shared" si="3"/>
        <v>-190.30430999999953</v>
      </c>
    </row>
    <row r="69" spans="1:7" ht="16.5" customHeight="1">
      <c r="A69" s="35" t="s">
        <v>59</v>
      </c>
      <c r="B69" s="39" t="s">
        <v>60</v>
      </c>
      <c r="C69" s="106">
        <v>4.0214999999999996</v>
      </c>
      <c r="D69" s="92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61</v>
      </c>
      <c r="B70" s="39" t="s">
        <v>62</v>
      </c>
      <c r="C70" s="106">
        <v>20.000889999999998</v>
      </c>
      <c r="D70" s="92">
        <v>19.72</v>
      </c>
      <c r="E70" s="38">
        <f t="shared" si="4"/>
        <v>98.595612495243969</v>
      </c>
      <c r="F70" s="38">
        <f t="shared" si="3"/>
        <v>-0.28088999999999942</v>
      </c>
      <c r="G70" s="50"/>
    </row>
    <row r="71" spans="1:7" ht="15.75" customHeight="1">
      <c r="A71" s="35" t="s">
        <v>63</v>
      </c>
      <c r="B71" s="39" t="s">
        <v>64</v>
      </c>
      <c r="C71" s="106">
        <v>2059.4047599999999</v>
      </c>
      <c r="D71" s="92">
        <v>1913.40284</v>
      </c>
      <c r="E71" s="38">
        <f t="shared" si="4"/>
        <v>92.910479628103801</v>
      </c>
      <c r="F71" s="38">
        <f t="shared" si="3"/>
        <v>-146.00191999999993</v>
      </c>
    </row>
    <row r="72" spans="1:7">
      <c r="A72" s="35" t="s">
        <v>65</v>
      </c>
      <c r="B72" s="39" t="s">
        <v>66</v>
      </c>
      <c r="C72" s="106">
        <v>107.712</v>
      </c>
      <c r="D72" s="92">
        <v>67.712000000000003</v>
      </c>
      <c r="E72" s="38">
        <f t="shared" si="4"/>
        <v>62.863933452168752</v>
      </c>
      <c r="F72" s="38">
        <f t="shared" si="3"/>
        <v>-40</v>
      </c>
    </row>
    <row r="73" spans="1:7" s="6" customFormat="1" ht="18" customHeight="1">
      <c r="A73" s="30" t="s">
        <v>67</v>
      </c>
      <c r="B73" s="31" t="s">
        <v>68</v>
      </c>
      <c r="C73" s="22">
        <f>C76</f>
        <v>588.04650000000004</v>
      </c>
      <c r="D73" s="22">
        <f>D76</f>
        <v>491.60194999999999</v>
      </c>
      <c r="E73" s="34">
        <f t="shared" si="4"/>
        <v>83.599162651252911</v>
      </c>
      <c r="F73" s="34">
        <f t="shared" si="3"/>
        <v>-96.444550000000049</v>
      </c>
    </row>
    <row r="74" spans="1:7" ht="0.75" hidden="1" customHeight="1">
      <c r="A74" s="35" t="s">
        <v>69</v>
      </c>
      <c r="B74" s="51" t="s">
        <v>70</v>
      </c>
      <c r="C74" s="92"/>
      <c r="D74" s="92"/>
      <c r="E74" s="38" t="e">
        <f t="shared" si="4"/>
        <v>#DIV/0!</v>
      </c>
      <c r="F74" s="38">
        <f t="shared" si="3"/>
        <v>0</v>
      </c>
    </row>
    <row r="75" spans="1:7" hidden="1">
      <c r="A75" s="35" t="s">
        <v>71</v>
      </c>
      <c r="B75" s="51" t="s">
        <v>72</v>
      </c>
      <c r="C75" s="92"/>
      <c r="D75" s="92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73</v>
      </c>
      <c r="B76" s="39" t="s">
        <v>74</v>
      </c>
      <c r="C76" s="92">
        <v>588.04650000000004</v>
      </c>
      <c r="D76" s="92">
        <v>491.60194999999999</v>
      </c>
      <c r="E76" s="38">
        <f t="shared" si="4"/>
        <v>83.599162651252911</v>
      </c>
      <c r="F76" s="38">
        <f t="shared" si="3"/>
        <v>-96.444550000000049</v>
      </c>
    </row>
    <row r="77" spans="1:7" s="6" customFormat="1">
      <c r="A77" s="30" t="s">
        <v>85</v>
      </c>
      <c r="B77" s="31" t="s">
        <v>86</v>
      </c>
      <c r="C77" s="22">
        <f>C78</f>
        <v>276.10000000000002</v>
      </c>
      <c r="D77" s="22">
        <f>D78</f>
        <v>273.65499999999997</v>
      </c>
      <c r="E77" s="34">
        <f t="shared" si="4"/>
        <v>99.114451285766009</v>
      </c>
      <c r="F77" s="34">
        <f t="shared" si="3"/>
        <v>-2.44500000000005</v>
      </c>
    </row>
    <row r="78" spans="1:7" ht="14.25" customHeight="1">
      <c r="A78" s="35" t="s">
        <v>87</v>
      </c>
      <c r="B78" s="39" t="s">
        <v>233</v>
      </c>
      <c r="C78" s="92">
        <v>276.10000000000002</v>
      </c>
      <c r="D78" s="92">
        <v>273.65499999999997</v>
      </c>
      <c r="E78" s="38">
        <f t="shared" si="4"/>
        <v>99.114451285766009</v>
      </c>
      <c r="F78" s="38">
        <f t="shared" si="3"/>
        <v>-2.44500000000005</v>
      </c>
    </row>
    <row r="79" spans="1:7" s="6" customFormat="1" ht="0.75" hidden="1" customHeight="1">
      <c r="A79" s="52">
        <v>1000</v>
      </c>
      <c r="B79" s="31" t="s">
        <v>88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89</v>
      </c>
      <c r="C80" s="92"/>
      <c r="D80" s="92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90</v>
      </c>
      <c r="C81" s="92"/>
      <c r="D81" s="92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91</v>
      </c>
      <c r="C82" s="92"/>
      <c r="D82" s="190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92</v>
      </c>
      <c r="B83" s="39" t="s">
        <v>93</v>
      </c>
      <c r="C83" s="92"/>
      <c r="D83" s="92"/>
      <c r="E83" s="38"/>
      <c r="F83" s="38">
        <f t="shared" si="3"/>
        <v>0</v>
      </c>
    </row>
    <row r="84" spans="1:7" ht="12" customHeight="1">
      <c r="A84" s="30" t="s">
        <v>94</v>
      </c>
      <c r="B84" s="31" t="s">
        <v>95</v>
      </c>
      <c r="C84" s="22">
        <f>C85</f>
        <v>14</v>
      </c>
      <c r="D84" s="22">
        <f>D85</f>
        <v>13.95</v>
      </c>
      <c r="E84" s="38">
        <f t="shared" si="4"/>
        <v>99.642857142857139</v>
      </c>
      <c r="F84" s="22">
        <f>F85+F86+F87+F88+F89</f>
        <v>-5.0000000000000711E-2</v>
      </c>
    </row>
    <row r="85" spans="1:7" ht="11.25" customHeight="1">
      <c r="A85" s="35" t="s">
        <v>96</v>
      </c>
      <c r="B85" s="39" t="s">
        <v>97</v>
      </c>
      <c r="C85" s="92">
        <v>14</v>
      </c>
      <c r="D85" s="92">
        <v>13.95</v>
      </c>
      <c r="E85" s="38">
        <v>0</v>
      </c>
      <c r="F85" s="38">
        <f>SUM(D85-C85)</f>
        <v>-5.0000000000000711E-2</v>
      </c>
    </row>
    <row r="86" spans="1:7" ht="14.25" hidden="1" customHeight="1">
      <c r="A86" s="35" t="s">
        <v>98</v>
      </c>
      <c r="B86" s="39" t="s">
        <v>99</v>
      </c>
      <c r="C86" s="92"/>
      <c r="D86" s="92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100</v>
      </c>
      <c r="B87" s="39" t="s">
        <v>101</v>
      </c>
      <c r="C87" s="92"/>
      <c r="D87" s="92"/>
      <c r="E87" s="38" t="e">
        <f t="shared" si="4"/>
        <v>#DIV/0!</v>
      </c>
      <c r="F87" s="38"/>
    </row>
    <row r="88" spans="1:7" ht="9.75" hidden="1" customHeight="1">
      <c r="A88" s="35" t="s">
        <v>102</v>
      </c>
      <c r="B88" s="39" t="s">
        <v>103</v>
      </c>
      <c r="C88" s="92"/>
      <c r="D88" s="92"/>
      <c r="E88" s="38" t="e">
        <f t="shared" si="4"/>
        <v>#DIV/0!</v>
      </c>
      <c r="F88" s="38"/>
    </row>
    <row r="89" spans="1:7" ht="11.25" hidden="1" customHeight="1">
      <c r="A89" s="35" t="s">
        <v>104</v>
      </c>
      <c r="B89" s="39" t="s">
        <v>105</v>
      </c>
      <c r="C89" s="92"/>
      <c r="D89" s="92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114</v>
      </c>
      <c r="C90" s="105">
        <v>0</v>
      </c>
      <c r="D90" s="105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115</v>
      </c>
      <c r="C91" s="106"/>
      <c r="D91" s="92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116</v>
      </c>
      <c r="C92" s="106"/>
      <c r="D92" s="92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117</v>
      </c>
      <c r="C93" s="106"/>
      <c r="D93" s="92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118</v>
      </c>
      <c r="C94" s="486">
        <f>C52+C60+C62+C68+C73+C77+C84</f>
        <v>4286.6357599999992</v>
      </c>
      <c r="D94" s="486">
        <f>D52+D60+D62+D68+D73+D77+D79+D84+D90</f>
        <v>3766.1251699999993</v>
      </c>
      <c r="E94" s="128">
        <f t="shared" si="4"/>
        <v>87.857363696326743</v>
      </c>
      <c r="F94" s="34">
        <f t="shared" si="3"/>
        <v>-520.51058999999987</v>
      </c>
      <c r="G94" s="200"/>
    </row>
    <row r="95" spans="1:7">
      <c r="C95" s="126"/>
      <c r="D95" s="101"/>
    </row>
    <row r="96" spans="1:7" s="65" customFormat="1" ht="16.5" customHeight="1">
      <c r="A96" s="63" t="s">
        <v>119</v>
      </c>
      <c r="B96" s="63"/>
      <c r="C96" s="185"/>
      <c r="D96" s="185"/>
    </row>
    <row r="97" spans="1:3" s="65" customFormat="1" ht="20.25" customHeight="1">
      <c r="A97" s="66" t="s">
        <v>120</v>
      </c>
      <c r="B97" s="66"/>
      <c r="C97" s="65" t="s">
        <v>121</v>
      </c>
    </row>
    <row r="98" spans="1:3" ht="13.5" customHeight="1"/>
    <row r="100" spans="1:3" ht="5.25" customHeight="1"/>
    <row r="142" hidden="1"/>
  </sheetData>
  <customSheetViews>
    <customSheetView guid="{120EA1E0-6265-45F1-AFBB-CEB5CB007D02}" scale="70" showPageBreaks="1" printArea="1" hiddenRows="1" view="pageBreakPreview" topLeftCell="A29">
      <selection activeCell="D77" sqref="D77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2"/>
      <headerFooter alignWithMargins="0"/>
    </customSheetView>
    <customSheetView guid="{B30CE22D-C12F-4E12-8BB9-3AAE0A6991CC}" scale="70" showPageBreaks="1" printArea="1" hiddenRows="1" view="pageBreakPreview" topLeftCell="A15">
      <selection activeCell="C41" sqref="C41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5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8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9"/>
      <headerFooter alignWithMargins="0"/>
    </customSheetView>
    <customSheetView guid="{61528DAC-5C4C-48F4-ADE2-8A724B05A086}" scale="70" showPageBreaks="1" printArea="1" hiddenRows="1" view="pageBreakPreview" topLeftCell="A29">
      <selection activeCell="D77" sqref="D77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2"/>
  <sheetViews>
    <sheetView view="pageBreakPreview" topLeftCell="A28" zoomScale="70" zoomScaleSheetLayoutView="70" workbookViewId="0">
      <selection activeCell="C101" sqref="C101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425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135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3515.44</v>
      </c>
      <c r="D4" s="5">
        <f>D5+D12+D14+D17+D7</f>
        <v>3096.6570900000002</v>
      </c>
      <c r="E4" s="5">
        <f>SUM(D4/C4*100)</f>
        <v>88.087325910839041</v>
      </c>
      <c r="F4" s="5">
        <f>SUM(D4-C4)</f>
        <v>-418.7829099999999</v>
      </c>
    </row>
    <row r="5" spans="1:6" s="6" customFormat="1">
      <c r="A5" s="68">
        <v>1010000000</v>
      </c>
      <c r="B5" s="67" t="s">
        <v>5</v>
      </c>
      <c r="C5" s="5">
        <f>C6</f>
        <v>443.71499999999997</v>
      </c>
      <c r="D5" s="5">
        <f>D6</f>
        <v>322.68468000000001</v>
      </c>
      <c r="E5" s="5">
        <f t="shared" ref="E5:E52" si="0">SUM(D5/C5*100)</f>
        <v>72.72341029715021</v>
      </c>
      <c r="F5" s="5">
        <f t="shared" ref="F5:F52" si="1">SUM(D5-C5)</f>
        <v>-121.03031999999996</v>
      </c>
    </row>
    <row r="6" spans="1:6">
      <c r="A6" s="7">
        <v>1010200001</v>
      </c>
      <c r="B6" s="8" t="s">
        <v>228</v>
      </c>
      <c r="C6" s="9">
        <v>443.71499999999997</v>
      </c>
      <c r="D6" s="10">
        <v>322.68468000000001</v>
      </c>
      <c r="E6" s="9">
        <f t="shared" ref="E6:E11" si="2">SUM(D6/C6*100)</f>
        <v>72.72341029715021</v>
      </c>
      <c r="F6" s="9">
        <f t="shared" si="1"/>
        <v>-121.03031999999996</v>
      </c>
    </row>
    <row r="7" spans="1:6" ht="31.5">
      <c r="A7" s="3">
        <v>1030000000</v>
      </c>
      <c r="B7" s="13" t="s">
        <v>280</v>
      </c>
      <c r="C7" s="5">
        <f>C8+C10+C9</f>
        <v>635.72500000000002</v>
      </c>
      <c r="D7" s="5">
        <f>D8+D10+D9+D11</f>
        <v>709.27210000000002</v>
      </c>
      <c r="E7" s="5">
        <f t="shared" si="2"/>
        <v>111.5690117582288</v>
      </c>
      <c r="F7" s="5">
        <f t="shared" si="1"/>
        <v>73.5471</v>
      </c>
    </row>
    <row r="8" spans="1:6">
      <c r="A8" s="7">
        <v>1030223001</v>
      </c>
      <c r="B8" s="8" t="s">
        <v>282</v>
      </c>
      <c r="C8" s="9">
        <v>237.12</v>
      </c>
      <c r="D8" s="10">
        <v>322.37538000000001</v>
      </c>
      <c r="E8" s="9">
        <f t="shared" si="2"/>
        <v>135.95452935222673</v>
      </c>
      <c r="F8" s="9">
        <f t="shared" si="1"/>
        <v>85.255380000000002</v>
      </c>
    </row>
    <row r="9" spans="1:6">
      <c r="A9" s="7">
        <v>1030224001</v>
      </c>
      <c r="B9" s="8" t="s">
        <v>288</v>
      </c>
      <c r="C9" s="9">
        <v>2.5049999999999999</v>
      </c>
      <c r="D9" s="10">
        <v>2.3738600000000001</v>
      </c>
      <c r="E9" s="9">
        <f t="shared" si="2"/>
        <v>94.764870259481043</v>
      </c>
      <c r="F9" s="9">
        <f t="shared" si="1"/>
        <v>-0.13113999999999981</v>
      </c>
    </row>
    <row r="10" spans="1:6">
      <c r="A10" s="7">
        <v>1030225001</v>
      </c>
      <c r="B10" s="8" t="s">
        <v>281</v>
      </c>
      <c r="C10" s="9">
        <v>396.1</v>
      </c>
      <c r="D10" s="10">
        <v>433.07387</v>
      </c>
      <c r="E10" s="9">
        <f t="shared" si="2"/>
        <v>109.33447866700328</v>
      </c>
      <c r="F10" s="9">
        <f t="shared" si="1"/>
        <v>36.973869999999977</v>
      </c>
    </row>
    <row r="11" spans="1:6">
      <c r="A11" s="7">
        <v>1030226001</v>
      </c>
      <c r="B11" s="8" t="s">
        <v>290</v>
      </c>
      <c r="C11" s="9">
        <v>0</v>
      </c>
      <c r="D11" s="10">
        <v>-48.551009999999998</v>
      </c>
      <c r="E11" s="9" t="e">
        <f t="shared" si="2"/>
        <v>#DIV/0!</v>
      </c>
      <c r="F11" s="9">
        <f t="shared" si="1"/>
        <v>-48.551009999999998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38.458449999999999</v>
      </c>
      <c r="E12" s="5">
        <f t="shared" si="0"/>
        <v>96.146124999999998</v>
      </c>
      <c r="F12" s="5">
        <f t="shared" si="1"/>
        <v>-1.5415500000000009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38.458449999999999</v>
      </c>
      <c r="E13" s="9">
        <f t="shared" si="0"/>
        <v>96.146124999999998</v>
      </c>
      <c r="F13" s="9">
        <f t="shared" si="1"/>
        <v>-1.5415500000000009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2383</v>
      </c>
      <c r="D14" s="5">
        <f>D15+D16</f>
        <v>2010.79186</v>
      </c>
      <c r="E14" s="5">
        <f t="shared" si="0"/>
        <v>84.380690725975654</v>
      </c>
      <c r="F14" s="5">
        <f t="shared" si="1"/>
        <v>-372.20813999999996</v>
      </c>
    </row>
    <row r="15" spans="1:6" s="6" customFormat="1" ht="15.75" customHeight="1">
      <c r="A15" s="7">
        <v>1060100000</v>
      </c>
      <c r="B15" s="11" t="s">
        <v>8</v>
      </c>
      <c r="C15" s="9">
        <v>1098</v>
      </c>
      <c r="D15" s="10">
        <v>921.35293999999999</v>
      </c>
      <c r="E15" s="5">
        <f t="shared" si="0"/>
        <v>83.911925318761377</v>
      </c>
      <c r="F15" s="9">
        <f>SUM(D15-C15)</f>
        <v>-176.64706000000001</v>
      </c>
    </row>
    <row r="16" spans="1:6" ht="15" customHeight="1">
      <c r="A16" s="7">
        <v>1060600000</v>
      </c>
      <c r="B16" s="11" t="s">
        <v>7</v>
      </c>
      <c r="C16" s="9">
        <v>1285</v>
      </c>
      <c r="D16" s="10">
        <v>1089.4389200000001</v>
      </c>
      <c r="E16" s="5">
        <f t="shared" si="0"/>
        <v>84.781238910505834</v>
      </c>
      <c r="F16" s="9">
        <f t="shared" si="1"/>
        <v>-195.56107999999995</v>
      </c>
    </row>
    <row r="17" spans="1:6" s="6" customFormat="1" ht="18" customHeight="1">
      <c r="A17" s="3">
        <v>1080000000</v>
      </c>
      <c r="B17" s="4" t="s">
        <v>10</v>
      </c>
      <c r="C17" s="5">
        <f>C18</f>
        <v>13</v>
      </c>
      <c r="D17" s="5">
        <f>D18</f>
        <v>15.45</v>
      </c>
      <c r="E17" s="5">
        <f t="shared" si="0"/>
        <v>118.84615384615384</v>
      </c>
      <c r="F17" s="5">
        <f t="shared" si="1"/>
        <v>2.4499999999999993</v>
      </c>
    </row>
    <row r="18" spans="1:6" ht="18" customHeight="1">
      <c r="A18" s="7">
        <v>1080400001</v>
      </c>
      <c r="B18" s="8" t="s">
        <v>227</v>
      </c>
      <c r="C18" s="9">
        <v>13</v>
      </c>
      <c r="D18" s="10">
        <v>15.45</v>
      </c>
      <c r="E18" s="9">
        <f t="shared" si="0"/>
        <v>118.84615384615384</v>
      </c>
      <c r="F18" s="9">
        <f t="shared" si="1"/>
        <v>2.4499999999999993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C26+C30+C32+C37+C35</f>
        <v>420</v>
      </c>
      <c r="D25" s="5">
        <f>D26+D30+D32+D35+D37</f>
        <v>253.64197999999999</v>
      </c>
      <c r="E25" s="5">
        <f t="shared" si="0"/>
        <v>60.390947619047623</v>
      </c>
      <c r="F25" s="5">
        <f t="shared" si="1"/>
        <v>-166.35802000000001</v>
      </c>
    </row>
    <row r="26" spans="1:6" s="6" customFormat="1" ht="30.75" customHeight="1">
      <c r="A26" s="68">
        <v>1110000000</v>
      </c>
      <c r="B26" s="69" t="s">
        <v>128</v>
      </c>
      <c r="C26" s="5">
        <f>C28+C29</f>
        <v>220</v>
      </c>
      <c r="D26" s="5">
        <f>D28+D29</f>
        <v>72.966999999999999</v>
      </c>
      <c r="E26" s="5">
        <f t="shared" si="0"/>
        <v>33.166818181818179</v>
      </c>
      <c r="F26" s="5">
        <f t="shared" si="1"/>
        <v>-147.03300000000002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327</v>
      </c>
      <c r="C28" s="12">
        <v>200</v>
      </c>
      <c r="D28" s="10">
        <v>27.2</v>
      </c>
      <c r="E28" s="9">
        <f t="shared" si="0"/>
        <v>13.600000000000001</v>
      </c>
      <c r="F28" s="9">
        <f t="shared" si="1"/>
        <v>-172.8</v>
      </c>
    </row>
    <row r="29" spans="1:6">
      <c r="A29" s="7">
        <v>1110503000</v>
      </c>
      <c r="B29" s="11" t="s">
        <v>224</v>
      </c>
      <c r="C29" s="12">
        <v>20</v>
      </c>
      <c r="D29" s="10">
        <v>45.767000000000003</v>
      </c>
      <c r="E29" s="9">
        <f>SUM(D29/C29*100)</f>
        <v>228.83500000000004</v>
      </c>
      <c r="F29" s="9">
        <f t="shared" si="1"/>
        <v>25.767000000000003</v>
      </c>
    </row>
    <row r="30" spans="1:6" s="15" customFormat="1" ht="35.25" customHeight="1">
      <c r="A30" s="68">
        <v>1130000000</v>
      </c>
      <c r="B30" s="69" t="s">
        <v>130</v>
      </c>
      <c r="C30" s="5">
        <f>C31</f>
        <v>200</v>
      </c>
      <c r="D30" s="5">
        <f>D31</f>
        <v>180.67498000000001</v>
      </c>
      <c r="E30" s="5">
        <f t="shared" si="0"/>
        <v>90.337490000000003</v>
      </c>
      <c r="F30" s="5">
        <f t="shared" si="1"/>
        <v>-19.325019999999995</v>
      </c>
    </row>
    <row r="31" spans="1:6" ht="18" customHeight="1">
      <c r="A31" s="7">
        <v>1130206005</v>
      </c>
      <c r="B31" s="8" t="s">
        <v>223</v>
      </c>
      <c r="C31" s="9">
        <v>200</v>
      </c>
      <c r="D31" s="10">
        <v>180.67498000000001</v>
      </c>
      <c r="E31" s="9">
        <f>SUM(D31/C31*100)</f>
        <v>90.337490000000003</v>
      </c>
      <c r="F31" s="9">
        <f t="shared" si="1"/>
        <v>-19.325019999999995</v>
      </c>
    </row>
    <row r="32" spans="1:6" ht="13.5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.75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251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2" hidden="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.5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18</v>
      </c>
      <c r="C40" s="127">
        <f>SUM(C4,C25)</f>
        <v>3935.44</v>
      </c>
      <c r="D40" s="127">
        <f>D4+D25</f>
        <v>3350.29907</v>
      </c>
      <c r="E40" s="5">
        <f t="shared" si="0"/>
        <v>85.131499146219994</v>
      </c>
      <c r="F40" s="5">
        <f t="shared" si="1"/>
        <v>-585.14093000000003</v>
      </c>
    </row>
    <row r="41" spans="1:7" s="6" customFormat="1" ht="20.25" customHeight="1">
      <c r="A41" s="3">
        <v>2000000000</v>
      </c>
      <c r="B41" s="4" t="s">
        <v>19</v>
      </c>
      <c r="C41" s="465">
        <f>C42+C43+C44+C46+C47+C45+C48</f>
        <v>9285.3296800000007</v>
      </c>
      <c r="D41" s="465">
        <f>D42+D43+D44+D46+D47+D45+D48</f>
        <v>8703.8285100000012</v>
      </c>
      <c r="E41" s="5">
        <f t="shared" si="0"/>
        <v>93.737420317422703</v>
      </c>
      <c r="F41" s="5">
        <f t="shared" si="1"/>
        <v>-581.50116999999955</v>
      </c>
      <c r="G41" s="19"/>
    </row>
    <row r="42" spans="1:7" ht="19.5" customHeight="1">
      <c r="A42" s="16">
        <v>2021000000</v>
      </c>
      <c r="B42" s="17" t="s">
        <v>20</v>
      </c>
      <c r="C42" s="466">
        <v>3003</v>
      </c>
      <c r="D42" s="467">
        <v>2802.76</v>
      </c>
      <c r="E42" s="9">
        <f t="shared" si="0"/>
        <v>93.33200133200134</v>
      </c>
      <c r="F42" s="9">
        <f t="shared" si="1"/>
        <v>-200.23999999999978</v>
      </c>
    </row>
    <row r="43" spans="1:7" ht="27.75" customHeight="1">
      <c r="A43" s="16">
        <v>2021500200</v>
      </c>
      <c r="B43" s="17" t="s">
        <v>231</v>
      </c>
      <c r="C43" s="12">
        <v>296.5</v>
      </c>
      <c r="D43" s="20">
        <v>96.5</v>
      </c>
      <c r="E43" s="9">
        <f t="shared" si="0"/>
        <v>32.546374367622263</v>
      </c>
      <c r="F43" s="9">
        <f t="shared" si="1"/>
        <v>-200</v>
      </c>
    </row>
    <row r="44" spans="1:7" ht="21" customHeight="1">
      <c r="A44" s="16">
        <v>2022000000</v>
      </c>
      <c r="B44" s="17" t="s">
        <v>21</v>
      </c>
      <c r="C44" s="12">
        <v>4765.3783100000001</v>
      </c>
      <c r="D44" s="10">
        <v>4494.13483</v>
      </c>
      <c r="E44" s="9">
        <f t="shared" si="0"/>
        <v>94.308038893138786</v>
      </c>
      <c r="F44" s="9">
        <f t="shared" si="1"/>
        <v>-271.24348000000009</v>
      </c>
    </row>
    <row r="45" spans="1:7" ht="23.25" hidden="1" customHeight="1">
      <c r="A45" s="16">
        <v>2022999910</v>
      </c>
      <c r="B45" s="18" t="s">
        <v>349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22</v>
      </c>
      <c r="C46" s="12">
        <v>183.01900000000001</v>
      </c>
      <c r="D46" s="187">
        <v>164.899</v>
      </c>
      <c r="E46" s="9">
        <f t="shared" si="0"/>
        <v>90.099388588070084</v>
      </c>
      <c r="F46" s="9">
        <f t="shared" si="1"/>
        <v>-18.120000000000005</v>
      </c>
    </row>
    <row r="47" spans="1:7" ht="14.25" customHeight="1">
      <c r="A47" s="16">
        <v>2020400000</v>
      </c>
      <c r="B47" s="17" t="s">
        <v>23</v>
      </c>
      <c r="C47" s="12">
        <v>668.37300000000005</v>
      </c>
      <c r="D47" s="188">
        <v>621.99379999999996</v>
      </c>
      <c r="E47" s="9">
        <f t="shared" si="0"/>
        <v>93.060880675909999</v>
      </c>
      <c r="F47" s="9">
        <f t="shared" si="1"/>
        <v>-46.379200000000083</v>
      </c>
    </row>
    <row r="48" spans="1:7" ht="16.5" customHeight="1">
      <c r="A48" s="7">
        <v>2070500010</v>
      </c>
      <c r="B48" s="17" t="s">
        <v>350</v>
      </c>
      <c r="C48" s="12">
        <v>369.05937</v>
      </c>
      <c r="D48" s="188">
        <v>523.54088000000002</v>
      </c>
      <c r="E48" s="9">
        <f t="shared" si="0"/>
        <v>141.85817311724128</v>
      </c>
      <c r="F48" s="9">
        <f t="shared" si="1"/>
        <v>154.48151000000001</v>
      </c>
    </row>
    <row r="49" spans="1:8" ht="47.25" hidden="1">
      <c r="A49" s="16">
        <v>2020900000</v>
      </c>
      <c r="B49" s="18" t="s">
        <v>24</v>
      </c>
      <c r="C49" s="275"/>
      <c r="D49" s="274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25</v>
      </c>
      <c r="C50" s="273">
        <v>0</v>
      </c>
      <c r="D50" s="273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26</v>
      </c>
      <c r="C51" s="276">
        <v>0</v>
      </c>
      <c r="D51" s="273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27</v>
      </c>
      <c r="C52" s="5">
        <f>SUM(C40,C41,C51)</f>
        <v>13220.769680000001</v>
      </c>
      <c r="D52" s="464">
        <f>D40+D41</f>
        <v>12054.12758</v>
      </c>
      <c r="E52" s="5">
        <f t="shared" si="0"/>
        <v>91.175686981637199</v>
      </c>
      <c r="F52" s="5">
        <f t="shared" si="1"/>
        <v>-1166.6421000000009</v>
      </c>
      <c r="G52" s="94"/>
      <c r="H52" s="94"/>
    </row>
    <row r="53" spans="1:8" s="6" customFormat="1">
      <c r="A53" s="3"/>
      <c r="B53" s="21" t="s">
        <v>320</v>
      </c>
      <c r="C53" s="5">
        <f>C52-C101</f>
        <v>-1205.1451999999972</v>
      </c>
      <c r="D53" s="5">
        <f>D52-D101</f>
        <v>-738.32925999999861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0</v>
      </c>
      <c r="B55" s="28" t="s">
        <v>28</v>
      </c>
      <c r="C55" s="146" t="s">
        <v>411</v>
      </c>
      <c r="D55" s="147" t="s">
        <v>424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29</v>
      </c>
      <c r="B57" s="31" t="s">
        <v>30</v>
      </c>
      <c r="C57" s="102">
        <f>C58+C59+C60+C61+C62+C64+C63</f>
        <v>1807.0159999999998</v>
      </c>
      <c r="D57" s="102">
        <f>D58+D59+D60+D61+D62+D64+D63</f>
        <v>1443.9190800000001</v>
      </c>
      <c r="E57" s="34">
        <f>SUM(D57/C57*100)</f>
        <v>79.906269783997502</v>
      </c>
      <c r="F57" s="34">
        <f>SUM(D57-C57)</f>
        <v>-363.09691999999973</v>
      </c>
    </row>
    <row r="58" spans="1:8" s="6" customFormat="1" ht="0.75" hidden="1" customHeight="1">
      <c r="A58" s="35" t="s">
        <v>31</v>
      </c>
      <c r="B58" s="36" t="s">
        <v>32</v>
      </c>
      <c r="C58" s="92"/>
      <c r="D58" s="92"/>
      <c r="E58" s="38"/>
      <c r="F58" s="38"/>
    </row>
    <row r="59" spans="1:8" ht="16.5" customHeight="1">
      <c r="A59" s="35" t="s">
        <v>33</v>
      </c>
      <c r="B59" s="39" t="s">
        <v>34</v>
      </c>
      <c r="C59" s="148">
        <v>1792.973</v>
      </c>
      <c r="D59" s="92">
        <v>1435.1765800000001</v>
      </c>
      <c r="E59" s="38">
        <f t="shared" ref="E59:E101" si="3">SUM(D59/C59*100)</f>
        <v>80.044517123236105</v>
      </c>
      <c r="F59" s="38">
        <f t="shared" ref="F59:F101" si="4">SUM(D59-C59)</f>
        <v>-357.7964199999999</v>
      </c>
    </row>
    <row r="60" spans="1:8" ht="12.75" hidden="1" customHeight="1">
      <c r="A60" s="35" t="s">
        <v>35</v>
      </c>
      <c r="B60" s="39" t="s">
        <v>36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92">
        <v>9.0429999999999993</v>
      </c>
      <c r="D64" s="92">
        <v>8.7424999999999997</v>
      </c>
      <c r="E64" s="38">
        <f t="shared" si="3"/>
        <v>96.676987725312401</v>
      </c>
      <c r="F64" s="38">
        <f t="shared" si="4"/>
        <v>-0.30049999999999955</v>
      </c>
    </row>
    <row r="65" spans="1:7" s="6" customFormat="1" ht="15.75" customHeight="1">
      <c r="A65" s="41" t="s">
        <v>45</v>
      </c>
      <c r="B65" s="42" t="s">
        <v>46</v>
      </c>
      <c r="C65" s="22">
        <f>C66</f>
        <v>179.892</v>
      </c>
      <c r="D65" s="22">
        <f>D66</f>
        <v>149.67910000000001</v>
      </c>
      <c r="E65" s="34">
        <f t="shared" si="3"/>
        <v>83.204978542681175</v>
      </c>
      <c r="F65" s="34">
        <f t="shared" si="4"/>
        <v>-30.212899999999991</v>
      </c>
    </row>
    <row r="66" spans="1:7">
      <c r="A66" s="43" t="s">
        <v>47</v>
      </c>
      <c r="B66" s="44" t="s">
        <v>48</v>
      </c>
      <c r="C66" s="92">
        <v>179.892</v>
      </c>
      <c r="D66" s="92">
        <v>149.67910000000001</v>
      </c>
      <c r="E66" s="38">
        <f t="shared" si="3"/>
        <v>83.204978542681175</v>
      </c>
      <c r="F66" s="38">
        <f t="shared" si="4"/>
        <v>-30.212899999999991</v>
      </c>
    </row>
    <row r="67" spans="1:7" s="6" customFormat="1" ht="20.25" customHeight="1">
      <c r="A67" s="30" t="s">
        <v>49</v>
      </c>
      <c r="B67" s="31" t="s">
        <v>50</v>
      </c>
      <c r="C67" s="22">
        <f>C70+C72+C71</f>
        <v>6.8031100000000002</v>
      </c>
      <c r="D67" s="22">
        <f>D70+D72</f>
        <v>4.8031100000000002</v>
      </c>
      <c r="E67" s="34">
        <f t="shared" si="3"/>
        <v>70.601680701914276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53</v>
      </c>
      <c r="B69" s="39" t="s">
        <v>54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2">
        <v>2.7031100000000001</v>
      </c>
      <c r="D70" s="92">
        <v>2.7031100000000001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357</v>
      </c>
      <c r="B71" s="47" t="s">
        <v>358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218</v>
      </c>
      <c r="B72" s="47" t="s">
        <v>219</v>
      </c>
      <c r="C72" s="92">
        <v>2.1</v>
      </c>
      <c r="D72" s="92">
        <v>2.1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461" t="s">
        <v>57</v>
      </c>
      <c r="B73" s="31" t="s">
        <v>58</v>
      </c>
      <c r="C73" s="105">
        <f>C75+C76+C77+C74</f>
        <v>5065.4899699999996</v>
      </c>
      <c r="D73" s="105">
        <f>SUM(D74:D77)</f>
        <v>4436.3329400000002</v>
      </c>
      <c r="E73" s="34">
        <f t="shared" si="3"/>
        <v>87.579542478099128</v>
      </c>
      <c r="F73" s="34">
        <f t="shared" si="4"/>
        <v>-629.15702999999939</v>
      </c>
    </row>
    <row r="74" spans="1:7" ht="15.75" customHeight="1">
      <c r="A74" s="35" t="s">
        <v>59</v>
      </c>
      <c r="B74" s="39" t="s">
        <v>60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61</v>
      </c>
      <c r="B75" s="39" t="s">
        <v>62</v>
      </c>
      <c r="C75" s="106">
        <v>1304.8150000000001</v>
      </c>
      <c r="D75" s="92">
        <v>1109.8752300000001</v>
      </c>
      <c r="E75" s="38">
        <f t="shared" si="3"/>
        <v>85.059968654560222</v>
      </c>
      <c r="F75" s="38">
        <f t="shared" si="4"/>
        <v>-194.93976999999995</v>
      </c>
      <c r="G75" s="50"/>
    </row>
    <row r="76" spans="1:7">
      <c r="A76" s="35" t="s">
        <v>63</v>
      </c>
      <c r="B76" s="39" t="s">
        <v>64</v>
      </c>
      <c r="C76" s="106">
        <v>3723.4219699999999</v>
      </c>
      <c r="D76" s="92">
        <v>3297.2477100000001</v>
      </c>
      <c r="E76" s="38">
        <f t="shared" si="3"/>
        <v>88.554231472185251</v>
      </c>
      <c r="F76" s="38">
        <f t="shared" si="4"/>
        <v>-426.17425999999978</v>
      </c>
    </row>
    <row r="77" spans="1:7">
      <c r="A77" s="35" t="s">
        <v>65</v>
      </c>
      <c r="B77" s="39" t="s">
        <v>66</v>
      </c>
      <c r="C77" s="106">
        <v>29.21</v>
      </c>
      <c r="D77" s="92">
        <v>29.21</v>
      </c>
      <c r="E77" s="38">
        <f t="shared" si="3"/>
        <v>100</v>
      </c>
      <c r="F77" s="38">
        <f t="shared" si="4"/>
        <v>0</v>
      </c>
    </row>
    <row r="78" spans="1:7" s="6" customFormat="1" ht="24" customHeight="1">
      <c r="A78" s="30" t="s">
        <v>67</v>
      </c>
      <c r="B78" s="31" t="s">
        <v>68</v>
      </c>
      <c r="C78" s="22">
        <f>SUM(C79:C82)</f>
        <v>4203.3906999999999</v>
      </c>
      <c r="D78" s="22">
        <f>SUM(D79:D82)</f>
        <v>3918.1269600000001</v>
      </c>
      <c r="E78" s="34">
        <f t="shared" si="3"/>
        <v>93.213485008662175</v>
      </c>
      <c r="F78" s="34">
        <f t="shared" si="4"/>
        <v>-285.26373999999987</v>
      </c>
    </row>
    <row r="79" spans="1:7" ht="2.25" hidden="1" customHeight="1">
      <c r="A79" s="35" t="s">
        <v>69</v>
      </c>
      <c r="B79" s="51" t="s">
        <v>70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71</v>
      </c>
      <c r="B80" s="51" t="s">
        <v>72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73</v>
      </c>
      <c r="B81" s="39" t="s">
        <v>74</v>
      </c>
      <c r="C81" s="92">
        <v>4203.3906999999999</v>
      </c>
      <c r="D81" s="92">
        <v>3918.1269600000001</v>
      </c>
      <c r="E81" s="38">
        <f t="shared" si="3"/>
        <v>93.213485008662175</v>
      </c>
      <c r="F81" s="38">
        <f t="shared" si="4"/>
        <v>-285.26373999999987</v>
      </c>
    </row>
    <row r="82" spans="1:6" ht="18" hidden="1" customHeight="1">
      <c r="A82" s="35" t="s">
        <v>263</v>
      </c>
      <c r="B82" s="39" t="s">
        <v>264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85</v>
      </c>
      <c r="B83" s="31" t="s">
        <v>86</v>
      </c>
      <c r="C83" s="22">
        <f>C84+C85</f>
        <v>3150.2750599999999</v>
      </c>
      <c r="D83" s="22">
        <f>D84+D85</f>
        <v>2830.5056500000001</v>
      </c>
      <c r="E83" s="34">
        <f t="shared" si="3"/>
        <v>89.849476508886184</v>
      </c>
      <c r="F83" s="34">
        <f t="shared" si="4"/>
        <v>-319.76940999999988</v>
      </c>
    </row>
    <row r="84" spans="1:6" ht="14.25" customHeight="1">
      <c r="A84" s="35" t="s">
        <v>87</v>
      </c>
      <c r="B84" s="39" t="s">
        <v>233</v>
      </c>
      <c r="C84" s="92">
        <v>3150.2750599999999</v>
      </c>
      <c r="D84" s="92">
        <v>2830.5056500000001</v>
      </c>
      <c r="E84" s="38">
        <f t="shared" si="3"/>
        <v>89.849476508886184</v>
      </c>
      <c r="F84" s="38">
        <f t="shared" si="4"/>
        <v>-319.76940999999988</v>
      </c>
    </row>
    <row r="85" spans="1:6" ht="14.25" hidden="1" customHeight="1">
      <c r="A85" s="35" t="s">
        <v>272</v>
      </c>
      <c r="B85" s="39" t="s">
        <v>273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89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90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91</v>
      </c>
      <c r="C89" s="92"/>
      <c r="D89" s="190"/>
      <c r="E89" s="34" t="e">
        <f t="shared" si="3"/>
        <v>#DIV/0!</v>
      </c>
      <c r="F89" s="38">
        <f t="shared" si="4"/>
        <v>0</v>
      </c>
    </row>
    <row r="90" spans="1:6" ht="0.75" customHeight="1">
      <c r="A90" s="35" t="s">
        <v>92</v>
      </c>
      <c r="B90" s="39" t="s">
        <v>93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13.04804</v>
      </c>
      <c r="D91" s="22">
        <f>D92+D93+D94+D95+D96</f>
        <v>9.09</v>
      </c>
      <c r="E91" s="34">
        <f t="shared" si="3"/>
        <v>69.665635605041061</v>
      </c>
      <c r="F91" s="22">
        <f>F92+F93+F94+F95+F96</f>
        <v>-3.9580400000000004</v>
      </c>
    </row>
    <row r="92" spans="1:6" ht="15.75" customHeight="1">
      <c r="A92" s="35" t="s">
        <v>96</v>
      </c>
      <c r="B92" s="39" t="s">
        <v>97</v>
      </c>
      <c r="C92" s="92">
        <v>13.04804</v>
      </c>
      <c r="D92" s="92">
        <v>9.09</v>
      </c>
      <c r="E92" s="38">
        <f t="shared" si="3"/>
        <v>69.665635605041061</v>
      </c>
      <c r="F92" s="38">
        <f>SUM(D92-C92)</f>
        <v>-3.9580400000000004</v>
      </c>
    </row>
    <row r="93" spans="1:6" ht="15" hidden="1" customHeight="1">
      <c r="A93" s="35" t="s">
        <v>98</v>
      </c>
      <c r="B93" s="39" t="s">
        <v>99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176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114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115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118</v>
      </c>
      <c r="C101" s="102">
        <f>C57+C65+C67+C73+C78+C83+C91+C86+C97</f>
        <v>14425.914879999998</v>
      </c>
      <c r="D101" s="102">
        <f>D57+D65+D67+D73+D78+D83+D91+D86+D97</f>
        <v>12792.456839999999</v>
      </c>
      <c r="E101" s="34">
        <f t="shared" si="3"/>
        <v>88.676918908868544</v>
      </c>
      <c r="F101" s="34">
        <f t="shared" si="4"/>
        <v>-1633.4580399999995</v>
      </c>
      <c r="G101" s="94"/>
    </row>
    <row r="102" spans="1:7" ht="5.25" customHeight="1">
      <c r="D102" s="61"/>
    </row>
    <row r="103" spans="1:7" s="65" customFormat="1" ht="12.75">
      <c r="A103" s="63" t="s">
        <v>119</v>
      </c>
      <c r="B103" s="63"/>
      <c r="C103" s="133"/>
      <c r="D103" s="64"/>
    </row>
    <row r="104" spans="1:7" s="65" customFormat="1" ht="12.75">
      <c r="A104" s="66" t="s">
        <v>120</v>
      </c>
      <c r="B104" s="66"/>
      <c r="C104" s="133" t="s">
        <v>121</v>
      </c>
    </row>
    <row r="142" hidden="1"/>
  </sheetData>
  <customSheetViews>
    <customSheetView guid="{120EA1E0-6265-45F1-AFBB-CEB5CB007D02}" scale="70" showPageBreaks="1" printArea="1" hiddenRows="1" view="pageBreakPreview" topLeftCell="A28">
      <selection activeCell="C101" sqref="C101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2"/>
      <headerFooter alignWithMargins="0"/>
    </customSheetView>
    <customSheetView guid="{B30CE22D-C12F-4E12-8BB9-3AAE0A6991CC}" scale="70" showPageBreaks="1" fitToPage="1" printArea="1" hiddenRows="1" view="pageBreakPreview">
      <selection activeCell="C41" sqref="C41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4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5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7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8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9"/>
      <headerFooter alignWithMargins="0"/>
    </customSheetView>
    <customSheetView guid="{61528DAC-5C4C-48F4-ADE2-8A724B05A086}" scale="70" showPageBreaks="1" printArea="1" hiddenRows="1" view="pageBreakPreview" topLeftCell="A28">
      <selection activeCell="C101" sqref="C101"/>
      <pageMargins left="0.74803149606299213" right="0.74803149606299213" top="0.98425196850393704" bottom="0.98425196850393704" header="0.51181102362204722" footer="0.51181102362204722"/>
      <pageSetup paperSize="9" scale="59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3"/>
  <sheetViews>
    <sheetView view="pageBreakPreview" topLeftCell="A10" zoomScale="70" zoomScaleSheetLayoutView="70" workbookViewId="0">
      <selection activeCell="C10" sqref="C1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426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1771.4749999999999</v>
      </c>
      <c r="D4" s="5">
        <f>D5+D12+D14+D17+D7</f>
        <v>1659.09872</v>
      </c>
      <c r="E4" s="5">
        <f>SUM(D4/C4*100)</f>
        <v>93.656344007112722</v>
      </c>
      <c r="F4" s="5">
        <f>SUM(D4-C4)</f>
        <v>-112.37627999999995</v>
      </c>
    </row>
    <row r="5" spans="1:6" s="6" customFormat="1">
      <c r="A5" s="68">
        <v>1010000000</v>
      </c>
      <c r="B5" s="67" t="s">
        <v>5</v>
      </c>
      <c r="C5" s="5">
        <f>C6</f>
        <v>100.23</v>
      </c>
      <c r="D5" s="5">
        <f>D6</f>
        <v>60.072470000000003</v>
      </c>
      <c r="E5" s="5">
        <f t="shared" ref="E5:E52" si="0">SUM(D5/C5*100)</f>
        <v>59.934620373141776</v>
      </c>
      <c r="F5" s="5">
        <f t="shared" ref="F5:F52" si="1">SUM(D5-C5)</f>
        <v>-40.157530000000001</v>
      </c>
    </row>
    <row r="6" spans="1:6">
      <c r="A6" s="7">
        <v>1010200001</v>
      </c>
      <c r="B6" s="8" t="s">
        <v>228</v>
      </c>
      <c r="C6" s="9">
        <v>100.23</v>
      </c>
      <c r="D6" s="10">
        <v>60.072470000000003</v>
      </c>
      <c r="E6" s="9">
        <f t="shared" ref="E6:E11" si="2">SUM(D6/C6*100)</f>
        <v>59.934620373141776</v>
      </c>
      <c r="F6" s="9">
        <f t="shared" si="1"/>
        <v>-40.157530000000001</v>
      </c>
    </row>
    <row r="7" spans="1:6" ht="31.5">
      <c r="A7" s="3">
        <v>1030000000</v>
      </c>
      <c r="B7" s="13" t="s">
        <v>280</v>
      </c>
      <c r="C7" s="5">
        <f>C8+C10+C9</f>
        <v>601.24499999999989</v>
      </c>
      <c r="D7" s="5">
        <f>D8+D10+D9+D11</f>
        <v>670.80310999999983</v>
      </c>
      <c r="E7" s="9">
        <f t="shared" si="2"/>
        <v>111.56901263212167</v>
      </c>
      <c r="F7" s="9">
        <f t="shared" si="1"/>
        <v>69.558109999999942</v>
      </c>
    </row>
    <row r="8" spans="1:6">
      <c r="A8" s="7">
        <v>1030223001</v>
      </c>
      <c r="B8" s="8" t="s">
        <v>282</v>
      </c>
      <c r="C8" s="9">
        <v>224.26</v>
      </c>
      <c r="D8" s="10">
        <v>304.89062000000001</v>
      </c>
      <c r="E8" s="9">
        <f t="shared" si="2"/>
        <v>135.95408008561492</v>
      </c>
      <c r="F8" s="9">
        <f t="shared" si="1"/>
        <v>80.630620000000022</v>
      </c>
    </row>
    <row r="9" spans="1:6">
      <c r="A9" s="7">
        <v>1030224001</v>
      </c>
      <c r="B9" s="8" t="s">
        <v>288</v>
      </c>
      <c r="C9" s="9">
        <v>2.4049999999999998</v>
      </c>
      <c r="D9" s="10">
        <v>2.2451099999999999</v>
      </c>
      <c r="E9" s="9">
        <f t="shared" si="2"/>
        <v>93.351767151767163</v>
      </c>
      <c r="F9" s="9">
        <f t="shared" si="1"/>
        <v>-0.15988999999999987</v>
      </c>
    </row>
    <row r="10" spans="1:6">
      <c r="A10" s="7">
        <v>1030225001</v>
      </c>
      <c r="B10" s="8" t="s">
        <v>281</v>
      </c>
      <c r="C10" s="9">
        <v>374.58</v>
      </c>
      <c r="D10" s="10">
        <v>409.58508999999998</v>
      </c>
      <c r="E10" s="9">
        <f t="shared" si="2"/>
        <v>109.34515724277858</v>
      </c>
      <c r="F10" s="9">
        <f t="shared" si="1"/>
        <v>35.005089999999996</v>
      </c>
    </row>
    <row r="11" spans="1:6">
      <c r="A11" s="7">
        <v>1030226001</v>
      </c>
      <c r="B11" s="8" t="s">
        <v>290</v>
      </c>
      <c r="C11" s="9">
        <v>0</v>
      </c>
      <c r="D11" s="10">
        <v>-45.91771</v>
      </c>
      <c r="E11" s="9" t="e">
        <f t="shared" si="2"/>
        <v>#DIV/0!</v>
      </c>
      <c r="F11" s="9">
        <f t="shared" si="1"/>
        <v>-45.91771</v>
      </c>
    </row>
    <row r="12" spans="1:6" s="6" customFormat="1">
      <c r="A12" s="68">
        <v>1050000000</v>
      </c>
      <c r="B12" s="67" t="s">
        <v>6</v>
      </c>
      <c r="C12" s="5">
        <f>SUM(C13:C13)</f>
        <v>7</v>
      </c>
      <c r="D12" s="5">
        <f>SUM(D13:D13)</f>
        <v>8.6674199999999999</v>
      </c>
      <c r="E12" s="5">
        <f t="shared" si="0"/>
        <v>123.82028571428572</v>
      </c>
      <c r="F12" s="5">
        <f t="shared" si="1"/>
        <v>1.6674199999999999</v>
      </c>
    </row>
    <row r="13" spans="1:6" ht="15.75" customHeight="1">
      <c r="A13" s="7">
        <v>1050300000</v>
      </c>
      <c r="B13" s="11" t="s">
        <v>229</v>
      </c>
      <c r="C13" s="12">
        <v>7</v>
      </c>
      <c r="D13" s="10">
        <v>8.6674199999999999</v>
      </c>
      <c r="E13" s="9">
        <f t="shared" si="0"/>
        <v>123.82028571428572</v>
      </c>
      <c r="F13" s="9">
        <f t="shared" si="1"/>
        <v>1.6674199999999999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1058</v>
      </c>
      <c r="D14" s="5">
        <f>D15+D16</f>
        <v>915.14571999999998</v>
      </c>
      <c r="E14" s="5">
        <f t="shared" si="0"/>
        <v>86.497705103969764</v>
      </c>
      <c r="F14" s="5">
        <f t="shared" si="1"/>
        <v>-142.85428000000002</v>
      </c>
    </row>
    <row r="15" spans="1:6" s="6" customFormat="1" ht="15.75" customHeight="1">
      <c r="A15" s="7">
        <v>1060100000</v>
      </c>
      <c r="B15" s="11" t="s">
        <v>8</v>
      </c>
      <c r="C15" s="9">
        <v>248</v>
      </c>
      <c r="D15" s="10">
        <v>280.11565999999999</v>
      </c>
      <c r="E15" s="9">
        <f t="shared" si="0"/>
        <v>112.94986290322579</v>
      </c>
      <c r="F15" s="9">
        <f>SUM(D15-C15)</f>
        <v>32.115659999999991</v>
      </c>
    </row>
    <row r="16" spans="1:6" ht="15.75" customHeight="1">
      <c r="A16" s="7">
        <v>1060600000</v>
      </c>
      <c r="B16" s="11" t="s">
        <v>7</v>
      </c>
      <c r="C16" s="9">
        <v>810</v>
      </c>
      <c r="D16" s="10">
        <v>635.03006000000005</v>
      </c>
      <c r="E16" s="9">
        <f t="shared" si="0"/>
        <v>78.398772839506179</v>
      </c>
      <c r="F16" s="9">
        <f t="shared" si="1"/>
        <v>-174.96993999999995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4.41</v>
      </c>
      <c r="E17" s="5">
        <f t="shared" si="0"/>
        <v>88.2</v>
      </c>
      <c r="F17" s="5">
        <f t="shared" si="1"/>
        <v>-0.58999999999999986</v>
      </c>
    </row>
    <row r="18" spans="1:6" ht="21.75" customHeight="1">
      <c r="A18" s="7">
        <v>1080400001</v>
      </c>
      <c r="B18" s="8" t="s">
        <v>227</v>
      </c>
      <c r="C18" s="9">
        <v>5</v>
      </c>
      <c r="D18" s="10">
        <v>4.41</v>
      </c>
      <c r="E18" s="9">
        <f t="shared" si="0"/>
        <v>88.2</v>
      </c>
      <c r="F18" s="9">
        <f t="shared" si="1"/>
        <v>-0.58999999999999986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280</v>
      </c>
      <c r="D25" s="5">
        <f>D26+D30+D32+D37+D35</f>
        <v>237.86027999999999</v>
      </c>
      <c r="E25" s="5">
        <f t="shared" si="0"/>
        <v>84.950099999999992</v>
      </c>
      <c r="F25" s="5">
        <f t="shared" si="1"/>
        <v>-42.139720000000011</v>
      </c>
    </row>
    <row r="26" spans="1:6" s="6" customFormat="1" ht="30" customHeight="1">
      <c r="A26" s="68">
        <v>1110000000</v>
      </c>
      <c r="B26" s="69" t="s">
        <v>128</v>
      </c>
      <c r="C26" s="5">
        <f>C27+C28+C29</f>
        <v>220</v>
      </c>
      <c r="D26" s="5">
        <f>D27+D28+D29</f>
        <v>198.19432</v>
      </c>
      <c r="E26" s="5">
        <f t="shared" si="0"/>
        <v>90.08832727272727</v>
      </c>
      <c r="F26" s="5">
        <f t="shared" si="1"/>
        <v>-21.805679999999995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299</v>
      </c>
      <c r="C28" s="12">
        <v>200</v>
      </c>
      <c r="D28" s="10">
        <v>159.10266999999999</v>
      </c>
      <c r="E28" s="9">
        <f t="shared" si="0"/>
        <v>79.551334999999995</v>
      </c>
      <c r="F28" s="9">
        <f t="shared" si="1"/>
        <v>-40.897330000000011</v>
      </c>
    </row>
    <row r="29" spans="1:6" ht="18" customHeight="1">
      <c r="A29" s="7">
        <v>1110503505</v>
      </c>
      <c r="B29" s="11" t="s">
        <v>224</v>
      </c>
      <c r="C29" s="12">
        <v>20</v>
      </c>
      <c r="D29" s="10">
        <v>39.091650000000001</v>
      </c>
      <c r="E29" s="9">
        <f t="shared" si="0"/>
        <v>195.45825000000002</v>
      </c>
      <c r="F29" s="9">
        <f t="shared" si="1"/>
        <v>19.091650000000001</v>
      </c>
    </row>
    <row r="30" spans="1:6" s="15" customFormat="1" ht="15.75" customHeight="1">
      <c r="A30" s="68">
        <v>1130000000</v>
      </c>
      <c r="B30" s="69" t="s">
        <v>130</v>
      </c>
      <c r="C30" s="5">
        <f>C31</f>
        <v>60</v>
      </c>
      <c r="D30" s="5">
        <f>D31</f>
        <v>33.152810000000002</v>
      </c>
      <c r="E30" s="5">
        <f t="shared" si="0"/>
        <v>55.254683333333332</v>
      </c>
      <c r="F30" s="5">
        <f t="shared" si="1"/>
        <v>-26.847189999999998</v>
      </c>
    </row>
    <row r="31" spans="1:6">
      <c r="A31" s="7">
        <v>1130305005</v>
      </c>
      <c r="B31" s="8" t="s">
        <v>14</v>
      </c>
      <c r="C31" s="9">
        <v>60</v>
      </c>
      <c r="D31" s="10">
        <v>33.152810000000002</v>
      </c>
      <c r="E31" s="9">
        <f t="shared" si="0"/>
        <v>55.254683333333332</v>
      </c>
      <c r="F31" s="9">
        <f t="shared" si="1"/>
        <v>-26.847189999999998</v>
      </c>
    </row>
    <row r="32" spans="1:6" ht="17.25" customHeight="1">
      <c r="A32" s="70">
        <v>1140000000</v>
      </c>
      <c r="B32" s="71" t="s">
        <v>131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4.75" customHeight="1">
      <c r="A35" s="3">
        <v>1160000000</v>
      </c>
      <c r="B35" s="13" t="s">
        <v>251</v>
      </c>
      <c r="C35" s="5">
        <f>C36</f>
        <v>0</v>
      </c>
      <c r="D35" s="5">
        <f>D36</f>
        <v>6.5131500000000004</v>
      </c>
      <c r="E35" s="5" t="e">
        <f t="shared" si="0"/>
        <v>#DIV/0!</v>
      </c>
      <c r="F35" s="5">
        <f t="shared" si="1"/>
        <v>6.5131500000000004</v>
      </c>
    </row>
    <row r="36" spans="1:7" ht="30.75" customHeight="1">
      <c r="A36" s="7">
        <v>1169005010</v>
      </c>
      <c r="B36" s="8" t="s">
        <v>322</v>
      </c>
      <c r="C36" s="9">
        <v>0</v>
      </c>
      <c r="D36" s="10">
        <v>6.5131500000000004</v>
      </c>
      <c r="E36" s="9" t="e">
        <f t="shared" si="0"/>
        <v>#DIV/0!</v>
      </c>
      <c r="F36" s="9">
        <f t="shared" si="1"/>
        <v>6.5131500000000004</v>
      </c>
    </row>
    <row r="37" spans="1:7" ht="24.75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0.7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s="285" customFormat="1" ht="21.75" hidden="1" customHeight="1">
      <c r="A39" s="282">
        <v>1170505005</v>
      </c>
      <c r="B39" s="283" t="s">
        <v>220</v>
      </c>
      <c r="C39" s="148">
        <v>0</v>
      </c>
      <c r="D39" s="462">
        <v>0</v>
      </c>
      <c r="E39" s="284" t="e">
        <f t="shared" si="0"/>
        <v>#DIV/0!</v>
      </c>
      <c r="F39" s="284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2051.4749999999999</v>
      </c>
      <c r="D40" s="127">
        <f>D4+D25</f>
        <v>1896.9589999999998</v>
      </c>
      <c r="E40" s="5">
        <f t="shared" si="0"/>
        <v>92.468053473720119</v>
      </c>
      <c r="F40" s="5">
        <f t="shared" si="1"/>
        <v>-154.51600000000008</v>
      </c>
    </row>
    <row r="41" spans="1:7" s="6" customFormat="1">
      <c r="A41" s="3">
        <v>2000000000</v>
      </c>
      <c r="B41" s="4" t="s">
        <v>19</v>
      </c>
      <c r="C41" s="5">
        <f>C42+C44+C46+C47+C48+C49+C43+C45+C51</f>
        <v>7904.1851400000014</v>
      </c>
      <c r="D41" s="5">
        <f>D42+D44+D46+D47+D48+D49+D43+D45+D51</f>
        <v>7092.4820400000008</v>
      </c>
      <c r="E41" s="5">
        <f t="shared" si="0"/>
        <v>89.730717517074751</v>
      </c>
      <c r="F41" s="5">
        <f t="shared" si="1"/>
        <v>-811.70310000000063</v>
      </c>
      <c r="G41" s="19"/>
    </row>
    <row r="42" spans="1:7">
      <c r="A42" s="16">
        <v>2021000000</v>
      </c>
      <c r="B42" s="17" t="s">
        <v>20</v>
      </c>
      <c r="C42" s="463">
        <v>1759.1</v>
      </c>
      <c r="D42" s="20">
        <v>1641.982</v>
      </c>
      <c r="E42" s="9">
        <f t="shared" si="0"/>
        <v>93.342163606389633</v>
      </c>
      <c r="F42" s="9">
        <f t="shared" si="1"/>
        <v>-117.11799999999994</v>
      </c>
    </row>
    <row r="43" spans="1:7">
      <c r="A43" s="16">
        <v>2021500200</v>
      </c>
      <c r="B43" s="17" t="s">
        <v>231</v>
      </c>
      <c r="C43" s="12">
        <v>371.6</v>
      </c>
      <c r="D43" s="20">
        <v>225.8</v>
      </c>
      <c r="E43" s="9">
        <f t="shared" si="0"/>
        <v>60.764262648008618</v>
      </c>
      <c r="F43" s="9">
        <f t="shared" si="1"/>
        <v>-145.80000000000001</v>
      </c>
    </row>
    <row r="44" spans="1:7" ht="16.5" customHeight="1">
      <c r="A44" s="16">
        <v>2022000000</v>
      </c>
      <c r="B44" s="17" t="s">
        <v>21</v>
      </c>
      <c r="C44" s="12">
        <v>3887.2049999999999</v>
      </c>
      <c r="D44" s="10">
        <v>3526.84015</v>
      </c>
      <c r="E44" s="9">
        <f t="shared" si="0"/>
        <v>90.729461142388942</v>
      </c>
      <c r="F44" s="9">
        <f t="shared" si="1"/>
        <v>-360.36484999999993</v>
      </c>
    </row>
    <row r="45" spans="1:7">
      <c r="A45" s="16">
        <v>2022999910</v>
      </c>
      <c r="B45" s="18" t="s">
        <v>349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22</v>
      </c>
      <c r="C46" s="12">
        <v>181.08199999999999</v>
      </c>
      <c r="D46" s="187">
        <v>164.899</v>
      </c>
      <c r="E46" s="9">
        <f>SUM(D46/C46*100)</f>
        <v>91.063164754089314</v>
      </c>
      <c r="F46" s="9">
        <f>SUM(D46-C46)</f>
        <v>-16.182999999999993</v>
      </c>
    </row>
    <row r="47" spans="1:7">
      <c r="A47" s="16">
        <v>2020400000</v>
      </c>
      <c r="B47" s="17" t="s">
        <v>23</v>
      </c>
      <c r="C47" s="12">
        <v>1372.8612800000001</v>
      </c>
      <c r="D47" s="188">
        <v>1199.4018900000001</v>
      </c>
      <c r="E47" s="9">
        <f t="shared" si="0"/>
        <v>87.36511892884036</v>
      </c>
      <c r="F47" s="9">
        <f t="shared" si="1"/>
        <v>-173.45938999999998</v>
      </c>
    </row>
    <row r="48" spans="1:7" ht="47.25">
      <c r="A48" s="16">
        <v>2020700000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25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356</v>
      </c>
      <c r="C51" s="12">
        <v>332.33686</v>
      </c>
      <c r="D51" s="10">
        <v>333.55900000000003</v>
      </c>
      <c r="E51" s="9">
        <f t="shared" si="0"/>
        <v>100.36774133329661</v>
      </c>
      <c r="F51" s="9">
        <f t="shared" si="1"/>
        <v>1.2221400000000244</v>
      </c>
    </row>
    <row r="52" spans="1:8" s="6" customFormat="1" ht="23.25" customHeight="1">
      <c r="A52" s="3"/>
      <c r="B52" s="4" t="s">
        <v>27</v>
      </c>
      <c r="C52" s="5">
        <f>C40+C41</f>
        <v>9955.6601400000018</v>
      </c>
      <c r="D52" s="468">
        <f>D40+D41</f>
        <v>8989.4410400000015</v>
      </c>
      <c r="E52" s="5">
        <f t="shared" si="0"/>
        <v>90.294776173426101</v>
      </c>
      <c r="F52" s="5">
        <f t="shared" si="1"/>
        <v>-966.21910000000025</v>
      </c>
      <c r="G52" s="94"/>
      <c r="H52" s="94"/>
    </row>
    <row r="53" spans="1:8" s="6" customFormat="1">
      <c r="A53" s="3"/>
      <c r="B53" s="21" t="s">
        <v>320</v>
      </c>
      <c r="C53" s="5">
        <f>C52-C101</f>
        <v>-513.93217999999797</v>
      </c>
      <c r="D53" s="5">
        <f>D52-D101</f>
        <v>-124.46701999999823</v>
      </c>
      <c r="E53" s="22"/>
      <c r="F53" s="22"/>
    </row>
    <row r="54" spans="1:8" ht="32.25" customHeight="1">
      <c r="A54" s="23"/>
      <c r="B54" s="24"/>
      <c r="C54" s="183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29</v>
      </c>
      <c r="B57" s="31" t="s">
        <v>30</v>
      </c>
      <c r="C57" s="22">
        <f>C58+C59+C60+C61+C62+C64+C63</f>
        <v>1355.5939999999998</v>
      </c>
      <c r="D57" s="102">
        <f>D58+D59+D60+D61+D62+D64+D63</f>
        <v>1068.3890899999999</v>
      </c>
      <c r="E57" s="34">
        <f>SUM(D57/C57*100)</f>
        <v>78.813353408173839</v>
      </c>
      <c r="F57" s="34">
        <f>SUM(D57-C57)</f>
        <v>-287.20490999999993</v>
      </c>
    </row>
    <row r="58" spans="1:8" s="6" customFormat="1" ht="1.5" hidden="1" customHeight="1">
      <c r="A58" s="35" t="s">
        <v>31</v>
      </c>
      <c r="B58" s="36" t="s">
        <v>32</v>
      </c>
      <c r="C58" s="92">
        <v>0</v>
      </c>
      <c r="D58" s="92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33</v>
      </c>
      <c r="B59" s="39" t="s">
        <v>34</v>
      </c>
      <c r="C59" s="92">
        <v>1334.0429999999999</v>
      </c>
      <c r="D59" s="92">
        <v>1061.83809</v>
      </c>
      <c r="E59" s="38">
        <f t="shared" ref="E59:E101" si="3">SUM(D59/C59*100)</f>
        <v>79.595492049356736</v>
      </c>
      <c r="F59" s="38">
        <f t="shared" ref="F59:F101" si="4">SUM(D59-C59)</f>
        <v>-272.20490999999993</v>
      </c>
    </row>
    <row r="60" spans="1:8" ht="16.5" hidden="1" customHeight="1">
      <c r="A60" s="35" t="s">
        <v>35</v>
      </c>
      <c r="B60" s="39" t="s">
        <v>36</v>
      </c>
      <c r="C60" s="92"/>
      <c r="D60" s="92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43</v>
      </c>
      <c r="B64" s="39" t="s">
        <v>44</v>
      </c>
      <c r="C64" s="92">
        <v>16.550999999999998</v>
      </c>
      <c r="D64" s="92">
        <v>6.5510000000000002</v>
      </c>
      <c r="E64" s="38">
        <f t="shared" si="3"/>
        <v>39.580689988520334</v>
      </c>
      <c r="F64" s="38">
        <f t="shared" si="4"/>
        <v>-9.9999999999999982</v>
      </c>
    </row>
    <row r="65" spans="1:7" s="6" customFormat="1">
      <c r="A65" s="41" t="s">
        <v>45</v>
      </c>
      <c r="B65" s="42" t="s">
        <v>46</v>
      </c>
      <c r="C65" s="22">
        <f>C66</f>
        <v>179.892</v>
      </c>
      <c r="D65" s="22">
        <f>D66</f>
        <v>152.90369000000001</v>
      </c>
      <c r="E65" s="34">
        <f t="shared" si="3"/>
        <v>84.997492940208573</v>
      </c>
      <c r="F65" s="34">
        <f t="shared" si="4"/>
        <v>-26.988309999999984</v>
      </c>
    </row>
    <row r="66" spans="1:7" ht="15" customHeight="1">
      <c r="A66" s="43" t="s">
        <v>47</v>
      </c>
      <c r="B66" s="44" t="s">
        <v>48</v>
      </c>
      <c r="C66" s="92">
        <v>179.892</v>
      </c>
      <c r="D66" s="92">
        <v>152.90369000000001</v>
      </c>
      <c r="E66" s="38">
        <f t="shared" si="3"/>
        <v>84.997492940208573</v>
      </c>
      <c r="F66" s="38">
        <f t="shared" si="4"/>
        <v>-26.988309999999984</v>
      </c>
    </row>
    <row r="67" spans="1:7" s="6" customFormat="1" ht="18" customHeight="1">
      <c r="A67" s="30" t="s">
        <v>49</v>
      </c>
      <c r="B67" s="31" t="s">
        <v>50</v>
      </c>
      <c r="C67" s="22">
        <f>C70+C71+C72</f>
        <v>6</v>
      </c>
      <c r="D67" s="22">
        <f>D70+D71+D72</f>
        <v>6</v>
      </c>
      <c r="E67" s="34">
        <f t="shared" si="3"/>
        <v>100</v>
      </c>
      <c r="F67" s="34">
        <f t="shared" si="4"/>
        <v>0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53</v>
      </c>
      <c r="B69" s="39" t="s">
        <v>54</v>
      </c>
      <c r="C69" s="92"/>
      <c r="D69" s="92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2">
        <v>2</v>
      </c>
      <c r="D70" s="92">
        <v>2</v>
      </c>
      <c r="E70" s="34">
        <f t="shared" si="3"/>
        <v>100</v>
      </c>
      <c r="F70" s="34">
        <f t="shared" si="4"/>
        <v>0</v>
      </c>
    </row>
    <row r="71" spans="1:7" ht="17.25" customHeight="1">
      <c r="A71" s="46" t="s">
        <v>218</v>
      </c>
      <c r="B71" s="47" t="s">
        <v>219</v>
      </c>
      <c r="C71" s="92">
        <v>2</v>
      </c>
      <c r="D71" s="92">
        <v>2</v>
      </c>
      <c r="E71" s="38">
        <f t="shared" si="3"/>
        <v>100</v>
      </c>
      <c r="F71" s="38">
        <f t="shared" si="4"/>
        <v>0</v>
      </c>
    </row>
    <row r="72" spans="1:7" ht="17.25" customHeight="1">
      <c r="A72" s="46" t="s">
        <v>357</v>
      </c>
      <c r="B72" s="47" t="s">
        <v>408</v>
      </c>
      <c r="C72" s="92">
        <v>2</v>
      </c>
      <c r="D72" s="92">
        <v>2</v>
      </c>
      <c r="E72" s="38">
        <f>SUM(D72/C72*100)</f>
        <v>100</v>
      </c>
      <c r="F72" s="38">
        <f>SUM(D72-C72)</f>
        <v>0</v>
      </c>
    </row>
    <row r="73" spans="1:7" s="6" customFormat="1" ht="19.5" customHeight="1">
      <c r="A73" s="30" t="s">
        <v>57</v>
      </c>
      <c r="B73" s="31" t="s">
        <v>58</v>
      </c>
      <c r="C73" s="105">
        <f>C75+C76+C77+C74</f>
        <v>5777.7990099999997</v>
      </c>
      <c r="D73" s="105">
        <f>SUM(D74:D77)</f>
        <v>5260.4388499999995</v>
      </c>
      <c r="E73" s="34">
        <f t="shared" si="3"/>
        <v>91.045722443709579</v>
      </c>
      <c r="F73" s="34">
        <f t="shared" si="4"/>
        <v>-517.36016000000018</v>
      </c>
    </row>
    <row r="74" spans="1:7" ht="17.25" customHeight="1">
      <c r="A74" s="35" t="s">
        <v>59</v>
      </c>
      <c r="B74" s="39" t="s">
        <v>60</v>
      </c>
      <c r="C74" s="106">
        <v>2.681</v>
      </c>
      <c r="D74" s="92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61</v>
      </c>
      <c r="B75" s="39" t="s">
        <v>62</v>
      </c>
      <c r="C75" s="106">
        <v>521.64328999999998</v>
      </c>
      <c r="D75" s="92">
        <v>481.70292000000001</v>
      </c>
      <c r="E75" s="38">
        <f t="shared" si="3"/>
        <v>92.343355935815836</v>
      </c>
      <c r="F75" s="38">
        <f t="shared" si="4"/>
        <v>-39.940369999999973</v>
      </c>
      <c r="G75" s="50"/>
    </row>
    <row r="76" spans="1:7" ht="16.5" customHeight="1">
      <c r="A76" s="35" t="s">
        <v>63</v>
      </c>
      <c r="B76" s="39" t="s">
        <v>64</v>
      </c>
      <c r="C76" s="106">
        <v>5173.4747200000002</v>
      </c>
      <c r="D76" s="92">
        <v>4739.57593</v>
      </c>
      <c r="E76" s="38">
        <f t="shared" si="3"/>
        <v>91.613010336696874</v>
      </c>
      <c r="F76" s="38">
        <f t="shared" si="4"/>
        <v>-433.89879000000019</v>
      </c>
    </row>
    <row r="77" spans="1:7" ht="16.5" customHeight="1">
      <c r="A77" s="35" t="s">
        <v>65</v>
      </c>
      <c r="B77" s="39" t="s">
        <v>66</v>
      </c>
      <c r="C77" s="106">
        <v>80</v>
      </c>
      <c r="D77" s="92">
        <v>39.159999999999997</v>
      </c>
      <c r="E77" s="38">
        <f t="shared" si="3"/>
        <v>48.949999999999996</v>
      </c>
      <c r="F77" s="38">
        <f t="shared" si="4"/>
        <v>-40.840000000000003</v>
      </c>
    </row>
    <row r="78" spans="1:7" ht="15.75" hidden="1" customHeight="1">
      <c r="A78" s="30" t="s">
        <v>49</v>
      </c>
      <c r="B78" s="31" t="s">
        <v>50</v>
      </c>
      <c r="C78" s="105">
        <v>0</v>
      </c>
      <c r="D78" s="92"/>
      <c r="E78" s="38"/>
      <c r="F78" s="38"/>
    </row>
    <row r="79" spans="1:7" ht="15.75" hidden="1" customHeight="1">
      <c r="A79" s="46" t="s">
        <v>218</v>
      </c>
      <c r="B79" s="47" t="s">
        <v>219</v>
      </c>
      <c r="C79" s="106">
        <v>0</v>
      </c>
      <c r="D79" s="92"/>
      <c r="E79" s="38"/>
      <c r="F79" s="38"/>
    </row>
    <row r="80" spans="1:7" s="6" customFormat="1" ht="19.5" customHeight="1">
      <c r="A80" s="30" t="s">
        <v>67</v>
      </c>
      <c r="B80" s="31" t="s">
        <v>68</v>
      </c>
      <c r="C80" s="22">
        <f>SUM(C81:C83)</f>
        <v>876.64191000000005</v>
      </c>
      <c r="D80" s="22">
        <f>SUM(D81:D83)</f>
        <v>858.42899</v>
      </c>
      <c r="E80" s="34">
        <f t="shared" si="3"/>
        <v>97.922421938508492</v>
      </c>
      <c r="F80" s="34">
        <f t="shared" si="4"/>
        <v>-18.212920000000054</v>
      </c>
    </row>
    <row r="81" spans="1:6" hidden="1">
      <c r="A81" s="35" t="s">
        <v>69</v>
      </c>
      <c r="B81" s="51" t="s">
        <v>70</v>
      </c>
      <c r="C81" s="92"/>
      <c r="D81" s="92"/>
      <c r="E81" s="38" t="e">
        <f t="shared" si="3"/>
        <v>#DIV/0!</v>
      </c>
      <c r="F81" s="38">
        <f t="shared" si="4"/>
        <v>0</v>
      </c>
    </row>
    <row r="82" spans="1:6">
      <c r="A82" s="35" t="s">
        <v>71</v>
      </c>
      <c r="B82" s="51" t="s">
        <v>72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ht="18" customHeight="1">
      <c r="A83" s="35" t="s">
        <v>73</v>
      </c>
      <c r="B83" s="39" t="s">
        <v>74</v>
      </c>
      <c r="C83" s="92">
        <v>876.64191000000005</v>
      </c>
      <c r="D83" s="92">
        <v>858.42899</v>
      </c>
      <c r="E83" s="38">
        <f t="shared" si="3"/>
        <v>97.922421938508492</v>
      </c>
      <c r="F83" s="38">
        <f t="shared" si="4"/>
        <v>-18.212920000000054</v>
      </c>
    </row>
    <row r="84" spans="1:6" s="6" customFormat="1" ht="16.5" customHeight="1">
      <c r="A84" s="30" t="s">
        <v>85</v>
      </c>
      <c r="B84" s="31" t="s">
        <v>86</v>
      </c>
      <c r="C84" s="22">
        <f>C85</f>
        <v>2221.6653999999999</v>
      </c>
      <c r="D84" s="22">
        <f>SUM(D85)</f>
        <v>1760.09744</v>
      </c>
      <c r="E84" s="34">
        <f t="shared" si="3"/>
        <v>79.224236016818736</v>
      </c>
      <c r="F84" s="34">
        <f t="shared" si="4"/>
        <v>-461.56795999999986</v>
      </c>
    </row>
    <row r="85" spans="1:6" ht="14.25" customHeight="1">
      <c r="A85" s="35" t="s">
        <v>87</v>
      </c>
      <c r="B85" s="39" t="s">
        <v>233</v>
      </c>
      <c r="C85" s="92">
        <v>2221.6653999999999</v>
      </c>
      <c r="D85" s="92">
        <v>1760.09744</v>
      </c>
      <c r="E85" s="38">
        <f t="shared" si="3"/>
        <v>79.224236016818736</v>
      </c>
      <c r="F85" s="38">
        <f t="shared" si="4"/>
        <v>-461.56795999999986</v>
      </c>
    </row>
    <row r="86" spans="1:6" s="6" customFormat="1" ht="12" hidden="1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89</v>
      </c>
      <c r="C87" s="92"/>
      <c r="D87" s="92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90</v>
      </c>
      <c r="C88" s="92">
        <v>0</v>
      </c>
      <c r="D88" s="92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91</v>
      </c>
      <c r="C89" s="92">
        <v>0</v>
      </c>
      <c r="D89" s="190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92</v>
      </c>
      <c r="B90" s="39" t="s">
        <v>93</v>
      </c>
      <c r="C90" s="92">
        <v>0</v>
      </c>
      <c r="D90" s="92">
        <v>0</v>
      </c>
      <c r="E90" s="38"/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52</v>
      </c>
      <c r="D91" s="22">
        <f>D92+D93+D94+D95+D96</f>
        <v>7.65</v>
      </c>
      <c r="E91" s="38">
        <f t="shared" si="3"/>
        <v>14.711538461538462</v>
      </c>
      <c r="F91" s="22">
        <f>F92+F93+F94+F95+F96</f>
        <v>-44.35</v>
      </c>
    </row>
    <row r="92" spans="1:6" ht="19.5" customHeight="1">
      <c r="A92" s="35" t="s">
        <v>96</v>
      </c>
      <c r="B92" s="39" t="s">
        <v>97</v>
      </c>
      <c r="C92" s="92">
        <v>52</v>
      </c>
      <c r="D92" s="92">
        <v>7.65</v>
      </c>
      <c r="E92" s="38">
        <f t="shared" si="3"/>
        <v>14.711538461538462</v>
      </c>
      <c r="F92" s="38">
        <f>SUM(D92-C92)</f>
        <v>-44.35</v>
      </c>
    </row>
    <row r="93" spans="1:6" ht="15" hidden="1" customHeight="1">
      <c r="A93" s="35" t="s">
        <v>98</v>
      </c>
      <c r="B93" s="39" t="s">
        <v>99</v>
      </c>
      <c r="C93" s="9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9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9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92"/>
      <c r="D96" s="92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114</v>
      </c>
      <c r="C97" s="105">
        <f>C98+C99+C100</f>
        <v>0</v>
      </c>
      <c r="D97" s="105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115</v>
      </c>
      <c r="C98" s="92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118</v>
      </c>
      <c r="C101" s="102">
        <f>C57+C65+C67+C73+C80+C84+C86+C91+C78</f>
        <v>10469.59232</v>
      </c>
      <c r="D101" s="102">
        <f>D57+D65+D67+D73+D80+D84+D91+D86</f>
        <v>9113.9080599999998</v>
      </c>
      <c r="E101" s="34">
        <f t="shared" si="3"/>
        <v>87.051222067068991</v>
      </c>
      <c r="F101" s="34">
        <f t="shared" si="4"/>
        <v>-1355.68426</v>
      </c>
    </row>
    <row r="102" spans="1:6" ht="5.25" customHeight="1">
      <c r="C102" s="120"/>
      <c r="D102" s="61"/>
    </row>
    <row r="103" spans="1:6" s="65" customFormat="1" ht="12.75">
      <c r="A103" s="63" t="s">
        <v>119</v>
      </c>
      <c r="B103" s="63"/>
      <c r="C103" s="116"/>
      <c r="D103" s="64"/>
    </row>
    <row r="104" spans="1:6" s="65" customFormat="1" ht="12.75">
      <c r="A104" s="66" t="s">
        <v>120</v>
      </c>
      <c r="B104" s="66"/>
      <c r="C104" s="65" t="s">
        <v>121</v>
      </c>
    </row>
    <row r="105" spans="1:6">
      <c r="C105" s="120"/>
    </row>
    <row r="143" hidden="1"/>
  </sheetData>
  <customSheetViews>
    <customSheetView guid="{120EA1E0-6265-45F1-AFBB-CEB5CB007D02}" scale="70" showPageBreaks="1" fitToPage="1" printArea="1" hiddenRows="1" view="pageBreakPreview" topLeftCell="A10">
      <selection activeCell="C10" sqref="C10"/>
      <pageMargins left="0.70866141732283472" right="0.70866141732283472" top="0.74803149606299213" bottom="0.74803149606299213" header="0.31496062992125984" footer="0.31496062992125984"/>
      <pageSetup paperSize="9" scale="51" orientation="portrait" r:id="rId1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2"/>
    </customSheetView>
    <customSheetView guid="{B30CE22D-C12F-4E12-8BB9-3AAE0A6991CC}" scale="70" showPageBreaks="1" fitToPage="1" printArea="1" hiddenRows="1" view="pageBreakPreview" topLeftCell="A15">
      <selection activeCell="C44" sqref="C44:D45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8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fitToPage="1" printArea="1" hiddenRows="1" view="pageBreakPreview" topLeftCell="A10">
      <selection activeCell="C10" sqref="C10"/>
      <pageMargins left="0.70866141732283472" right="0.70866141732283472" top="0.74803149606299213" bottom="0.74803149606299213" header="0.31496062992125984" footer="0.31496062992125984"/>
      <pageSetup paperSize="9" scale="51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16" zoomScale="70" zoomScaleSheetLayoutView="70" workbookViewId="0">
      <selection activeCell="D46" sqref="D4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427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194">
        <f>C5+C12+C14+C17+C20+C7</f>
        <v>4384.6909999999998</v>
      </c>
      <c r="D4" s="194">
        <f>D5+D12+D14+D17+D20+D7</f>
        <v>3931.0329300000003</v>
      </c>
      <c r="E4" s="5">
        <f>SUM(D4/C4*100)</f>
        <v>89.653590868775026</v>
      </c>
      <c r="F4" s="5">
        <f>SUM(D4-C4)</f>
        <v>-453.6580699999995</v>
      </c>
    </row>
    <row r="5" spans="1:6" s="6" customFormat="1">
      <c r="A5" s="68">
        <v>1010000000</v>
      </c>
      <c r="B5" s="67" t="s">
        <v>5</v>
      </c>
      <c r="C5" s="194">
        <f>C6</f>
        <v>452.03100000000001</v>
      </c>
      <c r="D5" s="194">
        <f>D6</f>
        <v>406.738</v>
      </c>
      <c r="E5" s="5">
        <f t="shared" ref="E5:E50" si="0">SUM(D5/C5*100)</f>
        <v>89.980111983470152</v>
      </c>
      <c r="F5" s="5">
        <f t="shared" ref="F5:F50" si="1">SUM(D5-C5)</f>
        <v>-45.293000000000006</v>
      </c>
    </row>
    <row r="6" spans="1:6">
      <c r="A6" s="7">
        <v>1010200001</v>
      </c>
      <c r="B6" s="8" t="s">
        <v>228</v>
      </c>
      <c r="C6" s="221">
        <v>452.03100000000001</v>
      </c>
      <c r="D6" s="222">
        <v>406.738</v>
      </c>
      <c r="E6" s="9">
        <f t="shared" ref="E6:E11" si="2">SUM(D6/C6*100)</f>
        <v>89.980111983470152</v>
      </c>
      <c r="F6" s="9">
        <f t="shared" si="1"/>
        <v>-45.293000000000006</v>
      </c>
    </row>
    <row r="7" spans="1:6" ht="31.5">
      <c r="A7" s="3">
        <v>1030000000</v>
      </c>
      <c r="B7" s="13" t="s">
        <v>280</v>
      </c>
      <c r="C7" s="268">
        <f>C8+C10+C9</f>
        <v>715.46</v>
      </c>
      <c r="D7" s="194">
        <f>D8+D10+D9+D11</f>
        <v>798.23154999999997</v>
      </c>
      <c r="E7" s="5">
        <f t="shared" si="2"/>
        <v>111.56899756799821</v>
      </c>
      <c r="F7" s="5">
        <f t="shared" si="1"/>
        <v>82.771549999999934</v>
      </c>
    </row>
    <row r="8" spans="1:6">
      <c r="A8" s="7">
        <v>1030223001</v>
      </c>
      <c r="B8" s="8" t="s">
        <v>282</v>
      </c>
      <c r="C8" s="221">
        <v>266.87</v>
      </c>
      <c r="D8" s="222">
        <v>362.80876999999998</v>
      </c>
      <c r="E8" s="9">
        <f t="shared" si="2"/>
        <v>135.94962715929105</v>
      </c>
      <c r="F8" s="9">
        <f t="shared" si="1"/>
        <v>95.938769999999977</v>
      </c>
    </row>
    <row r="9" spans="1:6">
      <c r="A9" s="7">
        <v>1030224001</v>
      </c>
      <c r="B9" s="8" t="s">
        <v>288</v>
      </c>
      <c r="C9" s="221">
        <v>2.86</v>
      </c>
      <c r="D9" s="222">
        <v>2.6716500000000001</v>
      </c>
      <c r="E9" s="9">
        <f t="shared" si="2"/>
        <v>93.414335664335667</v>
      </c>
      <c r="F9" s="9">
        <f t="shared" si="1"/>
        <v>-0.1883499999999998</v>
      </c>
    </row>
    <row r="10" spans="1:6">
      <c r="A10" s="7">
        <v>1030225001</v>
      </c>
      <c r="B10" s="8" t="s">
        <v>281</v>
      </c>
      <c r="C10" s="221">
        <v>445.73</v>
      </c>
      <c r="D10" s="222">
        <v>487.39157</v>
      </c>
      <c r="E10" s="9">
        <f t="shared" si="2"/>
        <v>109.34681758014942</v>
      </c>
      <c r="F10" s="9">
        <f t="shared" si="1"/>
        <v>41.661569999999983</v>
      </c>
    </row>
    <row r="11" spans="1:6">
      <c r="A11" s="7">
        <v>1030226001</v>
      </c>
      <c r="B11" s="8" t="s">
        <v>289</v>
      </c>
      <c r="C11" s="221">
        <v>0</v>
      </c>
      <c r="D11" s="220">
        <v>-54.640439999999998</v>
      </c>
      <c r="E11" s="9" t="e">
        <f t="shared" si="2"/>
        <v>#DIV/0!</v>
      </c>
      <c r="F11" s="9">
        <f t="shared" si="1"/>
        <v>-54.640439999999998</v>
      </c>
    </row>
    <row r="12" spans="1:6" s="6" customFormat="1">
      <c r="A12" s="68">
        <v>1050000000</v>
      </c>
      <c r="B12" s="67" t="s">
        <v>6</v>
      </c>
      <c r="C12" s="194">
        <f>SUM(C13:C13)</f>
        <v>54.2</v>
      </c>
      <c r="D12" s="194">
        <f>D13</f>
        <v>54.19849</v>
      </c>
      <c r="E12" s="5">
        <f t="shared" si="0"/>
        <v>99.997214022140213</v>
      </c>
      <c r="F12" s="5">
        <f t="shared" si="1"/>
        <v>-1.510000000003231E-3</v>
      </c>
    </row>
    <row r="13" spans="1:6" ht="15.75" customHeight="1">
      <c r="A13" s="7">
        <v>1050300000</v>
      </c>
      <c r="B13" s="11" t="s">
        <v>229</v>
      </c>
      <c r="C13" s="223">
        <v>54.2</v>
      </c>
      <c r="D13" s="222">
        <v>54.19849</v>
      </c>
      <c r="E13" s="9">
        <f t="shared" si="0"/>
        <v>99.997214022140213</v>
      </c>
      <c r="F13" s="9">
        <f t="shared" si="1"/>
        <v>-1.510000000003231E-3</v>
      </c>
    </row>
    <row r="14" spans="1:6" s="6" customFormat="1" ht="15.75" customHeight="1">
      <c r="A14" s="68">
        <v>1060000000</v>
      </c>
      <c r="B14" s="67" t="s">
        <v>135</v>
      </c>
      <c r="C14" s="194">
        <f>C15+C16</f>
        <v>3138</v>
      </c>
      <c r="D14" s="194">
        <f>D15+D16</f>
        <v>2653.8648900000003</v>
      </c>
      <c r="E14" s="5">
        <f t="shared" si="0"/>
        <v>84.571857552581278</v>
      </c>
      <c r="F14" s="5">
        <f t="shared" si="1"/>
        <v>-484.13510999999971</v>
      </c>
    </row>
    <row r="15" spans="1:6" s="6" customFormat="1" ht="15.75" customHeight="1">
      <c r="A15" s="7">
        <v>1060100000</v>
      </c>
      <c r="B15" s="11" t="s">
        <v>8</v>
      </c>
      <c r="C15" s="221">
        <v>338</v>
      </c>
      <c r="D15" s="222">
        <v>277.7629</v>
      </c>
      <c r="E15" s="9">
        <f t="shared" si="0"/>
        <v>82.178372781065093</v>
      </c>
      <c r="F15" s="9">
        <f>SUM(D15-C15)</f>
        <v>-60.237099999999998</v>
      </c>
    </row>
    <row r="16" spans="1:6" ht="15.75" customHeight="1">
      <c r="A16" s="7">
        <v>1060600000</v>
      </c>
      <c r="B16" s="11" t="s">
        <v>7</v>
      </c>
      <c r="C16" s="221">
        <v>2800</v>
      </c>
      <c r="D16" s="222">
        <v>2376.1019900000001</v>
      </c>
      <c r="E16" s="9">
        <f t="shared" si="0"/>
        <v>84.860785357142859</v>
      </c>
      <c r="F16" s="9">
        <f t="shared" si="1"/>
        <v>-423.89800999999989</v>
      </c>
    </row>
    <row r="17" spans="1:6" s="6" customFormat="1">
      <c r="A17" s="3">
        <v>1080000000</v>
      </c>
      <c r="B17" s="4" t="s">
        <v>10</v>
      </c>
      <c r="C17" s="194">
        <f>C18</f>
        <v>25</v>
      </c>
      <c r="D17" s="194">
        <f>D18</f>
        <v>18</v>
      </c>
      <c r="E17" s="5">
        <f t="shared" si="0"/>
        <v>72</v>
      </c>
      <c r="F17" s="5">
        <f t="shared" si="1"/>
        <v>-7</v>
      </c>
    </row>
    <row r="18" spans="1:6" ht="18" customHeight="1">
      <c r="A18" s="7">
        <v>1080400001</v>
      </c>
      <c r="B18" s="8" t="s">
        <v>227</v>
      </c>
      <c r="C18" s="221">
        <v>25</v>
      </c>
      <c r="D18" s="222">
        <v>18</v>
      </c>
      <c r="E18" s="9">
        <f t="shared" si="0"/>
        <v>72</v>
      </c>
      <c r="F18" s="9">
        <f t="shared" si="1"/>
        <v>-7</v>
      </c>
    </row>
    <row r="19" spans="1:6" ht="47.25" hidden="1" customHeight="1">
      <c r="A19" s="7">
        <v>1080714001</v>
      </c>
      <c r="B19" s="8" t="s">
        <v>11</v>
      </c>
      <c r="C19" s="221"/>
      <c r="D19" s="22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194">
        <f>C21+C22+C23+C24</f>
        <v>0</v>
      </c>
      <c r="D20" s="19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194"/>
      <c r="D21" s="22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194"/>
      <c r="D22" s="22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194"/>
      <c r="D23" s="22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194"/>
      <c r="D24" s="22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94">
        <f>C26+C29+C31+C36</f>
        <v>202.5</v>
      </c>
      <c r="D25" s="93">
        <f>D26+D29+D31+D36+D34</f>
        <v>176.75268</v>
      </c>
      <c r="E25" s="5">
        <f t="shared" si="0"/>
        <v>87.285274074074067</v>
      </c>
      <c r="F25" s="5">
        <f t="shared" si="1"/>
        <v>-25.747320000000002</v>
      </c>
    </row>
    <row r="26" spans="1:6" s="6" customFormat="1" ht="30" customHeight="1">
      <c r="A26" s="68">
        <v>1110000000</v>
      </c>
      <c r="B26" s="69" t="s">
        <v>128</v>
      </c>
      <c r="C26" s="194">
        <f>C27+C28</f>
        <v>127.5</v>
      </c>
      <c r="D26" s="93">
        <f>D27+D28</f>
        <v>124.49793</v>
      </c>
      <c r="E26" s="5">
        <f t="shared" si="0"/>
        <v>97.645435294117647</v>
      </c>
      <c r="F26" s="5">
        <f t="shared" si="1"/>
        <v>-3.0020700000000033</v>
      </c>
    </row>
    <row r="27" spans="1:6" ht="15" customHeight="1">
      <c r="A27" s="16">
        <v>1110502510</v>
      </c>
      <c r="B27" s="17" t="s">
        <v>225</v>
      </c>
      <c r="C27" s="223">
        <v>115.5</v>
      </c>
      <c r="D27" s="220">
        <v>115.49793</v>
      </c>
      <c r="E27" s="9">
        <f t="shared" si="0"/>
        <v>99.998207792207793</v>
      </c>
      <c r="F27" s="9">
        <f t="shared" si="1"/>
        <v>-2.0700000000033469E-3</v>
      </c>
    </row>
    <row r="28" spans="1:6" ht="15.75" customHeight="1">
      <c r="A28" s="7">
        <v>1110503505</v>
      </c>
      <c r="B28" s="11" t="s">
        <v>224</v>
      </c>
      <c r="C28" s="12">
        <v>12</v>
      </c>
      <c r="D28" s="10">
        <v>9</v>
      </c>
      <c r="E28" s="9">
        <f t="shared" si="0"/>
        <v>75</v>
      </c>
      <c r="F28" s="9">
        <f t="shared" si="1"/>
        <v>-3</v>
      </c>
    </row>
    <row r="29" spans="1:6" s="15" customFormat="1" ht="29.25">
      <c r="A29" s="68">
        <v>1130000000</v>
      </c>
      <c r="B29" s="69" t="s">
        <v>130</v>
      </c>
      <c r="C29" s="5">
        <f>C30</f>
        <v>75</v>
      </c>
      <c r="D29" s="5">
        <f>D30</f>
        <v>52.254750000000001</v>
      </c>
      <c r="E29" s="5">
        <f t="shared" si="0"/>
        <v>69.673000000000002</v>
      </c>
      <c r="F29" s="5">
        <f t="shared" si="1"/>
        <v>-22.745249999999999</v>
      </c>
    </row>
    <row r="30" spans="1:6" ht="17.25" customHeight="1">
      <c r="A30" s="7">
        <v>1130206005</v>
      </c>
      <c r="B30" s="8" t="s">
        <v>223</v>
      </c>
      <c r="C30" s="9">
        <v>75</v>
      </c>
      <c r="D30" s="10">
        <v>52.254750000000001</v>
      </c>
      <c r="E30" s="9">
        <f t="shared" si="0"/>
        <v>69.673000000000002</v>
      </c>
      <c r="F30" s="9">
        <f t="shared" si="1"/>
        <v>-22.745249999999999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134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220</v>
      </c>
      <c r="C38" s="221">
        <v>0</v>
      </c>
      <c r="D38" s="22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225">
        <f>SUM(C4,C25)</f>
        <v>4587.1909999999998</v>
      </c>
      <c r="D39" s="225">
        <f>D4+D25</f>
        <v>4107.7856099999999</v>
      </c>
      <c r="E39" s="5">
        <f t="shared" si="0"/>
        <v>89.549042322414735</v>
      </c>
      <c r="F39" s="5">
        <f t="shared" si="1"/>
        <v>-479.4053899999999</v>
      </c>
    </row>
    <row r="40" spans="1:7" s="6" customFormat="1">
      <c r="A40" s="3">
        <v>2000000000</v>
      </c>
      <c r="B40" s="4" t="s">
        <v>19</v>
      </c>
      <c r="C40" s="194">
        <f>C41+C43+C45+C46+C47+C48+C42+C44</f>
        <v>4620.9818800000003</v>
      </c>
      <c r="D40" s="194">
        <f>D41+D43+D45+D46+D47+D48+D42+D44</f>
        <v>4418.8522899999998</v>
      </c>
      <c r="E40" s="5">
        <f t="shared" si="0"/>
        <v>95.62583028349809</v>
      </c>
      <c r="F40" s="5">
        <f t="shared" si="1"/>
        <v>-202.12959000000046</v>
      </c>
      <c r="G40" s="19"/>
    </row>
    <row r="41" spans="1:7">
      <c r="A41" s="16">
        <v>2021000000</v>
      </c>
      <c r="B41" s="17" t="s">
        <v>20</v>
      </c>
      <c r="C41" s="226">
        <v>1101.0999999999999</v>
      </c>
      <c r="D41" s="227">
        <v>1101.0999999999999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231</v>
      </c>
      <c r="C42" s="226">
        <v>50</v>
      </c>
      <c r="D42" s="227">
        <v>50</v>
      </c>
      <c r="E42" s="9">
        <f>SUM(D42/C42*100)</f>
        <v>100</v>
      </c>
      <c r="F42" s="9">
        <f>SUM(D42-C42)</f>
        <v>0</v>
      </c>
    </row>
    <row r="43" spans="1:7" ht="15.75" customHeight="1">
      <c r="A43" s="16">
        <v>2022000000</v>
      </c>
      <c r="B43" s="17" t="s">
        <v>21</v>
      </c>
      <c r="C43" s="226">
        <v>2870.7764900000002</v>
      </c>
      <c r="D43" s="222">
        <v>2789.7104899999999</v>
      </c>
      <c r="E43" s="9">
        <f t="shared" si="0"/>
        <v>97.176164696820393</v>
      </c>
      <c r="F43" s="9">
        <f t="shared" si="1"/>
        <v>-81.066000000000258</v>
      </c>
    </row>
    <row r="44" spans="1:7" ht="15.75" hidden="1" customHeight="1">
      <c r="A44" s="16">
        <v>2022999910</v>
      </c>
      <c r="B44" s="18" t="s">
        <v>349</v>
      </c>
      <c r="C44" s="471">
        <v>0</v>
      </c>
      <c r="D44" s="472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22</v>
      </c>
      <c r="C45" s="223">
        <v>182.38900000000001</v>
      </c>
      <c r="D45" s="228">
        <v>166.09379999999999</v>
      </c>
      <c r="E45" s="9">
        <f t="shared" si="0"/>
        <v>91.065689268541405</v>
      </c>
      <c r="F45" s="9">
        <f t="shared" si="1"/>
        <v>-16.295200000000023</v>
      </c>
    </row>
    <row r="46" spans="1:7" ht="17.25" customHeight="1">
      <c r="A46" s="16">
        <v>2020400000</v>
      </c>
      <c r="B46" s="17" t="s">
        <v>23</v>
      </c>
      <c r="C46" s="223">
        <v>414.22500000000002</v>
      </c>
      <c r="D46" s="229">
        <v>311.94799999999998</v>
      </c>
      <c r="E46" s="9">
        <f t="shared" si="0"/>
        <v>75.308829742289802</v>
      </c>
      <c r="F46" s="9">
        <f t="shared" si="1"/>
        <v>-102.27700000000004</v>
      </c>
    </row>
    <row r="47" spans="1:7" ht="17.25" customHeight="1">
      <c r="A47" s="7">
        <v>2070500010</v>
      </c>
      <c r="B47" s="17" t="s">
        <v>356</v>
      </c>
      <c r="C47" s="223">
        <v>2.49139</v>
      </c>
      <c r="D47" s="229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25</v>
      </c>
      <c r="C48" s="224"/>
      <c r="D48" s="22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26</v>
      </c>
      <c r="C49" s="230">
        <v>0</v>
      </c>
      <c r="D49" s="22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27</v>
      </c>
      <c r="C50" s="469">
        <f>C39+C40</f>
        <v>9208.1728800000001</v>
      </c>
      <c r="D50" s="470">
        <f>D39+D40</f>
        <v>8526.6378999999997</v>
      </c>
      <c r="E50" s="194">
        <f t="shared" si="0"/>
        <v>92.598586181192545</v>
      </c>
      <c r="F50" s="93">
        <f t="shared" si="1"/>
        <v>-681.53498000000036</v>
      </c>
      <c r="G50" s="151"/>
      <c r="H50" s="200"/>
    </row>
    <row r="51" spans="1:8" s="6" customFormat="1">
      <c r="A51" s="3"/>
      <c r="B51" s="21" t="s">
        <v>320</v>
      </c>
      <c r="C51" s="93">
        <f>C50-C97</f>
        <v>-906.38554999999906</v>
      </c>
      <c r="D51" s="93">
        <f>D50-D97</f>
        <v>295.12194999999883</v>
      </c>
      <c r="E51" s="32"/>
      <c r="F51" s="32"/>
    </row>
    <row r="52" spans="1:8">
      <c r="A52" s="23"/>
      <c r="B52" s="24"/>
      <c r="C52" s="218"/>
      <c r="D52" s="218"/>
      <c r="E52" s="26"/>
      <c r="F52" s="27"/>
    </row>
    <row r="53" spans="1:8" ht="45.7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29</v>
      </c>
      <c r="B55" s="31" t="s">
        <v>30</v>
      </c>
      <c r="C55" s="32">
        <f>C56+C57+C58+C59+C60+C62+C61</f>
        <v>1717.546</v>
      </c>
      <c r="D55" s="32">
        <f>D56+D57+D58+D59+D60+D62+D61</f>
        <v>1391.5542</v>
      </c>
      <c r="E55" s="34">
        <f>SUM(D55/C55*100)</f>
        <v>81.019908637090367</v>
      </c>
      <c r="F55" s="34">
        <f>SUM(D55-C55)</f>
        <v>-325.99180000000001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8"/>
      <c r="F56" s="38"/>
    </row>
    <row r="57" spans="1:8" ht="15.75" customHeight="1">
      <c r="A57" s="35" t="s">
        <v>33</v>
      </c>
      <c r="B57" s="39" t="s">
        <v>34</v>
      </c>
      <c r="C57" s="37">
        <v>1657.4960000000001</v>
      </c>
      <c r="D57" s="37">
        <v>1336.5042000000001</v>
      </c>
      <c r="E57" s="38">
        <f t="shared" ref="E57:E69" si="3">SUM(D57/C57*100)</f>
        <v>80.633932148252541</v>
      </c>
      <c r="F57" s="38">
        <f t="shared" ref="F57:F69" si="4">SUM(D57-C57)</f>
        <v>-320.99180000000001</v>
      </c>
    </row>
    <row r="58" spans="1:8" ht="0.75" hidden="1" customHeight="1">
      <c r="A58" s="35" t="s">
        <v>35</v>
      </c>
      <c r="B58" s="39" t="s">
        <v>36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41</v>
      </c>
      <c r="B61" s="39" t="s">
        <v>42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43</v>
      </c>
      <c r="B62" s="39" t="s">
        <v>44</v>
      </c>
      <c r="C62" s="37">
        <v>55.05</v>
      </c>
      <c r="D62" s="37">
        <v>55.05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45</v>
      </c>
      <c r="B63" s="42" t="s">
        <v>46</v>
      </c>
      <c r="C63" s="32">
        <f>C64</f>
        <v>179.892</v>
      </c>
      <c r="D63" s="32">
        <f>D64</f>
        <v>152.49338</v>
      </c>
      <c r="E63" s="34">
        <f t="shared" si="3"/>
        <v>84.769406088097313</v>
      </c>
      <c r="F63" s="34">
        <f t="shared" si="4"/>
        <v>-27.398619999999994</v>
      </c>
    </row>
    <row r="64" spans="1:8">
      <c r="A64" s="43" t="s">
        <v>47</v>
      </c>
      <c r="B64" s="44" t="s">
        <v>48</v>
      </c>
      <c r="C64" s="37">
        <v>179.892</v>
      </c>
      <c r="D64" s="37">
        <v>152.49338</v>
      </c>
      <c r="E64" s="38">
        <f t="shared" si="3"/>
        <v>84.769406088097313</v>
      </c>
      <c r="F64" s="38">
        <f t="shared" si="4"/>
        <v>-27.398619999999994</v>
      </c>
    </row>
    <row r="65" spans="1:7" s="6" customFormat="1" ht="15.75" customHeight="1">
      <c r="A65" s="30" t="s">
        <v>49</v>
      </c>
      <c r="B65" s="31" t="s">
        <v>50</v>
      </c>
      <c r="C65" s="32">
        <f>C68+C69+C70</f>
        <v>7.10311</v>
      </c>
      <c r="D65" s="32">
        <f>SUM(D68+D69+D70)</f>
        <v>6.5031100000000004</v>
      </c>
      <c r="E65" s="34">
        <f t="shared" si="3"/>
        <v>91.552995800431077</v>
      </c>
      <c r="F65" s="34">
        <f t="shared" si="4"/>
        <v>-0.59999999999999964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55</v>
      </c>
      <c r="B68" s="47" t="s">
        <v>56</v>
      </c>
      <c r="C68" s="37">
        <v>2.7031100000000001</v>
      </c>
      <c r="D68" s="37">
        <v>2.7031100000000001</v>
      </c>
      <c r="E68" s="34">
        <f t="shared" si="3"/>
        <v>100</v>
      </c>
      <c r="F68" s="34">
        <f t="shared" si="4"/>
        <v>0</v>
      </c>
    </row>
    <row r="69" spans="1:7" s="6" customFormat="1" ht="15.75" customHeight="1">
      <c r="A69" s="46" t="s">
        <v>218</v>
      </c>
      <c r="B69" s="47" t="s">
        <v>219</v>
      </c>
      <c r="C69" s="37">
        <v>2.4</v>
      </c>
      <c r="D69" s="37">
        <v>1.8</v>
      </c>
      <c r="E69" s="38">
        <f t="shared" si="3"/>
        <v>75</v>
      </c>
      <c r="F69" s="38">
        <f t="shared" si="4"/>
        <v>-0.59999999999999987</v>
      </c>
    </row>
    <row r="70" spans="1:7" s="6" customFormat="1" ht="15.75" customHeight="1">
      <c r="A70" s="46" t="s">
        <v>357</v>
      </c>
      <c r="B70" s="47" t="s">
        <v>413</v>
      </c>
      <c r="C70" s="37">
        <v>2</v>
      </c>
      <c r="D70" s="37">
        <v>2</v>
      </c>
      <c r="E70" s="38"/>
      <c r="F70" s="38"/>
    </row>
    <row r="71" spans="1:7">
      <c r="A71" s="30" t="s">
        <v>57</v>
      </c>
      <c r="B71" s="31" t="s">
        <v>58</v>
      </c>
      <c r="C71" s="48">
        <f>SUM(C72:C75)</f>
        <v>4724.4634299999998</v>
      </c>
      <c r="D71" s="48">
        <f>SUM(D72:D75)</f>
        <v>4397.8833400000003</v>
      </c>
      <c r="E71" s="34">
        <f t="shared" ref="E71:E86" si="5">SUM(D71/C71*100)</f>
        <v>93.087467077716397</v>
      </c>
      <c r="F71" s="34">
        <f t="shared" ref="F71:F86" si="6">SUM(D71-C71)</f>
        <v>-326.58008999999947</v>
      </c>
    </row>
    <row r="72" spans="1:7" s="6" customFormat="1" ht="17.25" customHeight="1">
      <c r="A72" s="35" t="s">
        <v>59</v>
      </c>
      <c r="B72" s="39" t="s">
        <v>60</v>
      </c>
      <c r="C72" s="49">
        <v>6.7024999999999997</v>
      </c>
      <c r="D72" s="37">
        <v>2.681</v>
      </c>
      <c r="E72" s="38">
        <f t="shared" si="5"/>
        <v>40</v>
      </c>
      <c r="F72" s="38">
        <f t="shared" si="6"/>
        <v>-4.0214999999999996</v>
      </c>
      <c r="G72" s="50"/>
    </row>
    <row r="73" spans="1:7">
      <c r="A73" s="35" t="s">
        <v>61</v>
      </c>
      <c r="B73" s="39" t="s">
        <v>62</v>
      </c>
      <c r="C73" s="49">
        <v>521.9</v>
      </c>
      <c r="D73" s="37">
        <v>485.72026</v>
      </c>
      <c r="E73" s="38">
        <f t="shared" si="5"/>
        <v>93.067687296416949</v>
      </c>
      <c r="F73" s="38">
        <f t="shared" si="6"/>
        <v>-36.179739999999981</v>
      </c>
    </row>
    <row r="74" spans="1:7">
      <c r="A74" s="35" t="s">
        <v>63</v>
      </c>
      <c r="B74" s="39" t="s">
        <v>64</v>
      </c>
      <c r="C74" s="49">
        <v>3982.66093</v>
      </c>
      <c r="D74" s="37">
        <v>3746.9820800000002</v>
      </c>
      <c r="E74" s="38">
        <f t="shared" si="5"/>
        <v>94.082377231144307</v>
      </c>
      <c r="F74" s="38">
        <f t="shared" si="6"/>
        <v>-235.67884999999978</v>
      </c>
    </row>
    <row r="75" spans="1:7" s="6" customFormat="1">
      <c r="A75" s="35" t="s">
        <v>65</v>
      </c>
      <c r="B75" s="39" t="s">
        <v>66</v>
      </c>
      <c r="C75" s="49">
        <v>213.2</v>
      </c>
      <c r="D75" s="37">
        <v>162.5</v>
      </c>
      <c r="E75" s="38">
        <f t="shared" si="5"/>
        <v>76.219512195121951</v>
      </c>
      <c r="F75" s="38">
        <f t="shared" si="6"/>
        <v>-50.699999999999989</v>
      </c>
    </row>
    <row r="76" spans="1:7" ht="17.25" customHeight="1">
      <c r="A76" s="30" t="s">
        <v>67</v>
      </c>
      <c r="B76" s="31" t="s">
        <v>68</v>
      </c>
      <c r="C76" s="32">
        <f>SUM(C77:C79)</f>
        <v>1207.95389</v>
      </c>
      <c r="D76" s="32">
        <f>SUM(D77:D79)</f>
        <v>1056.0819200000001</v>
      </c>
      <c r="E76" s="34">
        <f t="shared" si="5"/>
        <v>87.427337147778061</v>
      </c>
      <c r="F76" s="34">
        <f t="shared" si="6"/>
        <v>-151.87196999999992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73</v>
      </c>
      <c r="B79" s="39" t="s">
        <v>74</v>
      </c>
      <c r="C79" s="37">
        <v>1207.95389</v>
      </c>
      <c r="D79" s="37">
        <v>1056.0819200000001</v>
      </c>
      <c r="E79" s="38">
        <f t="shared" si="5"/>
        <v>87.427337147778061</v>
      </c>
      <c r="F79" s="38">
        <f t="shared" si="6"/>
        <v>-151.87196999999992</v>
      </c>
    </row>
    <row r="80" spans="1:7">
      <c r="A80" s="30" t="s">
        <v>85</v>
      </c>
      <c r="B80" s="31" t="s">
        <v>86</v>
      </c>
      <c r="C80" s="32">
        <f>C81</f>
        <v>2277.6</v>
      </c>
      <c r="D80" s="32">
        <f>D81</f>
        <v>1227</v>
      </c>
      <c r="E80" s="34">
        <f t="shared" si="5"/>
        <v>53.872497365648051</v>
      </c>
      <c r="F80" s="34">
        <f t="shared" si="6"/>
        <v>-1050.5999999999999</v>
      </c>
    </row>
    <row r="81" spans="1:6" s="6" customFormat="1" ht="15" customHeight="1">
      <c r="A81" s="35" t="s">
        <v>87</v>
      </c>
      <c r="B81" s="39" t="s">
        <v>233</v>
      </c>
      <c r="C81" s="37">
        <v>2277.6</v>
      </c>
      <c r="D81" s="37">
        <v>1227</v>
      </c>
      <c r="E81" s="38">
        <f t="shared" si="5"/>
        <v>53.872497365648051</v>
      </c>
      <c r="F81" s="38">
        <f t="shared" si="6"/>
        <v>-1050.5999999999999</v>
      </c>
    </row>
    <row r="82" spans="1:6" ht="20.2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89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91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92</v>
      </c>
      <c r="B86" s="39" t="s">
        <v>93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94</v>
      </c>
      <c r="B87" s="31" t="s">
        <v>95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96</v>
      </c>
      <c r="B88" s="39" t="s">
        <v>97</v>
      </c>
      <c r="C88" s="37"/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98</v>
      </c>
      <c r="B89" s="39" t="s">
        <v>99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100</v>
      </c>
      <c r="B90" s="39" t="s">
        <v>101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102</v>
      </c>
      <c r="B91" s="39" t="s">
        <v>103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104</v>
      </c>
      <c r="B92" s="39" t="s">
        <v>105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115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116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117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118</v>
      </c>
      <c r="C97" s="469">
        <f>C55+C63+C65+C71+C76+C80+C82+C87+C93</f>
        <v>10114.558429999999</v>
      </c>
      <c r="D97" s="469">
        <f>D55+D63+D65+D71+D76+D80+D82+D87+D93</f>
        <v>8231.5159500000009</v>
      </c>
      <c r="E97" s="34">
        <f t="shared" si="7"/>
        <v>81.382850343571562</v>
      </c>
      <c r="F97" s="34">
        <f>SUM(D97-C97)</f>
        <v>-1883.0424799999982</v>
      </c>
    </row>
    <row r="98" spans="1:6" s="65" customFormat="1" ht="22.5" customHeight="1">
      <c r="A98" s="63" t="s">
        <v>119</v>
      </c>
      <c r="B98" s="63"/>
      <c r="C98" s="185"/>
      <c r="D98" s="185"/>
    </row>
    <row r="99" spans="1:6" ht="16.5" customHeight="1">
      <c r="A99" s="66" t="s">
        <v>120</v>
      </c>
      <c r="B99" s="66"/>
      <c r="C99" s="185" t="s">
        <v>121</v>
      </c>
      <c r="D99" s="185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120EA1E0-6265-45F1-AFBB-CEB5CB007D02}" scale="70" showPageBreaks="1" hiddenRows="1" view="pageBreakPreview" topLeftCell="A16">
      <selection activeCell="D46" sqref="D4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 topLeftCell="A6">
      <selection activeCell="D43" sqref="C43:D4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8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 topLeftCell="A16">
      <selection activeCell="D46" sqref="D46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tabSelected="1" view="pageBreakPreview" zoomScale="70" zoomScaleSheetLayoutView="70" workbookViewId="0">
      <selection activeCell="C89" sqref="C89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429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4744.2569999999996</v>
      </c>
      <c r="D4" s="5">
        <f>D5+D12+D14+D7+D20+D17</f>
        <v>3907.6338599999999</v>
      </c>
      <c r="E4" s="5">
        <f>SUM(D4/C4*100)</f>
        <v>82.365560297429084</v>
      </c>
      <c r="F4" s="5">
        <f>SUM(D4-C4)</f>
        <v>-836.62313999999969</v>
      </c>
    </row>
    <row r="5" spans="1:6" s="6" customFormat="1">
      <c r="A5" s="68">
        <v>1010000000</v>
      </c>
      <c r="B5" s="67" t="s">
        <v>5</v>
      </c>
      <c r="C5" s="5">
        <f>C6</f>
        <v>1755.837</v>
      </c>
      <c r="D5" s="5">
        <f>D6</f>
        <v>1608.7408399999999</v>
      </c>
      <c r="E5" s="5">
        <f t="shared" ref="E5:E51" si="0">SUM(D5/C5*100)</f>
        <v>91.622447869591539</v>
      </c>
      <c r="F5" s="5">
        <f t="shared" ref="F5:F51" si="1">SUM(D5-C5)</f>
        <v>-147.09616000000005</v>
      </c>
    </row>
    <row r="6" spans="1:6">
      <c r="A6" s="7">
        <v>1010200001</v>
      </c>
      <c r="B6" s="8" t="s">
        <v>228</v>
      </c>
      <c r="C6" s="91">
        <v>1755.837</v>
      </c>
      <c r="D6" s="10">
        <v>1608.7408399999999</v>
      </c>
      <c r="E6" s="9">
        <f t="shared" ref="E6:E11" si="2">SUM(D6/C6*100)</f>
        <v>91.622447869591539</v>
      </c>
      <c r="F6" s="9">
        <f t="shared" si="1"/>
        <v>-147.09616000000005</v>
      </c>
    </row>
    <row r="7" spans="1:6">
      <c r="A7" s="3">
        <v>1030200001</v>
      </c>
      <c r="B7" s="13" t="s">
        <v>278</v>
      </c>
      <c r="C7" s="5">
        <f>C8+C10+C9</f>
        <v>353.42</v>
      </c>
      <c r="D7" s="5">
        <f>D8+D9+D10+D11</f>
        <v>394.30718000000002</v>
      </c>
      <c r="E7" s="9">
        <f t="shared" si="2"/>
        <v>111.56900571557919</v>
      </c>
      <c r="F7" s="9">
        <f t="shared" si="1"/>
        <v>40.887180000000001</v>
      </c>
    </row>
    <row r="8" spans="1:6">
      <c r="A8" s="7">
        <v>1030223001</v>
      </c>
      <c r="B8" s="8" t="s">
        <v>282</v>
      </c>
      <c r="C8" s="9">
        <v>131.83000000000001</v>
      </c>
      <c r="D8" s="10">
        <v>179.21880999999999</v>
      </c>
      <c r="E8" s="9">
        <f t="shared" si="2"/>
        <v>135.94690889782294</v>
      </c>
      <c r="F8" s="9">
        <f t="shared" si="1"/>
        <v>47.388809999999978</v>
      </c>
    </row>
    <row r="9" spans="1:6">
      <c r="A9" s="7">
        <v>1030224001</v>
      </c>
      <c r="B9" s="8" t="s">
        <v>288</v>
      </c>
      <c r="C9" s="9">
        <v>1.41</v>
      </c>
      <c r="D9" s="10">
        <v>1.3197300000000001</v>
      </c>
      <c r="E9" s="9">
        <f t="shared" si="2"/>
        <v>93.597872340425553</v>
      </c>
      <c r="F9" s="9">
        <f t="shared" si="1"/>
        <v>-9.026999999999985E-2</v>
      </c>
    </row>
    <row r="10" spans="1:6">
      <c r="A10" s="7">
        <v>1030225001</v>
      </c>
      <c r="B10" s="8" t="s">
        <v>281</v>
      </c>
      <c r="C10" s="9">
        <v>220.18</v>
      </c>
      <c r="D10" s="10">
        <v>240.75969000000001</v>
      </c>
      <c r="E10" s="9">
        <f t="shared" si="2"/>
        <v>109.34675719865565</v>
      </c>
      <c r="F10" s="9">
        <f t="shared" si="1"/>
        <v>20.579689999999999</v>
      </c>
    </row>
    <row r="11" spans="1:6">
      <c r="A11" s="7">
        <v>1030226001</v>
      </c>
      <c r="B11" s="8" t="s">
        <v>290</v>
      </c>
      <c r="C11" s="9">
        <v>0</v>
      </c>
      <c r="D11" s="10">
        <v>-26.991050000000001</v>
      </c>
      <c r="E11" s="9" t="e">
        <f t="shared" si="2"/>
        <v>#DIV/0!</v>
      </c>
      <c r="F11" s="9">
        <f t="shared" si="1"/>
        <v>-26.991050000000001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75</v>
      </c>
      <c r="D12" s="5">
        <f>SUM(D13:D13)</f>
        <v>74.889960000000002</v>
      </c>
      <c r="E12" s="5">
        <f t="shared" si="0"/>
        <v>99.853279999999998</v>
      </c>
      <c r="F12" s="5">
        <f t="shared" si="1"/>
        <v>-0.11003999999999792</v>
      </c>
    </row>
    <row r="13" spans="1:6" ht="15.75" customHeight="1">
      <c r="A13" s="7">
        <v>1050300000</v>
      </c>
      <c r="B13" s="11" t="s">
        <v>229</v>
      </c>
      <c r="C13" s="12">
        <v>75</v>
      </c>
      <c r="D13" s="10">
        <v>74.889960000000002</v>
      </c>
      <c r="E13" s="9">
        <f t="shared" si="0"/>
        <v>99.853279999999998</v>
      </c>
      <c r="F13" s="9">
        <f t="shared" si="1"/>
        <v>-0.11003999999999792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2560</v>
      </c>
      <c r="D14" s="5">
        <f>D15+D16</f>
        <v>1829.6958800000002</v>
      </c>
      <c r="E14" s="5">
        <f t="shared" si="0"/>
        <v>71.472495312500001</v>
      </c>
      <c r="F14" s="5">
        <f t="shared" si="1"/>
        <v>-730.30411999999978</v>
      </c>
    </row>
    <row r="15" spans="1:6" s="6" customFormat="1" ht="15" customHeight="1">
      <c r="A15" s="7">
        <v>1060100000</v>
      </c>
      <c r="B15" s="11" t="s">
        <v>253</v>
      </c>
      <c r="C15" s="9">
        <v>900</v>
      </c>
      <c r="D15" s="10">
        <v>629.47616000000005</v>
      </c>
      <c r="E15" s="9">
        <f t="shared" si="0"/>
        <v>69.941795555555558</v>
      </c>
      <c r="F15" s="9">
        <f>SUM(D15-C15)</f>
        <v>-270.52383999999995</v>
      </c>
    </row>
    <row r="16" spans="1:6" ht="17.25" customHeight="1">
      <c r="A16" s="7">
        <v>1060600000</v>
      </c>
      <c r="B16" s="11" t="s">
        <v>7</v>
      </c>
      <c r="C16" s="9">
        <v>1660</v>
      </c>
      <c r="D16" s="10">
        <v>1200.2197200000001</v>
      </c>
      <c r="E16" s="9">
        <f t="shared" si="0"/>
        <v>72.302392771084342</v>
      </c>
      <c r="F16" s="9">
        <f t="shared" si="1"/>
        <v>-459.78027999999995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227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127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83.611519999999999</v>
      </c>
      <c r="E25" s="5" t="e">
        <f t="shared" si="0"/>
        <v>#DIV/0!</v>
      </c>
      <c r="F25" s="5">
        <f t="shared" si="1"/>
        <v>83.611519999999999</v>
      </c>
    </row>
    <row r="26" spans="1:6" s="6" customFormat="1" ht="32.25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5">
        <f>C35</f>
        <v>0</v>
      </c>
      <c r="D34" s="14">
        <f>D35</f>
        <v>83.611519999999999</v>
      </c>
      <c r="E34" s="5" t="e">
        <f t="shared" si="0"/>
        <v>#DIV/0!</v>
      </c>
      <c r="F34" s="5">
        <f t="shared" si="1"/>
        <v>83.611519999999999</v>
      </c>
    </row>
    <row r="35" spans="1:7" ht="47.25">
      <c r="A35" s="7">
        <v>1163305010</v>
      </c>
      <c r="B35" s="8" t="s">
        <v>267</v>
      </c>
      <c r="C35" s="9">
        <v>0</v>
      </c>
      <c r="D35" s="10">
        <v>83.611519999999999</v>
      </c>
      <c r="E35" s="9" t="e">
        <f t="shared" si="0"/>
        <v>#DIV/0!</v>
      </c>
      <c r="F35" s="9">
        <f t="shared" si="1"/>
        <v>83.611519999999999</v>
      </c>
    </row>
    <row r="36" spans="1:7" ht="20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/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18</v>
      </c>
      <c r="C39" s="127">
        <f>SUM(C4,C25)</f>
        <v>4744.2569999999996</v>
      </c>
      <c r="D39" s="127">
        <f>D4+D25</f>
        <v>3991.2453799999998</v>
      </c>
      <c r="E39" s="5">
        <f t="shared" si="0"/>
        <v>84.127933625855434</v>
      </c>
      <c r="F39" s="5">
        <f t="shared" si="1"/>
        <v>-753.01161999999977</v>
      </c>
    </row>
    <row r="40" spans="1:7" s="6" customFormat="1">
      <c r="A40" s="3">
        <v>2000000000</v>
      </c>
      <c r="B40" s="4" t="s">
        <v>19</v>
      </c>
      <c r="C40" s="5">
        <f>C41+C43+C45+C46+C47+C49+C42+C44+C48</f>
        <v>51552.99957</v>
      </c>
      <c r="D40" s="5">
        <f>D41+D43+D45+D46+D47+D49+D42+D48</f>
        <v>13706.933720000001</v>
      </c>
      <c r="E40" s="5">
        <f t="shared" si="0"/>
        <v>26.588043051478255</v>
      </c>
      <c r="F40" s="5">
        <f t="shared" si="1"/>
        <v>-37846.065849999999</v>
      </c>
      <c r="G40" s="19"/>
    </row>
    <row r="41" spans="1:7" ht="17.25" customHeight="1">
      <c r="A41" s="16">
        <v>2021000000</v>
      </c>
      <c r="B41" s="17" t="s">
        <v>20</v>
      </c>
      <c r="C41" s="12">
        <v>4687.5</v>
      </c>
      <c r="D41" s="20">
        <v>4375.4059999999999</v>
      </c>
      <c r="E41" s="9">
        <f t="shared" si="0"/>
        <v>93.341994666666665</v>
      </c>
      <c r="F41" s="9">
        <f t="shared" si="1"/>
        <v>-312.09400000000005</v>
      </c>
    </row>
    <row r="42" spans="1:7" ht="15" customHeight="1">
      <c r="A42" s="16">
        <v>2021500210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21</v>
      </c>
      <c r="C43" s="193">
        <v>46310.69528</v>
      </c>
      <c r="D43" s="10">
        <v>8880.8487600000008</v>
      </c>
      <c r="E43" s="9">
        <f t="shared" si="0"/>
        <v>19.176669031430706</v>
      </c>
      <c r="F43" s="9">
        <f t="shared" si="1"/>
        <v>-37429.846519999999</v>
      </c>
    </row>
    <row r="44" spans="1:7" ht="15" hidden="1" customHeight="1">
      <c r="A44" s="16">
        <v>2022999910</v>
      </c>
      <c r="B44" s="18" t="s">
        <v>349</v>
      </c>
      <c r="C44" s="193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22</v>
      </c>
      <c r="C45" s="12">
        <v>9.2170000000000005</v>
      </c>
      <c r="D45" s="187">
        <v>5.9740000000000002</v>
      </c>
      <c r="E45" s="9">
        <f t="shared" si="0"/>
        <v>64.815015731799932</v>
      </c>
      <c r="F45" s="9">
        <f t="shared" si="1"/>
        <v>-3.2430000000000003</v>
      </c>
    </row>
    <row r="46" spans="1:7" ht="24" customHeight="1">
      <c r="A46" s="16">
        <v>2020400000</v>
      </c>
      <c r="B46" s="17" t="s">
        <v>23</v>
      </c>
      <c r="C46" s="12">
        <v>76.400000000000006</v>
      </c>
      <c r="D46" s="188">
        <v>0</v>
      </c>
      <c r="E46" s="9">
        <f t="shared" si="0"/>
        <v>0</v>
      </c>
      <c r="F46" s="9">
        <f t="shared" si="1"/>
        <v>-76.400000000000006</v>
      </c>
    </row>
    <row r="47" spans="1:7" ht="4.5" hidden="1" customHeight="1">
      <c r="A47" s="16">
        <v>2020900000</v>
      </c>
      <c r="B47" s="18" t="s">
        <v>24</v>
      </c>
      <c r="C47" s="12"/>
      <c r="D47" s="188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297</v>
      </c>
      <c r="C48" s="12">
        <v>469.18729000000002</v>
      </c>
      <c r="D48" s="188">
        <v>444.70496000000003</v>
      </c>
      <c r="E48" s="9">
        <f>SUM(D48/C48*100)</f>
        <v>94.781970756283712</v>
      </c>
      <c r="F48" s="9">
        <f>SUM(D48-C48)</f>
        <v>-24.48232999999999</v>
      </c>
    </row>
    <row r="49" spans="1:7" hidden="1">
      <c r="A49" s="7">
        <v>2190500005</v>
      </c>
      <c r="B49" s="11" t="s">
        <v>25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26</v>
      </c>
      <c r="C50" s="191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27</v>
      </c>
      <c r="C51" s="257">
        <f>SUM(C39,C40,C50)</f>
        <v>56297.256569999998</v>
      </c>
      <c r="D51" s="470">
        <f>D39+D40</f>
        <v>17698.179100000001</v>
      </c>
      <c r="E51" s="93">
        <f t="shared" si="0"/>
        <v>31.437018743522767</v>
      </c>
      <c r="F51" s="93">
        <f t="shared" si="1"/>
        <v>-38599.077469999997</v>
      </c>
      <c r="G51" s="151"/>
    </row>
    <row r="52" spans="1:7" s="6" customFormat="1" ht="23.25" customHeight="1">
      <c r="A52" s="3"/>
      <c r="B52" s="21" t="s">
        <v>320</v>
      </c>
      <c r="C52" s="93">
        <f>C51-C98</f>
        <v>-554.81003999999666</v>
      </c>
      <c r="D52" s="93">
        <f>D51-D98</f>
        <v>308.84864999999991</v>
      </c>
      <c r="E52" s="195"/>
      <c r="F52" s="195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29</v>
      </c>
      <c r="B56" s="31" t="s">
        <v>30</v>
      </c>
      <c r="C56" s="32">
        <f>C57+C58+C59+C60+C61+C63+C62+C65</f>
        <v>2144.2139999999999</v>
      </c>
      <c r="D56" s="33">
        <f>D57+D58+D59+D60+D61+D63+D62</f>
        <v>1847.7715599999999</v>
      </c>
      <c r="E56" s="34">
        <f>SUM(D56/C56*100)</f>
        <v>86.17477360002313</v>
      </c>
      <c r="F56" s="34">
        <f>SUM(D56-C56)</f>
        <v>-296.44244000000003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6.5" customHeight="1">
      <c r="A58" s="35" t="s">
        <v>33</v>
      </c>
      <c r="B58" s="39" t="s">
        <v>34</v>
      </c>
      <c r="C58" s="97">
        <v>1996.287</v>
      </c>
      <c r="D58" s="37">
        <v>1704.8454899999999</v>
      </c>
      <c r="E58" s="38">
        <f t="shared" ref="E58:E98" si="3">SUM(D58/C58*100)</f>
        <v>85.400821124417476</v>
      </c>
      <c r="F58" s="38">
        <f t="shared" ref="F58:F98" si="4">SUM(D58-C58)</f>
        <v>-291.44151000000011</v>
      </c>
    </row>
    <row r="59" spans="1:7" ht="1.5" hidden="1" customHeight="1">
      <c r="A59" s="35" t="s">
        <v>35</v>
      </c>
      <c r="B59" s="39" t="s">
        <v>36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37</v>
      </c>
      <c r="B60" s="39" t="s">
        <v>38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41</v>
      </c>
      <c r="B62" s="39" t="s">
        <v>42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43</v>
      </c>
      <c r="B63" s="39" t="s">
        <v>44</v>
      </c>
      <c r="C63" s="97">
        <v>142.92699999999999</v>
      </c>
      <c r="D63" s="37">
        <v>142.92607000000001</v>
      </c>
      <c r="E63" s="38">
        <f t="shared" si="3"/>
        <v>99.99934931818342</v>
      </c>
      <c r="F63" s="38">
        <f t="shared" si="4"/>
        <v>-9.2999999998255589E-4</v>
      </c>
    </row>
    <row r="64" spans="1:7" s="6" customFormat="1" ht="15.75" hidden="1" customHeight="1">
      <c r="A64" s="41" t="s">
        <v>45</v>
      </c>
      <c r="B64" s="42" t="s">
        <v>46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47</v>
      </c>
      <c r="B65" s="44" t="s">
        <v>48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49</v>
      </c>
      <c r="B66" s="31" t="s">
        <v>50</v>
      </c>
      <c r="C66" s="150">
        <f>C69+C70+C71</f>
        <v>4</v>
      </c>
      <c r="D66" s="150">
        <f>SUM(D69+D70+D71)</f>
        <v>2</v>
      </c>
      <c r="E66" s="34">
        <f t="shared" si="3"/>
        <v>50</v>
      </c>
      <c r="F66" s="34">
        <f t="shared" si="4"/>
        <v>-2</v>
      </c>
    </row>
    <row r="67" spans="1:7" ht="3.75" hidden="1" customHeight="1">
      <c r="A67" s="35" t="s">
        <v>51</v>
      </c>
      <c r="B67" s="39" t="s">
        <v>52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53</v>
      </c>
      <c r="B68" s="39" t="s">
        <v>54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55</v>
      </c>
      <c r="B69" s="47" t="s">
        <v>56</v>
      </c>
      <c r="C69" s="9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218</v>
      </c>
      <c r="B70" s="47" t="s">
        <v>219</v>
      </c>
      <c r="C70" s="9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357</v>
      </c>
      <c r="B71" s="47" t="s">
        <v>414</v>
      </c>
      <c r="C71" s="9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3877.6817100000003</v>
      </c>
      <c r="D72" s="48">
        <f>SUM(D73:D76)</f>
        <v>3445.9270799999999</v>
      </c>
      <c r="E72" s="34">
        <f t="shared" si="3"/>
        <v>88.865650605448991</v>
      </c>
      <c r="F72" s="34">
        <f t="shared" si="4"/>
        <v>-431.75463000000036</v>
      </c>
    </row>
    <row r="73" spans="1:7" ht="15" customHeight="1">
      <c r="A73" s="35" t="s">
        <v>59</v>
      </c>
      <c r="B73" s="39" t="s">
        <v>60</v>
      </c>
      <c r="C73" s="49">
        <v>21.448</v>
      </c>
      <c r="D73" s="37">
        <v>13.404999999999999</v>
      </c>
      <c r="E73" s="38">
        <f t="shared" si="3"/>
        <v>62.5</v>
      </c>
      <c r="F73" s="38">
        <f t="shared" si="4"/>
        <v>-8.043000000000001</v>
      </c>
    </row>
    <row r="74" spans="1:7" s="6" customFormat="1" ht="15.75" customHeight="1">
      <c r="A74" s="35" t="s">
        <v>61</v>
      </c>
      <c r="B74" s="39" t="s">
        <v>62</v>
      </c>
      <c r="C74" s="49">
        <v>441.8</v>
      </c>
      <c r="D74" s="37">
        <v>266.661</v>
      </c>
      <c r="E74" s="38">
        <f t="shared" si="3"/>
        <v>60.357854232684474</v>
      </c>
      <c r="F74" s="38">
        <f t="shared" si="4"/>
        <v>-175.13900000000001</v>
      </c>
      <c r="G74" s="50"/>
    </row>
    <row r="75" spans="1:7" ht="15" customHeight="1">
      <c r="A75" s="35" t="s">
        <v>63</v>
      </c>
      <c r="B75" s="39" t="s">
        <v>64</v>
      </c>
      <c r="C75" s="49">
        <v>3248.8977100000002</v>
      </c>
      <c r="D75" s="37">
        <v>3072.3610800000001</v>
      </c>
      <c r="E75" s="38">
        <f t="shared" si="3"/>
        <v>94.566260751865897</v>
      </c>
      <c r="F75" s="38">
        <f t="shared" si="4"/>
        <v>-176.53663000000006</v>
      </c>
    </row>
    <row r="76" spans="1:7" ht="18" customHeight="1">
      <c r="A76" s="35" t="s">
        <v>65</v>
      </c>
      <c r="B76" s="39" t="s">
        <v>66</v>
      </c>
      <c r="C76" s="49">
        <v>165.536</v>
      </c>
      <c r="D76" s="37">
        <v>93.5</v>
      </c>
      <c r="E76" s="38">
        <f t="shared" si="3"/>
        <v>56.483181906050653</v>
      </c>
      <c r="F76" s="38">
        <f t="shared" si="4"/>
        <v>-72.036000000000001</v>
      </c>
    </row>
    <row r="77" spans="1:7" s="6" customFormat="1" ht="17.25" customHeight="1">
      <c r="A77" s="30" t="s">
        <v>67</v>
      </c>
      <c r="B77" s="31" t="s">
        <v>68</v>
      </c>
      <c r="C77" s="32">
        <f>C78+C79+C80+C83</f>
        <v>47091.170899999997</v>
      </c>
      <c r="D77" s="32">
        <f>D78+D79+D80+D83</f>
        <v>9103.6318100000008</v>
      </c>
      <c r="E77" s="34">
        <f t="shared" si="3"/>
        <v>19.331929183353562</v>
      </c>
      <c r="F77" s="34">
        <f t="shared" si="4"/>
        <v>-37987.539089999998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73</v>
      </c>
      <c r="B80" s="39" t="s">
        <v>74</v>
      </c>
      <c r="C80" s="37">
        <v>47091.170899999997</v>
      </c>
      <c r="D80" s="37">
        <v>9103.6318100000008</v>
      </c>
      <c r="E80" s="38">
        <f t="shared" si="3"/>
        <v>19.331929183353562</v>
      </c>
      <c r="F80" s="38">
        <f t="shared" si="4"/>
        <v>-37987.539089999998</v>
      </c>
    </row>
    <row r="81" spans="1:6" s="6" customFormat="1" ht="18.75" customHeight="1">
      <c r="A81" s="30" t="s">
        <v>85</v>
      </c>
      <c r="B81" s="31" t="s">
        <v>86</v>
      </c>
      <c r="C81" s="32">
        <f>C82</f>
        <v>3735</v>
      </c>
      <c r="D81" s="32">
        <f>D82</f>
        <v>2990</v>
      </c>
      <c r="E81" s="38">
        <f t="shared" si="3"/>
        <v>80.053547523427042</v>
      </c>
      <c r="F81" s="38">
        <f t="shared" si="4"/>
        <v>-745</v>
      </c>
    </row>
    <row r="82" spans="1:6" ht="19.5" customHeight="1">
      <c r="A82" s="35" t="s">
        <v>87</v>
      </c>
      <c r="B82" s="39" t="s">
        <v>233</v>
      </c>
      <c r="C82" s="37">
        <v>3735</v>
      </c>
      <c r="D82" s="37">
        <v>2990</v>
      </c>
      <c r="E82" s="38">
        <f t="shared" si="3"/>
        <v>80.053547523427042</v>
      </c>
      <c r="F82" s="38">
        <f t="shared" si="4"/>
        <v>-745</v>
      </c>
    </row>
    <row r="83" spans="1:6" ht="15" hidden="1" customHeight="1">
      <c r="A83" s="35" t="s">
        <v>263</v>
      </c>
      <c r="B83" s="39" t="s">
        <v>264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91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94</v>
      </c>
      <c r="B89" s="31" t="s">
        <v>95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15.75" customHeight="1">
      <c r="A90" s="35" t="s">
        <v>96</v>
      </c>
      <c r="B90" s="39" t="s">
        <v>97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114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116</v>
      </c>
      <c r="C96" s="175"/>
      <c r="D96" s="176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118</v>
      </c>
      <c r="C98" s="469">
        <f>C56+C72+C77+C84+C89+C95+C66+C81</f>
        <v>56852.066609999994</v>
      </c>
      <c r="D98" s="469">
        <f>SUM(D56+D66+D72+D77+D81+D89)</f>
        <v>17389.330450000001</v>
      </c>
      <c r="E98" s="34">
        <f t="shared" si="3"/>
        <v>30.586980363069692</v>
      </c>
      <c r="F98" s="34">
        <f t="shared" si="4"/>
        <v>-39462.736159999993</v>
      </c>
      <c r="G98" s="200"/>
    </row>
    <row r="99" spans="1:7" ht="20.25" customHeight="1">
      <c r="D99" s="181"/>
    </row>
    <row r="100" spans="1:7" s="65" customFormat="1" ht="13.5" customHeight="1">
      <c r="A100" s="63" t="s">
        <v>119</v>
      </c>
      <c r="B100" s="63"/>
      <c r="C100" s="119"/>
      <c r="D100" s="64"/>
    </row>
    <row r="101" spans="1:7" s="65" customFormat="1" ht="12.75">
      <c r="A101" s="66" t="s">
        <v>120</v>
      </c>
      <c r="B101" s="66"/>
      <c r="C101" s="134" t="s">
        <v>121</v>
      </c>
      <c r="D101" s="134"/>
    </row>
    <row r="102" spans="1:7" ht="5.25" customHeight="1"/>
    <row r="142" hidden="1"/>
  </sheetData>
  <customSheetViews>
    <customSheetView guid="{120EA1E0-6265-45F1-AFBB-CEB5CB007D02}" scale="70" showPageBreaks="1" printArea="1" hiddenRows="1" view="pageBreakPreview">
      <selection activeCell="C89" sqref="C8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B30CE22D-C12F-4E12-8BB9-3AAE0A6991CC}" scale="70" showPageBreaks="1" printArea="1" hiddenRows="1" view="pageBreakPreview" topLeftCell="A13">
      <selection activeCell="D98" activeCellId="1" sqref="C51:D52 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8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9"/>
    </customSheetView>
    <customSheetView guid="{61528DAC-5C4C-48F4-ADE2-8A724B05A086}" scale="70" showPageBreaks="1" printArea="1" hiddenRows="1" view="pageBreakPreview" topLeftCell="A40">
      <selection activeCell="C89" sqref="C8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25" zoomScale="70" zoomScaleSheetLayoutView="86" workbookViewId="0">
      <selection activeCell="D103" sqref="D103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433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4541.1550000000007</v>
      </c>
      <c r="D4" s="5">
        <f>D5+D12+D14+D17+D20+D7</f>
        <v>4331.0240399999993</v>
      </c>
      <c r="E4" s="5">
        <f>SUM(D4/C4*100)</f>
        <v>95.372741956616736</v>
      </c>
      <c r="F4" s="5">
        <f>SUM(D4-C4)</f>
        <v>-210.13096000000132</v>
      </c>
    </row>
    <row r="5" spans="1:6" s="6" customFormat="1">
      <c r="A5" s="68">
        <v>1010000000</v>
      </c>
      <c r="B5" s="67" t="s">
        <v>5</v>
      </c>
      <c r="C5" s="5">
        <f>C6</f>
        <v>1300.26</v>
      </c>
      <c r="D5" s="5">
        <f>D6</f>
        <v>1307.9622899999999</v>
      </c>
      <c r="E5" s="5">
        <f t="shared" ref="E5:E52" si="0">SUM(D5/C5*100)</f>
        <v>100.59236537307923</v>
      </c>
      <c r="F5" s="5">
        <f t="shared" ref="F5:F52" si="1">SUM(D5-C5)</f>
        <v>7.7022899999999481</v>
      </c>
    </row>
    <row r="6" spans="1:6">
      <c r="A6" s="7">
        <v>1010200001</v>
      </c>
      <c r="B6" s="8" t="s">
        <v>228</v>
      </c>
      <c r="C6" s="9">
        <v>1300.26</v>
      </c>
      <c r="D6" s="10">
        <v>1307.9622899999999</v>
      </c>
      <c r="E6" s="9">
        <f t="shared" ref="E6:E11" si="2">SUM(D6/C6*100)</f>
        <v>100.59236537307923</v>
      </c>
      <c r="F6" s="9">
        <f t="shared" si="1"/>
        <v>7.7022899999999481</v>
      </c>
    </row>
    <row r="7" spans="1:6" ht="31.5">
      <c r="A7" s="3">
        <v>1030000000</v>
      </c>
      <c r="B7" s="13" t="s">
        <v>280</v>
      </c>
      <c r="C7" s="5">
        <f>C8+C10+C9</f>
        <v>665.89499999999998</v>
      </c>
      <c r="D7" s="5">
        <f>D8+D10+D9+D11</f>
        <v>742.93245000000002</v>
      </c>
      <c r="E7" s="9">
        <f t="shared" si="2"/>
        <v>111.56900862748631</v>
      </c>
      <c r="F7" s="9">
        <f t="shared" si="1"/>
        <v>77.037450000000035</v>
      </c>
    </row>
    <row r="8" spans="1:6">
      <c r="A8" s="7">
        <v>1030223001</v>
      </c>
      <c r="B8" s="8" t="s">
        <v>282</v>
      </c>
      <c r="C8" s="9">
        <v>248.38</v>
      </c>
      <c r="D8" s="10">
        <v>337.67451</v>
      </c>
      <c r="E8" s="9">
        <f t="shared" si="2"/>
        <v>135.95076495692084</v>
      </c>
      <c r="F8" s="9">
        <f t="shared" si="1"/>
        <v>89.294510000000002</v>
      </c>
    </row>
    <row r="9" spans="1:6">
      <c r="A9" s="7">
        <v>1030224001</v>
      </c>
      <c r="B9" s="8" t="s">
        <v>288</v>
      </c>
      <c r="C9" s="9">
        <v>2.665</v>
      </c>
      <c r="D9" s="10">
        <v>2.4865200000000001</v>
      </c>
      <c r="E9" s="9">
        <f t="shared" si="2"/>
        <v>93.302814258911823</v>
      </c>
      <c r="F9" s="9">
        <f t="shared" si="1"/>
        <v>-0.17847999999999997</v>
      </c>
    </row>
    <row r="10" spans="1:6">
      <c r="A10" s="7">
        <v>1030225001</v>
      </c>
      <c r="B10" s="8" t="s">
        <v>281</v>
      </c>
      <c r="C10" s="9">
        <v>414.85</v>
      </c>
      <c r="D10" s="10">
        <v>453.62650000000002</v>
      </c>
      <c r="E10" s="9">
        <f t="shared" si="2"/>
        <v>109.34711341448717</v>
      </c>
      <c r="F10" s="9">
        <f t="shared" si="1"/>
        <v>38.776499999999999</v>
      </c>
    </row>
    <row r="11" spans="1:6">
      <c r="A11" s="7">
        <v>1030226001</v>
      </c>
      <c r="B11" s="8" t="s">
        <v>291</v>
      </c>
      <c r="C11" s="9">
        <v>0</v>
      </c>
      <c r="D11" s="10">
        <v>-50.855080000000001</v>
      </c>
      <c r="E11" s="9" t="e">
        <f t="shared" si="2"/>
        <v>#DIV/0!</v>
      </c>
      <c r="F11" s="9">
        <f t="shared" si="1"/>
        <v>-50.855080000000001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229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2535</v>
      </c>
      <c r="D14" s="5">
        <f>D15+D16</f>
        <v>2246.2959999999998</v>
      </c>
      <c r="E14" s="5">
        <f t="shared" si="0"/>
        <v>88.611282051282046</v>
      </c>
      <c r="F14" s="5">
        <f t="shared" si="1"/>
        <v>-288.70400000000018</v>
      </c>
    </row>
    <row r="15" spans="1:6" s="6" customFormat="1" ht="15.75" customHeight="1">
      <c r="A15" s="7">
        <v>1060100000</v>
      </c>
      <c r="B15" s="11" t="s">
        <v>8</v>
      </c>
      <c r="C15" s="9">
        <v>295</v>
      </c>
      <c r="D15" s="10">
        <v>207.44311999999999</v>
      </c>
      <c r="E15" s="9">
        <f t="shared" si="0"/>
        <v>70.319701694915253</v>
      </c>
      <c r="F15" s="9">
        <f>SUM(D15-C15)</f>
        <v>-87.556880000000007</v>
      </c>
    </row>
    <row r="16" spans="1:6" ht="15.75" customHeight="1">
      <c r="A16" s="7">
        <v>1060600000</v>
      </c>
      <c r="B16" s="11" t="s">
        <v>7</v>
      </c>
      <c r="C16" s="9">
        <v>2240</v>
      </c>
      <c r="D16" s="10">
        <v>2038.8528799999999</v>
      </c>
      <c r="E16" s="9">
        <f t="shared" si="0"/>
        <v>91.020217857142853</v>
      </c>
      <c r="F16" s="9">
        <f t="shared" si="1"/>
        <v>-201.14712000000009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6.2</v>
      </c>
      <c r="E17" s="5">
        <f t="shared" si="0"/>
        <v>62</v>
      </c>
      <c r="F17" s="5">
        <f t="shared" si="1"/>
        <v>-3.8</v>
      </c>
    </row>
    <row r="18" spans="1:6" ht="15" customHeight="1">
      <c r="A18" s="7">
        <v>1080400001</v>
      </c>
      <c r="B18" s="8" t="s">
        <v>227</v>
      </c>
      <c r="C18" s="9">
        <v>10</v>
      </c>
      <c r="D18" s="10">
        <v>6.2</v>
      </c>
      <c r="E18" s="9">
        <f t="shared" si="0"/>
        <v>62</v>
      </c>
      <c r="F18" s="9">
        <f t="shared" si="1"/>
        <v>-3.8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0</v>
      </c>
      <c r="D25" s="5">
        <f>D26+D29+D31+D36+D34</f>
        <v>45.381860000000003</v>
      </c>
      <c r="E25" s="5" t="e">
        <f t="shared" si="0"/>
        <v>#DIV/0!</v>
      </c>
      <c r="F25" s="5">
        <f t="shared" si="1"/>
        <v>45.381860000000003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251</v>
      </c>
      <c r="C34" s="5">
        <f>C35</f>
        <v>0</v>
      </c>
      <c r="D34" s="5">
        <f>D35</f>
        <v>45.381860000000003</v>
      </c>
      <c r="E34" s="5" t="e">
        <f t="shared" si="0"/>
        <v>#DIV/0!</v>
      </c>
      <c r="F34" s="5">
        <f t="shared" si="1"/>
        <v>45.381860000000003</v>
      </c>
    </row>
    <row r="35" spans="1:7" ht="15" customHeight="1">
      <c r="A35" s="7">
        <v>1163305010</v>
      </c>
      <c r="B35" s="8" t="s">
        <v>267</v>
      </c>
      <c r="C35" s="9">
        <v>0</v>
      </c>
      <c r="D35" s="10">
        <v>45.381860000000003</v>
      </c>
      <c r="E35" s="9" t="e">
        <f t="shared" si="0"/>
        <v>#DIV/0!</v>
      </c>
      <c r="F35" s="9">
        <f t="shared" si="1"/>
        <v>45.381860000000003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4541.1550000000007</v>
      </c>
      <c r="D39" s="127">
        <f>SUM(D4,D25)</f>
        <v>4376.4058999999997</v>
      </c>
      <c r="E39" s="5">
        <f t="shared" si="0"/>
        <v>96.372088158188802</v>
      </c>
      <c r="F39" s="5">
        <f t="shared" si="1"/>
        <v>-164.74910000000091</v>
      </c>
    </row>
    <row r="40" spans="1:7" s="6" customFormat="1" ht="20.25" customHeight="1">
      <c r="A40" s="3">
        <v>2000000000</v>
      </c>
      <c r="B40" s="4" t="s">
        <v>19</v>
      </c>
      <c r="C40" s="5">
        <f>C41+C43+C45+C46+C48+C49+C42+C44+C51+C47</f>
        <v>5955.0615099999995</v>
      </c>
      <c r="D40" s="234">
        <f>D41+D43+D45+D46+D48+D49+D42+D44+D51</f>
        <v>5253.3141800000003</v>
      </c>
      <c r="E40" s="5">
        <f t="shared" si="0"/>
        <v>88.215951609876825</v>
      </c>
      <c r="F40" s="5">
        <f t="shared" si="1"/>
        <v>-701.74732999999924</v>
      </c>
      <c r="G40" s="19"/>
    </row>
    <row r="41" spans="1:7" ht="15.75" customHeight="1">
      <c r="A41" s="16">
        <v>2021500200</v>
      </c>
      <c r="B41" s="17" t="s">
        <v>416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 ht="15.75" customHeight="1">
      <c r="A42" s="16">
        <v>2020100310</v>
      </c>
      <c r="B42" s="17" t="s">
        <v>231</v>
      </c>
      <c r="C42" s="12">
        <v>300</v>
      </c>
      <c r="D42" s="20">
        <v>200</v>
      </c>
      <c r="E42" s="9">
        <f t="shared" si="0"/>
        <v>66.666666666666657</v>
      </c>
      <c r="F42" s="9">
        <f t="shared" si="1"/>
        <v>-100</v>
      </c>
    </row>
    <row r="43" spans="1:7" ht="15.75" customHeight="1">
      <c r="A43" s="16">
        <v>2022000000</v>
      </c>
      <c r="B43" s="17" t="s">
        <v>21</v>
      </c>
      <c r="C43" s="12">
        <v>4585.9104399999997</v>
      </c>
      <c r="D43" s="10">
        <v>4000.3487100000002</v>
      </c>
      <c r="E43" s="9">
        <f t="shared" si="0"/>
        <v>87.231287273024037</v>
      </c>
      <c r="F43" s="9">
        <f t="shared" si="1"/>
        <v>-585.56172999999944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22</v>
      </c>
      <c r="C45" s="12">
        <v>181.68199999999999</v>
      </c>
      <c r="D45" s="187">
        <v>165.49639999999999</v>
      </c>
      <c r="E45" s="9">
        <f t="shared" si="0"/>
        <v>91.09124734426085</v>
      </c>
      <c r="F45" s="9">
        <f t="shared" si="1"/>
        <v>-16.185599999999994</v>
      </c>
    </row>
    <row r="46" spans="1:7" ht="12.75" customHeight="1">
      <c r="A46" s="16">
        <v>2020400000</v>
      </c>
      <c r="B46" s="17" t="s">
        <v>23</v>
      </c>
      <c r="C46" s="12">
        <v>0</v>
      </c>
      <c r="D46" s="188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356</v>
      </c>
      <c r="C47" s="12">
        <v>0</v>
      </c>
      <c r="D47" s="188"/>
      <c r="E47" s="9"/>
      <c r="F47" s="9"/>
    </row>
    <row r="48" spans="1:7" ht="15" customHeight="1">
      <c r="A48" s="16">
        <v>2020900000</v>
      </c>
      <c r="B48" s="18" t="s">
        <v>24</v>
      </c>
      <c r="C48" s="12">
        <v>0</v>
      </c>
      <c r="D48" s="188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25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351</v>
      </c>
      <c r="C51" s="12">
        <v>887.46906999999999</v>
      </c>
      <c r="D51" s="10">
        <v>887.46906999999999</v>
      </c>
      <c r="E51" s="9">
        <f t="shared" si="0"/>
        <v>100</v>
      </c>
      <c r="F51" s="9">
        <f t="shared" si="1"/>
        <v>0</v>
      </c>
    </row>
    <row r="52" spans="1:7" s="6" customFormat="1" ht="15.75" customHeight="1">
      <c r="A52" s="3"/>
      <c r="B52" s="4" t="s">
        <v>27</v>
      </c>
      <c r="C52" s="250">
        <f>C39+C40</f>
        <v>10496.21651</v>
      </c>
      <c r="D52" s="251">
        <f>D39+D40</f>
        <v>9629.7200799999991</v>
      </c>
      <c r="E52" s="5">
        <f t="shared" si="0"/>
        <v>91.744678387927038</v>
      </c>
      <c r="F52" s="5">
        <f t="shared" si="1"/>
        <v>-866.49643000000106</v>
      </c>
      <c r="G52" s="94"/>
    </row>
    <row r="53" spans="1:7" s="6" customFormat="1">
      <c r="A53" s="3"/>
      <c r="B53" s="21" t="s">
        <v>321</v>
      </c>
      <c r="C53" s="93">
        <f>C52-C103</f>
        <v>-785.19563000000016</v>
      </c>
      <c r="D53" s="93">
        <f>D52-D103</f>
        <v>92.802139999999781</v>
      </c>
      <c r="E53" s="22"/>
      <c r="F53" s="22"/>
    </row>
    <row r="54" spans="1:7">
      <c r="A54" s="23"/>
      <c r="B54" s="24"/>
      <c r="C54" s="186"/>
      <c r="D54" s="186"/>
      <c r="E54" s="26"/>
      <c r="F54" s="92"/>
    </row>
    <row r="55" spans="1:7" ht="42.75" customHeight="1">
      <c r="A55" s="28" t="s">
        <v>0</v>
      </c>
      <c r="B55" s="28" t="s">
        <v>28</v>
      </c>
      <c r="C55" s="179" t="s">
        <v>411</v>
      </c>
      <c r="D55" s="180" t="s">
        <v>422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29</v>
      </c>
      <c r="B57" s="31" t="s">
        <v>30</v>
      </c>
      <c r="C57" s="182">
        <f>C58+C59+C60+C61+C62+C64+C63</f>
        <v>2124.7999999999997</v>
      </c>
      <c r="D57" s="32">
        <f>D58+D59+D60+D61+D62+D64+D63</f>
        <v>1701.39067</v>
      </c>
      <c r="E57" s="34">
        <f>SUM(D57/C57*100)</f>
        <v>80.072979574548199</v>
      </c>
      <c r="F57" s="34">
        <f>SUM(D57-C57)</f>
        <v>-423.40932999999973</v>
      </c>
    </row>
    <row r="58" spans="1:7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7">
      <c r="A59" s="35" t="s">
        <v>33</v>
      </c>
      <c r="B59" s="39" t="s">
        <v>34</v>
      </c>
      <c r="C59" s="37">
        <v>2115.3229999999999</v>
      </c>
      <c r="D59" s="37">
        <v>1696.9136699999999</v>
      </c>
      <c r="E59" s="38">
        <f t="shared" ref="E59:E103" si="3">SUM(D59/C59*100)</f>
        <v>80.220073719238144</v>
      </c>
      <c r="F59" s="38">
        <f t="shared" ref="F59:F103" si="4">SUM(D59-C59)</f>
        <v>-418.40932999999995</v>
      </c>
    </row>
    <row r="60" spans="1:7" ht="0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43</v>
      </c>
      <c r="B64" s="39" t="s">
        <v>44</v>
      </c>
      <c r="C64" s="37">
        <v>4.4770000000000003</v>
      </c>
      <c r="D64" s="37">
        <v>4.4770000000000003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133.63618</v>
      </c>
      <c r="E65" s="34">
        <f t="shared" si="3"/>
        <v>74.286894358837529</v>
      </c>
      <c r="F65" s="34">
        <f t="shared" si="4"/>
        <v>-46.25582</v>
      </c>
    </row>
    <row r="66" spans="1:7">
      <c r="A66" s="43" t="s">
        <v>47</v>
      </c>
      <c r="B66" s="44" t="s">
        <v>48</v>
      </c>
      <c r="C66" s="37">
        <v>179.892</v>
      </c>
      <c r="D66" s="37">
        <v>133.63618</v>
      </c>
      <c r="E66" s="38">
        <f t="shared" si="3"/>
        <v>74.286894358837529</v>
      </c>
      <c r="F66" s="38">
        <f t="shared" si="4"/>
        <v>-46.25582</v>
      </c>
    </row>
    <row r="67" spans="1:7" s="6" customFormat="1" ht="15" customHeight="1">
      <c r="A67" s="30" t="s">
        <v>49</v>
      </c>
      <c r="B67" s="31" t="s">
        <v>50</v>
      </c>
      <c r="C67" s="32">
        <f>C70+C71+C72</f>
        <v>107</v>
      </c>
      <c r="D67" s="32">
        <f>D70+D71</f>
        <v>101.78825999999999</v>
      </c>
      <c r="E67" s="34">
        <f t="shared" si="3"/>
        <v>95.129214953271031</v>
      </c>
      <c r="F67" s="34">
        <f t="shared" si="4"/>
        <v>-5.211740000000006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218</v>
      </c>
      <c r="B71" s="47" t="s">
        <v>219</v>
      </c>
      <c r="C71" s="37">
        <v>105</v>
      </c>
      <c r="D71" s="37">
        <v>101.78825999999999</v>
      </c>
      <c r="E71" s="34">
        <f t="shared" si="3"/>
        <v>96.941199999999995</v>
      </c>
      <c r="F71" s="34">
        <f t="shared" si="4"/>
        <v>-3.211740000000006</v>
      </c>
    </row>
    <row r="72" spans="1:7" ht="15.75" customHeight="1">
      <c r="A72" s="46" t="s">
        <v>357</v>
      </c>
      <c r="B72" s="47" t="s">
        <v>415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57</v>
      </c>
      <c r="B73" s="31" t="s">
        <v>58</v>
      </c>
      <c r="C73" s="48">
        <f>SUM(C74:C77)</f>
        <v>6768.56322</v>
      </c>
      <c r="D73" s="48">
        <f>SUM(D74:D77)</f>
        <v>6475.3745099999996</v>
      </c>
      <c r="E73" s="34">
        <f t="shared" si="3"/>
        <v>95.668375983640431</v>
      </c>
      <c r="F73" s="34">
        <f t="shared" si="4"/>
        <v>-293.18871000000036</v>
      </c>
    </row>
    <row r="74" spans="1:7" ht="15" customHeight="1">
      <c r="A74" s="35" t="s">
        <v>59</v>
      </c>
      <c r="B74" s="39" t="s">
        <v>60</v>
      </c>
      <c r="C74" s="49">
        <v>4.0214999999999996</v>
      </c>
      <c r="D74" s="37">
        <v>1.3405</v>
      </c>
      <c r="E74" s="38">
        <f t="shared" si="3"/>
        <v>33.333333333333336</v>
      </c>
      <c r="F74" s="38">
        <f t="shared" si="4"/>
        <v>-2.6809999999999996</v>
      </c>
    </row>
    <row r="75" spans="1:7" s="6" customFormat="1" ht="15" customHeight="1">
      <c r="A75" s="35" t="s">
        <v>61</v>
      </c>
      <c r="B75" s="39" t="s">
        <v>62</v>
      </c>
      <c r="C75" s="49">
        <v>437.07157999999998</v>
      </c>
      <c r="D75" s="37">
        <v>437.07157999999998</v>
      </c>
      <c r="E75" s="38">
        <f t="shared" si="3"/>
        <v>100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6306.4701400000004</v>
      </c>
      <c r="D76" s="37">
        <v>6015.9624299999996</v>
      </c>
      <c r="E76" s="38">
        <f t="shared" si="3"/>
        <v>95.393497415338572</v>
      </c>
      <c r="F76" s="38">
        <f t="shared" si="4"/>
        <v>-290.50771000000077</v>
      </c>
    </row>
    <row r="77" spans="1:7">
      <c r="A77" s="35" t="s">
        <v>65</v>
      </c>
      <c r="B77" s="39" t="s">
        <v>66</v>
      </c>
      <c r="C77" s="49">
        <v>21</v>
      </c>
      <c r="D77" s="37">
        <v>21</v>
      </c>
      <c r="E77" s="38">
        <f t="shared" si="3"/>
        <v>100</v>
      </c>
      <c r="F77" s="38">
        <f t="shared" si="4"/>
        <v>0</v>
      </c>
    </row>
    <row r="78" spans="1:7" s="6" customFormat="1" ht="17.25" customHeight="1">
      <c r="A78" s="30" t="s">
        <v>67</v>
      </c>
      <c r="B78" s="31" t="s">
        <v>68</v>
      </c>
      <c r="C78" s="32">
        <f>SUM(C79:C82)</f>
        <v>659.45691999999997</v>
      </c>
      <c r="D78" s="32">
        <f>SUM(D79:D82)</f>
        <v>599.44431999999995</v>
      </c>
      <c r="E78" s="34">
        <f t="shared" si="3"/>
        <v>90.899693644885843</v>
      </c>
      <c r="F78" s="34">
        <f t="shared" si="4"/>
        <v>-60.01260000000002</v>
      </c>
    </row>
    <row r="79" spans="1:7" ht="17.25" hidden="1" customHeight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73</v>
      </c>
      <c r="B81" s="39" t="s">
        <v>74</v>
      </c>
      <c r="C81" s="37">
        <v>659.45691999999997</v>
      </c>
      <c r="D81" s="37">
        <v>599.44431999999995</v>
      </c>
      <c r="E81" s="38">
        <f t="shared" si="3"/>
        <v>90.899693644885843</v>
      </c>
      <c r="F81" s="38">
        <f t="shared" si="4"/>
        <v>-60.01260000000002</v>
      </c>
    </row>
    <row r="82" spans="1:6" hidden="1">
      <c r="A82" s="35" t="s">
        <v>263</v>
      </c>
      <c r="B82" s="39" t="s">
        <v>264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85</v>
      </c>
      <c r="B83" s="31" t="s">
        <v>86</v>
      </c>
      <c r="C83" s="32">
        <f>C84+C85</f>
        <v>1411.7</v>
      </c>
      <c r="D83" s="32">
        <f>D84+D85</f>
        <v>515.28399999999999</v>
      </c>
      <c r="E83" s="34">
        <f t="shared" si="3"/>
        <v>36.500956293830136</v>
      </c>
      <c r="F83" s="34">
        <f t="shared" si="4"/>
        <v>-896.41600000000005</v>
      </c>
    </row>
    <row r="84" spans="1:6" ht="18" customHeight="1">
      <c r="A84" s="35" t="s">
        <v>87</v>
      </c>
      <c r="B84" s="39" t="s">
        <v>233</v>
      </c>
      <c r="C84" s="37">
        <v>1411.7</v>
      </c>
      <c r="D84" s="37">
        <v>515.28399999999999</v>
      </c>
      <c r="E84" s="38">
        <f t="shared" si="3"/>
        <v>36.500956293830136</v>
      </c>
      <c r="F84" s="38">
        <f t="shared" si="4"/>
        <v>-896.41600000000005</v>
      </c>
    </row>
    <row r="85" spans="1:6" hidden="1">
      <c r="A85" s="35" t="s">
        <v>272</v>
      </c>
      <c r="B85" s="39" t="s">
        <v>273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88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89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90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91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92</v>
      </c>
      <c r="B90" s="39" t="s">
        <v>93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88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89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95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97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92</v>
      </c>
      <c r="B95" s="39" t="s">
        <v>93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100</v>
      </c>
      <c r="B96" s="39" t="s">
        <v>101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102</v>
      </c>
      <c r="B97" s="39" t="s">
        <v>103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104</v>
      </c>
      <c r="B98" s="39" t="s">
        <v>105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114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115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116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117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118</v>
      </c>
      <c r="C103" s="253">
        <f>C57+C65+C67+C73+C78+C83+C86+C93+C99+C91</f>
        <v>11281.41214</v>
      </c>
      <c r="D103" s="253">
        <f>D57+D65+D67+D73+D78+D83+D86+D93+D99+D91</f>
        <v>9536.9179399999994</v>
      </c>
      <c r="E103" s="34">
        <f t="shared" si="3"/>
        <v>84.536561749972549</v>
      </c>
      <c r="F103" s="34">
        <f t="shared" si="4"/>
        <v>-1744.494200000001</v>
      </c>
    </row>
    <row r="104" spans="1:6">
      <c r="D104" s="181"/>
    </row>
    <row r="105" spans="1:6" s="65" customFormat="1" ht="12.75">
      <c r="A105" s="63" t="s">
        <v>119</v>
      </c>
      <c r="B105" s="63"/>
      <c r="C105" s="119"/>
      <c r="D105" s="64"/>
    </row>
    <row r="106" spans="1:6" s="65" customFormat="1" ht="18.75" customHeight="1">
      <c r="A106" s="66" t="s">
        <v>120</v>
      </c>
      <c r="B106" s="66"/>
      <c r="C106" s="65" t="s">
        <v>121</v>
      </c>
    </row>
    <row r="143" hidden="1"/>
  </sheetData>
  <customSheetViews>
    <customSheetView guid="{120EA1E0-6265-45F1-AFBB-CEB5CB007D02}" scale="70" showPageBreaks="1" hiddenRows="1" view="pageBreakPreview" topLeftCell="A25">
      <selection activeCell="D103" sqref="D10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5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8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9"/>
    </customSheetView>
    <customSheetView guid="{61528DAC-5C4C-48F4-ADE2-8A724B05A086}" scale="70" showPageBreaks="1" hiddenRows="1" view="pageBreakPreview" topLeftCell="A25">
      <selection activeCell="D103" sqref="D103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2019-11-18T05:26:29Z</cp:lastPrinted>
  <dcterms:created xsi:type="dcterms:W3CDTF">1996-10-08T23:32:33Z</dcterms:created>
  <dcterms:modified xsi:type="dcterms:W3CDTF">2019-12-27T13:47:51Z</dcterms:modified>
</cp:coreProperties>
</file>