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  <sheet name="Лист3" sheetId="22" r:id="rId22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район!$17:$18,район!$20:$20,район!$25:$25,район!$27:$31,район!$35:$35,район!$38:$38,район!$50:$51,район!$75:$75,район!$82:$82,район!$99:$99,район!$106:$106,район!$134:$136,район!$139:$140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район!$17:$18,район!$20:$20,район!$28:$30,район!$50:$51,район!$62:$62,район!$75:$75,район!$82:$82,район!$99:$99,район!$106:$106,район!$134:$136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район!$17:$18,район!$20:$20,район!$28:$30,район!$50:$51,район!$75:$75,район!$82:$82,район!$99:$99,район!$106:$106,район!$134:$136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$106:$106,район!$114:$114,район!$134:$136,район!$139:$140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район!$17:$18,район!$20:$20,район!$28:$30,район!$50:$51,район!$75:$75,район!$82:$82,район!$99:$99,район!$106:$106,район!$134:$136</definedName>
    <definedName name="Z_5BFCA170_DEAE_4D2C_98A0_1E68B427AC01_.wvu.Rows" localSheetId="1" hidden="1">Справка!$33:$34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район!$17:$18,район!$20:$20,район!$27:$31,район!$35:$35,район!$38:$38,район!$50:$51,район!$62:$62,район!$75:$75,район!$82:$82,район!$99:$99,район!$106:$106,район!$134:$136,район!$139:$140</definedName>
    <definedName name="Z_61528DAC_5C4C_48F4_ADE2_8A724B05A086_.wvu.Rows" localSheetId="1" hidden="1">Справка!$33:$33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Хор!$19:$24,Хор!$28:$36,Хор!$40:$40,Хор!$44:$44,Хор!$46:$48,Хор!$55:$55,Хор!$57:$59,Хор!$65:$66,Хор!$76:$77,Хор!$81:$85,Хор!$88:$95,Хор!$142:$142</definedName>
    <definedName name="Z_61528DAC_5C4C_48F4_ADE2_8A724B05A086_.wvu.Rows" localSheetId="13" hidden="1">Чум!$19:$24,Чум!$31:$36,Чум!$46:$49,Чум!$57:$57,Чум!$59:$61,Чум!$67:$68,Чум!$78:$79,Чум!$83:$87,Чум!$90:$97,Чум!$142:$142</definedName>
    <definedName name="Z_61528DAC_5C4C_48F4_ADE2_8A724B05A086_.wvu.Rows" localSheetId="14" hidden="1">Шать!$19:$25,Шать!$31:$33,Шать!$46:$49,Шать!$57:$57,Шать!$59:$60,Шать!$67:$68,Шать!$78:$79,Шать!$84:$86,Шать!$90:$97,Шать!$142:$142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Яра!$19:$24,Яра!$46:$50,Яра!$58:$58,Яра!$60:$62,Яра!$68:$69,Яра!$79:$80,Яра!$84:$88,Яра!$91:$98,Яра!$143:$143</definedName>
    <definedName name="Z_61528DAC_5C4C_48F4_ADE2_8A724B05A086_.wvu.Rows" localSheetId="18" hidden="1">Яро!$19:$24,Яро!$28:$28,Яро!$43:$43,Яро!$54:$54,Яро!$56:$58,Яро!$64:$65,Яро!$75:$75,Яро!$82:$84,Яро!$87:$90,Яро!$92:$94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район!$17:$18,район!$20:$20,район!$25:$25,район!$27:$31,район!$35:$35,район!$38:$38,район!$50:$51,район!$62:$62,район!$75:$75,район!$82:$82,район!$99:$99,район!$106:$106,район!$134:$136,район!$139:$140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2" hidden="1">Хор!$A$1:$F$99</definedName>
    <definedName name="Z_B30CE22D_C12F_4E12_8BB9_3AAE0A6991CC_.wvu.PrintArea" localSheetId="13" hidden="1">Чум!$A$1:$F$101</definedName>
    <definedName name="Z_B30CE22D_C12F_4E12_8BB9_3AAE0A6991CC_.wvu.PrintArea" localSheetId="14" hidden="1">Шать!$A$1:$F$101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Юсь!$A$1:$F$102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Але!$19:$24,Але!$28:$28,Але!$36:$36,Але!$46:$46,Але!$53:$53,Але!$55:$57,Але!$63:$64,Але!$74:$75,Але!$79:$83,Але!$86:$93,Але!$142:$142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Мос!$19:$24,Мос!$29:$35,Мос!$44:$44,Мос!$58:$58,Мос!$60:$61,Мос!$68:$69,Мос!$79:$80,Мос!$82:$82,Мос!$85:$92,Мос!$95:$102,Мос!$143:$143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Ори!$19:$24,Ори!$31:$35,Ори!$44:$44,Ори!$46:$46,Ори!$48:$50,Ори!$57:$57,Ори!$59:$60,Ори!$67:$68,Ори!$78:$79,Ори!$81:$81,Ори!$84:$88,Ори!$91:$98,Ори!$142:$142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район!$17:$18,район!$20:$20,район!$27:$31,район!$35:$35,район!$38:$38,район!$50:$51,район!$62:$62,район!$75:$75,район!$82:$82,район!$99:$99,район!$106:$106,район!$134:$136,район!$139:$140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Сят!$19:$24,Сят!$31:$33,Сят!$38:$38,Сят!$45:$48,Сят!$57:$57,Сят!$59:$60,Сят!$67:$68,Сят!$78:$79,Сят!$83:$87,Сят!$90:$97,Сят!$143:$143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Тор!$19:$24,Тор!$32:$36,Тор!$39:$39,Тор!$50:$50,Тор!$57:$57,Тор!$59:$60,Тор!$67:$68,Тор!$75:$75,Тор!$79:$80,Тор!$86:$87,Тор!$90:$96,Тор!$143:$143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Чум!$19:$24,Чум!$31:$36,Чум!$46:$49,Чум!$57:$57,Чум!$59:$61,Чум!$67:$68,Чум!$78:$79,Чум!$83:$87,Чум!$90:$97,Чум!$142:$142</definedName>
    <definedName name="Z_B30CE22D_C12F_4E12_8BB9_3AAE0A6991CC_.wvu.Rows" localSheetId="14" hidden="1">Шать!$19:$25,Шать!$31:$33,Шать!$46:$49,Шать!$57:$57,Шать!$59:$60,Шать!$67:$68,Шать!$78:$79,Шать!$84:$86,Шать!$90:$97,Шать!$142:$142</definedName>
    <definedName name="Z_B30CE22D_C12F_4E12_8BB9_3AAE0A6991CC_.wvu.Rows" localSheetId="15" hidden="1">Юнг!$19:$24,Юнг!$38:$38,Юнг!$45:$49,Юнг!$56:$56,Юнг!$58:$60,Юнг!$66:$67,Юнг!$77:$78,Юнг!$82:$86,Юнг!$89:$96,Юнг!$142:$142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Юсь!$19:$24,Юсь!$31:$33,Юсь!$36:$36,Юсь!$44:$50,Юсь!$58:$58,Юсь!$60:$61,Юсь!$68:$69,Юсь!$79:$80,Юсь!$84:$88,Юсь!$91:$98,Юсь!$142:$142</definedName>
    <definedName name="Z_B30CE22D_C12F_4E12_8BB9_3AAE0A6991CC_.wvu.Rows" localSheetId="17" hidden="1">Яра!$19:$24,Яра!$46:$46,Яра!$48:$51,Яра!$58:$58,Яра!$60:$62,Яра!$68:$69,Яра!$79:$80,Яра!$84:$88,Яра!$91:$98,Яра!$143:$143</definedName>
    <definedName name="Z_B30CE22D_C12F_4E12_8BB9_3AAE0A6991CC_.wvu.Rows" localSheetId="18" hidden="1">Яро!$19:$24,Яро!$28:$28,Яро!$34:$36,Яро!$43:$43,Яро!$46:$47,Яро!$54:$54,Яро!$56:$58,Яро!$64:$65,Яро!$75:$75,Яро!$80:$84,Яро!$87:$90,Яро!$92:$94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район!$17:$18,район!$20:$20,район!$28:$30,район!$50:$51,район!$75:$75,район!$82:$82,район!$99:$99,район!$106:$106,район!$134:$136</definedName>
    <definedName name="Z_B31C8DB7_3E78_4144_A6B5_8DE36DE63F0E_.wvu.Rows" localSheetId="1" hidden="1">Справка!$33:$33,Справка!$34:$34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Тор!$19:$19,Тор!$50:$50,Тор!$57:$57,Тор!$59:$60,Тор!$67:$68,Тор!$75:$75,Тор!$79:$80,Тор!$83:$94</definedName>
    <definedName name="Z_B31C8DB7_3E78_4144_A6B5_8DE36DE63F0E_.wvu.Rows" localSheetId="12" hidden="1">Хор!$19:$24,Хор!$32:$32,Хор!$40:$40,Хор!$44:$44,Хор!$55:$55,Хор!$57:$58,Хор!$65:$66,Хор!$81:$85,Хор!$88:$95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Юнг!$19:$24,Юнг!$32:$32,Юнг!$49:$49,Юнг!$56:$56,Юнг!$58:$59,Юнг!$66:$67,Юнг!$82:$86,Юнг!$89:$96</definedName>
    <definedName name="Z_B31C8DB7_3E78_4144_A6B5_8DE36DE63F0E_.wvu.Rows" localSheetId="16" hidden="1">Юсь!$20:$24,Юсь!$40:$40,Юсь!$44:$49,Юсь!$58:$58,Юсь!$60:$61,Юсь!$68:$69,Юсь!$79:$80,Юсь!$83:$88,Юсь!$91:$98</definedName>
    <definedName name="Z_B31C8DB7_3E78_4144_A6B5_8DE36DE63F0E_.wvu.Rows" localSheetId="17" hidden="1">Яра!$19:$24,Яра!$46:$50,Яра!$58:$58,Яра!$60:$61,Яра!$68:$69,Яра!$79:$79,Яра!$82:$88,Яра!$91:$98</definedName>
    <definedName name="Z_B31C8DB7_3E78_4144_A6B5_8DE36DE63F0E_.wvu.Rows" localSheetId="18" hidden="1">Яро!$19:$24,Яро!$29:$30,Яро!$32:$32,Яро!$43:$43,Яро!$54:$54,Яро!$56:$57,Яро!$64:$65,Яро!$75:$76,Яро!$80:$85,Яро!$87:$94</definedName>
    <definedName name="_xlnm.Print_Area" localSheetId="3">Але!$A$1:$F$97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Тор!$A$1:$F$102</definedName>
    <definedName name="_xlnm.Print_Area" localSheetId="13">Чум!$A$1:$F$101</definedName>
    <definedName name="_xlnm.Print_Area" localSheetId="15">Юнг!$A$1:$F$100</definedName>
    <definedName name="_xlnm.Print_Area" localSheetId="16">Юсь!$A$1:$F$102</definedName>
    <definedName name="_xlnm.Print_Area" localSheetId="17">Яра!$A$1:$F$102</definedName>
  </definedNames>
  <calcPr calcId="124519"/>
  <customWorkbookViews>
    <customWorkbookView name="morgau_fin2 - Личное представление" guid="{B30CE22D-C12F-4E12-8BB9-3AAE0A6991CC}" mergeInterval="0" personalView="1" maximized="1" xWindow="1" yWindow="1" windowWidth="1916" windowHeight="859" tabRatio="695" activeSheetId="2"/>
    <customWorkbookView name="morgau_fin5 - Личное представление" guid="{B31C8DB7-3E78-4144-A6B5-8DE36DE63F0E}" mergeInterval="0" personalView="1" maximized="1" xWindow="1" yWindow="1" windowWidth="1916" windowHeight="850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BP23" i="2"/>
  <c r="BP27"/>
  <c r="BP14"/>
  <c r="BO29"/>
  <c r="BP29" s="1"/>
  <c r="D82" i="18"/>
  <c r="C73" i="3"/>
  <c r="D104"/>
  <c r="C104"/>
  <c r="F105"/>
  <c r="E105"/>
  <c r="CO17" i="2"/>
  <c r="CO14"/>
  <c r="F144" i="3"/>
  <c r="E144"/>
  <c r="F143"/>
  <c r="E143"/>
  <c r="F142"/>
  <c r="E142"/>
  <c r="D141"/>
  <c r="E141" s="1"/>
  <c r="C141"/>
  <c r="F140"/>
  <c r="C139"/>
  <c r="F139" s="1"/>
  <c r="F138"/>
  <c r="E138"/>
  <c r="D137"/>
  <c r="C137"/>
  <c r="E136"/>
  <c r="E135"/>
  <c r="C134"/>
  <c r="E134" s="1"/>
  <c r="F133"/>
  <c r="E133"/>
  <c r="F132"/>
  <c r="E132"/>
  <c r="D131"/>
  <c r="C131"/>
  <c r="F130"/>
  <c r="E130"/>
  <c r="F129"/>
  <c r="E129"/>
  <c r="F128"/>
  <c r="E128"/>
  <c r="F127"/>
  <c r="E127"/>
  <c r="D126"/>
  <c r="C126"/>
  <c r="F125"/>
  <c r="E125"/>
  <c r="F124"/>
  <c r="E124"/>
  <c r="D123"/>
  <c r="C123"/>
  <c r="F122"/>
  <c r="E122"/>
  <c r="F121"/>
  <c r="E121"/>
  <c r="F120"/>
  <c r="E120"/>
  <c r="F119"/>
  <c r="E119"/>
  <c r="F118"/>
  <c r="E118"/>
  <c r="D117"/>
  <c r="C117"/>
  <c r="F116"/>
  <c r="E116"/>
  <c r="D115"/>
  <c r="C115"/>
  <c r="E115" s="1"/>
  <c r="F114"/>
  <c r="E114"/>
  <c r="F113"/>
  <c r="E113"/>
  <c r="F112"/>
  <c r="E112"/>
  <c r="D111"/>
  <c r="C111"/>
  <c r="F110"/>
  <c r="E110"/>
  <c r="F109"/>
  <c r="E109"/>
  <c r="F107"/>
  <c r="E107"/>
  <c r="F106"/>
  <c r="E106"/>
  <c r="F103"/>
  <c r="E103"/>
  <c r="F102"/>
  <c r="E102"/>
  <c r="F101"/>
  <c r="E101"/>
  <c r="F100"/>
  <c r="E100"/>
  <c r="F99"/>
  <c r="E99"/>
  <c r="D98"/>
  <c r="C98"/>
  <c r="F97"/>
  <c r="E97"/>
  <c r="D96"/>
  <c r="C96"/>
  <c r="F95"/>
  <c r="E95"/>
  <c r="F94"/>
  <c r="E94"/>
  <c r="F93"/>
  <c r="E93"/>
  <c r="F92"/>
  <c r="E92"/>
  <c r="F91"/>
  <c r="E91"/>
  <c r="F90"/>
  <c r="E90"/>
  <c r="F89"/>
  <c r="E89"/>
  <c r="D88"/>
  <c r="C88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D73"/>
  <c r="F71"/>
  <c r="E71"/>
  <c r="F70"/>
  <c r="E70"/>
  <c r="D69"/>
  <c r="C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D52"/>
  <c r="C52"/>
  <c r="F51"/>
  <c r="E51"/>
  <c r="D50"/>
  <c r="C50"/>
  <c r="F49"/>
  <c r="E49"/>
  <c r="F48"/>
  <c r="E48"/>
  <c r="D47"/>
  <c r="C47"/>
  <c r="F46"/>
  <c r="F45"/>
  <c r="E45"/>
  <c r="D44"/>
  <c r="C44"/>
  <c r="F43"/>
  <c r="E43"/>
  <c r="D42"/>
  <c r="C42"/>
  <c r="F41"/>
  <c r="E41"/>
  <c r="F40"/>
  <c r="E40"/>
  <c r="F39"/>
  <c r="E39"/>
  <c r="F38"/>
  <c r="E38"/>
  <c r="F37"/>
  <c r="E37"/>
  <c r="F36"/>
  <c r="E36"/>
  <c r="F35"/>
  <c r="E35"/>
  <c r="F34"/>
  <c r="E34"/>
  <c r="D33"/>
  <c r="C33"/>
  <c r="F31"/>
  <c r="E31"/>
  <c r="F30"/>
  <c r="E30"/>
  <c r="F29"/>
  <c r="E29"/>
  <c r="F28"/>
  <c r="E28"/>
  <c r="D27"/>
  <c r="C27"/>
  <c r="F26"/>
  <c r="E26"/>
  <c r="F25"/>
  <c r="E25"/>
  <c r="F24"/>
  <c r="E24"/>
  <c r="D23"/>
  <c r="C23"/>
  <c r="F22"/>
  <c r="E22"/>
  <c r="D21"/>
  <c r="C21"/>
  <c r="F20"/>
  <c r="E20"/>
  <c r="F19"/>
  <c r="E19"/>
  <c r="F18"/>
  <c r="E18"/>
  <c r="F17"/>
  <c r="E17"/>
  <c r="D16"/>
  <c r="C16"/>
  <c r="F15"/>
  <c r="E15"/>
  <c r="F14"/>
  <c r="E14"/>
  <c r="F13"/>
  <c r="E13"/>
  <c r="D12"/>
  <c r="C12"/>
  <c r="F11"/>
  <c r="E11"/>
  <c r="F10"/>
  <c r="E10"/>
  <c r="F9"/>
  <c r="E9"/>
  <c r="F8"/>
  <c r="E8"/>
  <c r="D7"/>
  <c r="C7"/>
  <c r="F6"/>
  <c r="E6"/>
  <c r="D5"/>
  <c r="C5"/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5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F131" i="3" l="1"/>
  <c r="E23"/>
  <c r="F137"/>
  <c r="F7"/>
  <c r="F23"/>
  <c r="E42"/>
  <c r="E44"/>
  <c r="E88"/>
  <c r="F12"/>
  <c r="E7"/>
  <c r="E96"/>
  <c r="F98"/>
  <c r="F123"/>
  <c r="C4"/>
  <c r="E12"/>
  <c r="E52"/>
  <c r="F73"/>
  <c r="F88"/>
  <c r="F104"/>
  <c r="E131"/>
  <c r="E111"/>
  <c r="F115"/>
  <c r="D4"/>
  <c r="E47"/>
  <c r="F69"/>
  <c r="F126"/>
  <c r="E117"/>
  <c r="C32"/>
  <c r="F50"/>
  <c r="E27"/>
  <c r="E16"/>
  <c r="E5"/>
  <c r="E21"/>
  <c r="E33"/>
  <c r="F44"/>
  <c r="F47"/>
  <c r="F111"/>
  <c r="E137"/>
  <c r="E50"/>
  <c r="F52"/>
  <c r="E69"/>
  <c r="E98"/>
  <c r="E104"/>
  <c r="E123"/>
  <c r="E126"/>
  <c r="C145"/>
  <c r="F117"/>
  <c r="E73"/>
  <c r="D32"/>
  <c r="F96"/>
  <c r="F5"/>
  <c r="F16"/>
  <c r="F21"/>
  <c r="F27"/>
  <c r="F33"/>
  <c r="F42"/>
  <c r="F141"/>
  <c r="D145"/>
  <c r="D40" i="16"/>
  <c r="F4" i="3" l="1"/>
  <c r="E4"/>
  <c r="C72"/>
  <c r="C83" s="1"/>
  <c r="C84" s="1"/>
  <c r="D72"/>
  <c r="D83" s="1"/>
  <c r="F145"/>
  <c r="E145"/>
  <c r="E32"/>
  <c r="F32"/>
  <c r="D34" i="15"/>
  <c r="D36" i="7"/>
  <c r="D66" i="12"/>
  <c r="D34" i="11"/>
  <c r="D26"/>
  <c r="D14"/>
  <c r="CV26" i="2"/>
  <c r="AT18"/>
  <c r="AQ18"/>
  <c r="F72" i="3" l="1"/>
  <c r="E72"/>
  <c r="D84"/>
  <c r="F83" s="1"/>
  <c r="E83"/>
  <c r="C34" i="11"/>
  <c r="BN21" i="2" s="1"/>
  <c r="C82" i="12"/>
  <c r="C38" i="17"/>
  <c r="D12" i="19"/>
  <c r="D67" i="18" l="1"/>
  <c r="E42" i="13"/>
  <c r="D82" i="12"/>
  <c r="D64"/>
  <c r="D67" i="6"/>
  <c r="C67"/>
  <c r="E72"/>
  <c r="F72"/>
  <c r="C68" i="4"/>
  <c r="D68"/>
  <c r="G32" i="1" l="1"/>
  <c r="CO19" i="2"/>
  <c r="E49" i="9"/>
  <c r="D5" i="5"/>
  <c r="C29" i="12"/>
  <c r="J15" i="2"/>
  <c r="D12" i="7"/>
  <c r="CD14" i="2"/>
  <c r="CS17"/>
  <c r="CD17"/>
  <c r="C38" i="4"/>
  <c r="AT28" i="2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41" i="12"/>
  <c r="E49"/>
  <c r="F49"/>
  <c r="D40" i="11"/>
  <c r="BR25" i="2" l="1"/>
  <c r="CS23"/>
  <c r="CS19"/>
  <c r="CS18"/>
  <c r="CS14" l="1"/>
  <c r="D38" i="13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1" i="5"/>
  <c r="F76"/>
  <c r="C26"/>
  <c r="D41"/>
  <c r="E48"/>
  <c r="F48"/>
  <c r="C41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G33" i="1"/>
  <c r="F33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O21" i="2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4"/>
  <c r="BU35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AZ15" i="2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5" i="1"/>
  <c r="D35" s="1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F20" i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4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G11" i="1"/>
  <c r="D11" s="1"/>
  <c r="G5"/>
  <c r="G38"/>
  <c r="C97" i="12"/>
  <c r="EQ22" i="2" s="1"/>
  <c r="D7" i="16"/>
  <c r="E42" i="9"/>
  <c r="F42"/>
  <c r="ER14" i="2"/>
  <c r="C84" i="4"/>
  <c r="EL14" i="2"/>
  <c r="C77" i="4"/>
  <c r="D73"/>
  <c r="C73"/>
  <c r="EH14" i="2" s="1"/>
  <c r="D62" i="4"/>
  <c r="EB14" i="2"/>
  <c r="C60" i="4"/>
  <c r="D52"/>
  <c r="D36" i="16"/>
  <c r="G41" i="1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29" i="1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G12" i="1"/>
  <c r="BU33" i="2"/>
  <c r="DF33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F38" i="1"/>
  <c r="F37"/>
  <c r="G36"/>
  <c r="F36"/>
  <c r="F32"/>
  <c r="G30"/>
  <c r="F29"/>
  <c r="F6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Q29" i="2" s="1"/>
  <c r="D34" i="19"/>
  <c r="E35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BP18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F11"/>
  <c r="C11" s="1"/>
  <c r="F12"/>
  <c r="F13"/>
  <c r="F16"/>
  <c r="C16" s="1"/>
  <c r="F17"/>
  <c r="G17"/>
  <c r="F18"/>
  <c r="G19"/>
  <c r="D19" s="1"/>
  <c r="F34"/>
  <c r="C34" s="1"/>
  <c r="F39"/>
  <c r="C39" s="1"/>
  <c r="F40"/>
  <c r="C40" s="1"/>
  <c r="G40"/>
  <c r="D40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4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E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4" s="1"/>
  <c r="AV35" s="1"/>
  <c r="AW31"/>
  <c r="AW33" s="1"/>
  <c r="BT31"/>
  <c r="BT34" s="1"/>
  <c r="BT35" s="1"/>
  <c r="BW31"/>
  <c r="BW34" s="1"/>
  <c r="BW35" s="1"/>
  <c r="BX31"/>
  <c r="BX33" s="1"/>
  <c r="CU31"/>
  <c r="CU34" s="1"/>
  <c r="CU35" s="1"/>
  <c r="CX31"/>
  <c r="CX34" s="1"/>
  <c r="CX35" s="1"/>
  <c r="CY31"/>
  <c r="CY34" s="1"/>
  <c r="CY35" s="1"/>
  <c r="DA31"/>
  <c r="DA33" s="1"/>
  <c r="DD31"/>
  <c r="DD34" s="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E77" i="12"/>
  <c r="F74" i="17"/>
  <c r="C73"/>
  <c r="EE27" i="2" s="1"/>
  <c r="E74" i="17"/>
  <c r="E80" i="8"/>
  <c r="F80"/>
  <c r="E74"/>
  <c r="CC20" i="2"/>
  <c r="C72" i="12"/>
  <c r="C38" i="19"/>
  <c r="F39"/>
  <c r="BZ14" i="2" l="1"/>
  <c r="BP28"/>
  <c r="BP25"/>
  <c r="BZ16"/>
  <c r="BA16"/>
  <c r="C94" i="4"/>
  <c r="G94" s="1"/>
  <c r="J31" i="2"/>
  <c r="J35" s="1"/>
  <c r="E64" i="11"/>
  <c r="D25" i="19"/>
  <c r="D95"/>
  <c r="E14" i="12"/>
  <c r="EQ29" i="2"/>
  <c r="ES29" s="1"/>
  <c r="F17" i="14"/>
  <c r="C99" i="12"/>
  <c r="G99" s="1"/>
  <c r="D99"/>
  <c r="H99" s="1"/>
  <c r="D25"/>
  <c r="V31" i="2"/>
  <c r="V35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F26" i="12"/>
  <c r="AR22" i="2"/>
  <c r="F41" i="5"/>
  <c r="F7" i="12"/>
  <c r="E37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7" i="6"/>
  <c r="F86"/>
  <c r="C4"/>
  <c r="DR15" i="2"/>
  <c r="BO15"/>
  <c r="BP15" s="1"/>
  <c r="F20" i="5"/>
  <c r="DX14" i="2"/>
  <c r="CE14"/>
  <c r="E7" i="19"/>
  <c r="D4"/>
  <c r="D37" s="1"/>
  <c r="D48" s="1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BL33" s="1"/>
  <c r="E89" i="8"/>
  <c r="EA18" i="2"/>
  <c r="AR18"/>
  <c r="E7" i="6"/>
  <c r="E32"/>
  <c r="F12"/>
  <c r="F86" i="5"/>
  <c r="E20"/>
  <c r="DO15" i="2"/>
  <c r="E20" i="4"/>
  <c r="CK14" i="2"/>
  <c r="Z14"/>
  <c r="C25" i="4"/>
  <c r="E14"/>
  <c r="E7"/>
  <c r="F31"/>
  <c r="CU33" i="2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4" s="1"/>
  <c r="AJ35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BK33" s="1"/>
  <c r="E20" i="7"/>
  <c r="O31" i="2"/>
  <c r="O35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4"/>
  <c r="BC35" s="1"/>
  <c r="BC33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DT33" s="1"/>
  <c r="AG31"/>
  <c r="I31"/>
  <c r="I35" s="1"/>
  <c r="D97" i="16"/>
  <c r="H97" s="1"/>
  <c r="EG27" i="2"/>
  <c r="DO26"/>
  <c r="CP31"/>
  <c r="CP35" s="1"/>
  <c r="D99" i="18"/>
  <c r="H99" s="1"/>
  <c r="H33" i="1"/>
  <c r="H6"/>
  <c r="D25" i="16"/>
  <c r="BR26" i="2"/>
  <c r="AQ31"/>
  <c r="EM25"/>
  <c r="DJ25"/>
  <c r="W25"/>
  <c r="E83" i="15"/>
  <c r="D25"/>
  <c r="E64" i="14"/>
  <c r="AE31" i="2"/>
  <c r="AE35" s="1"/>
  <c r="CL31"/>
  <c r="D98" i="15"/>
  <c r="H98" s="1"/>
  <c r="F77" i="14"/>
  <c r="E41"/>
  <c r="BZ25" i="2"/>
  <c r="E81" i="15"/>
  <c r="DP31" i="2"/>
  <c r="DP35" s="1"/>
  <c r="DJ24"/>
  <c r="F64" i="15"/>
  <c r="H24" i="1"/>
  <c r="BY34" i="2"/>
  <c r="BY35" s="1"/>
  <c r="BY33"/>
  <c r="EM26"/>
  <c r="BI33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5" i="19"/>
  <c r="AW34" i="2"/>
  <c r="AW35" s="1"/>
  <c r="E66" i="12"/>
  <c r="F66"/>
  <c r="F81" i="15"/>
  <c r="F64" i="13"/>
  <c r="F72" i="8"/>
  <c r="C98"/>
  <c r="G98" s="1"/>
  <c r="D98" i="14"/>
  <c r="H98" s="1"/>
  <c r="E79" i="13"/>
  <c r="E20" i="12"/>
  <c r="F83" i="15"/>
  <c r="E91" i="5"/>
  <c r="F17" i="15"/>
  <c r="EU17" i="2"/>
  <c r="EV17" s="1"/>
  <c r="E84" i="6"/>
  <c r="F32"/>
  <c r="CK17" i="2"/>
  <c r="CY33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F21" i="1"/>
  <c r="F66" i="14"/>
  <c r="E95" i="18"/>
  <c r="F34" i="19"/>
  <c r="CK29" i="2"/>
  <c r="DO24"/>
  <c r="CK24"/>
  <c r="AU23"/>
  <c r="CS31"/>
  <c r="CS35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N28" i="2"/>
  <c r="D97" i="7"/>
  <c r="AI28" i="2"/>
  <c r="CN21"/>
  <c r="K14"/>
  <c r="EA28"/>
  <c r="CK21"/>
  <c r="F57" i="6"/>
  <c r="F7"/>
  <c r="DM31" i="2"/>
  <c r="DM35" s="1"/>
  <c r="CE26"/>
  <c r="CA26"/>
  <c r="CA29"/>
  <c r="CA28"/>
  <c r="CA27"/>
  <c r="CO31"/>
  <c r="CO35" s="1"/>
  <c r="CA24"/>
  <c r="CA23"/>
  <c r="EP22"/>
  <c r="CF31"/>
  <c r="CF35" s="1"/>
  <c r="CA22"/>
  <c r="AD31"/>
  <c r="L31"/>
  <c r="L35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5" s="1"/>
  <c r="EJ25"/>
  <c r="E40" i="7"/>
  <c r="F69" i="19"/>
  <c r="AL24" i="2"/>
  <c r="BZ20"/>
  <c r="E77" i="14"/>
  <c r="DA34" i="2"/>
  <c r="DA35" s="1"/>
  <c r="AV33"/>
  <c r="BW33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G24" i="2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5" s="1"/>
  <c r="R31"/>
  <c r="R35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5" s="1"/>
  <c r="CM31"/>
  <c r="CM35" s="1"/>
  <c r="AB31"/>
  <c r="EK17"/>
  <c r="EM17" s="1"/>
  <c r="N17"/>
  <c r="ED22"/>
  <c r="EM29"/>
  <c r="F91" i="5"/>
  <c r="EP19" i="2"/>
  <c r="F20" i="12"/>
  <c r="F34" i="7"/>
  <c r="BS16" i="2"/>
  <c r="CC31"/>
  <c r="CC35" s="1"/>
  <c r="H37" i="1"/>
  <c r="BV33" i="2"/>
  <c r="CZ31"/>
  <c r="CZ33" s="1"/>
  <c r="DB31"/>
  <c r="BX34"/>
  <c r="BX35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4" s="1"/>
  <c r="AM35" s="1"/>
  <c r="AI19"/>
  <c r="AC19"/>
  <c r="DX18"/>
  <c r="DX17"/>
  <c r="CE17"/>
  <c r="AC17"/>
  <c r="T17"/>
  <c r="T16"/>
  <c r="N16"/>
  <c r="Q15"/>
  <c r="N15"/>
  <c r="DJ14"/>
  <c r="CN14"/>
  <c r="AI14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5" s="1"/>
  <c r="F27"/>
  <c r="E36" i="7"/>
  <c r="F36"/>
  <c r="BQ17" i="2"/>
  <c r="BS17" s="1"/>
  <c r="DZ31"/>
  <c r="DZ35" s="1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39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E67" i="9"/>
  <c r="EC19" i="2"/>
  <c r="F67" i="9"/>
  <c r="E66" i="11"/>
  <c r="F66"/>
  <c r="EC21" i="2"/>
  <c r="E77" i="4"/>
  <c r="EK14" i="2"/>
  <c r="F77" i="4"/>
  <c r="C72" i="15"/>
  <c r="C98" s="1"/>
  <c r="G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G13" i="1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2" i="11"/>
  <c r="F12"/>
  <c r="CQ21" i="2"/>
  <c r="EE15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5" s="1"/>
  <c r="CT19"/>
  <c r="F73" i="17"/>
  <c r="CN28" i="2"/>
  <c r="F31" i="8"/>
  <c r="E17" i="9"/>
  <c r="F31" i="11"/>
  <c r="F89" i="12"/>
  <c r="C96" i="13"/>
  <c r="F88" i="14"/>
  <c r="C25"/>
  <c r="E14" i="16"/>
  <c r="D103" i="9"/>
  <c r="ES22" i="2"/>
  <c r="DK16"/>
  <c r="DX16"/>
  <c r="F19" i="1"/>
  <c r="F7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4" s="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3" i="2"/>
  <c r="BH34"/>
  <c r="BH35" s="1"/>
  <c r="BJ31"/>
  <c r="DE34"/>
  <c r="DE35" s="1"/>
  <c r="DE33"/>
  <c r="DJ28"/>
  <c r="DJ27"/>
  <c r="DW31"/>
  <c r="DW35" s="1"/>
  <c r="AH31"/>
  <c r="AH35" s="1"/>
  <c r="EG18"/>
  <c r="DK27"/>
  <c r="DJ21"/>
  <c r="D39" i="16" l="1"/>
  <c r="D50" s="1"/>
  <c r="CD33" i="2"/>
  <c r="CD35"/>
  <c r="AB33"/>
  <c r="AB35"/>
  <c r="S33"/>
  <c r="S35"/>
  <c r="M33"/>
  <c r="M35"/>
  <c r="I10" i="1"/>
  <c r="C10" s="1"/>
  <c r="AD35" i="2"/>
  <c r="CL33"/>
  <c r="CL35"/>
  <c r="I12" i="1"/>
  <c r="C12" s="1"/>
  <c r="AG35" i="2"/>
  <c r="DQ33"/>
  <c r="DQ35"/>
  <c r="J38" i="1"/>
  <c r="ER35" i="2"/>
  <c r="DV33"/>
  <c r="DV35"/>
  <c r="P33"/>
  <c r="P35"/>
  <c r="AQ33"/>
  <c r="AQ35"/>
  <c r="G18"/>
  <c r="D18" s="1"/>
  <c r="AT31"/>
  <c r="AT35" s="1"/>
  <c r="C40" i="5"/>
  <c r="C52" s="1"/>
  <c r="C53" s="1"/>
  <c r="X33" i="2"/>
  <c r="D40" i="18"/>
  <c r="D52" s="1"/>
  <c r="J33" i="2"/>
  <c r="BS15"/>
  <c r="G15"/>
  <c r="D15" s="1"/>
  <c r="CB29"/>
  <c r="D49" i="19"/>
  <c r="E25" i="15"/>
  <c r="ED26" i="2"/>
  <c r="BN31"/>
  <c r="E25" i="5"/>
  <c r="E4" i="13"/>
  <c r="CZ34" i="2"/>
  <c r="CZ35" s="1"/>
  <c r="C25" i="16"/>
  <c r="E25" s="1"/>
  <c r="BS26" i="2"/>
  <c r="F4" i="16"/>
  <c r="E36"/>
  <c r="F36"/>
  <c r="E4" i="10"/>
  <c r="D39"/>
  <c r="D51" s="1"/>
  <c r="F17" i="2"/>
  <c r="C17" s="1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ES26"/>
  <c r="D40" i="14"/>
  <c r="AL31" i="2"/>
  <c r="AL35" s="1"/>
  <c r="DL24"/>
  <c r="H20"/>
  <c r="C19"/>
  <c r="BL34"/>
  <c r="BL35" s="1"/>
  <c r="F98" i="8"/>
  <c r="CB16" i="2"/>
  <c r="DG14"/>
  <c r="H31" i="1"/>
  <c r="BK34" i="2"/>
  <c r="BK35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G52" s="1"/>
  <c r="DL26" i="2"/>
  <c r="BA25"/>
  <c r="F25" i="15"/>
  <c r="DH22" i="2"/>
  <c r="F25" i="12"/>
  <c r="F4" i="11"/>
  <c r="AJ33" i="2"/>
  <c r="I13" i="1"/>
  <c r="C13" s="1"/>
  <c r="F101" i="5"/>
  <c r="E4" i="4"/>
  <c r="F94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39" i="11"/>
  <c r="C51" s="1"/>
  <c r="CF33" i="2"/>
  <c r="CB17"/>
  <c r="C39" i="7"/>
  <c r="C50" s="1"/>
  <c r="DL17" i="2"/>
  <c r="F25" i="6"/>
  <c r="AO31" i="2"/>
  <c r="AD33"/>
  <c r="AN34"/>
  <c r="AN35" s="1"/>
  <c r="V33"/>
  <c r="E101" i="5"/>
  <c r="ER33" i="2"/>
  <c r="C15"/>
  <c r="AA33"/>
  <c r="I6" i="1"/>
  <c r="C6" s="1"/>
  <c r="C37" i="4"/>
  <c r="C47" s="1"/>
  <c r="E94"/>
  <c r="I8" i="1"/>
  <c r="C8" s="1"/>
  <c r="DH15" i="2"/>
  <c r="CB20"/>
  <c r="C22"/>
  <c r="CB14"/>
  <c r="AG33"/>
  <c r="D28"/>
  <c r="H28"/>
  <c r="CB27"/>
  <c r="F4" i="15"/>
  <c r="CO33" i="2"/>
  <c r="DT34"/>
  <c r="DT35" s="1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G4" i="1"/>
  <c r="G26" i="2"/>
  <c r="D26" s="1"/>
  <c r="AF31"/>
  <c r="AE33"/>
  <c r="J10" i="1"/>
  <c r="D10" s="1"/>
  <c r="DR31" i="2"/>
  <c r="DR33" s="1"/>
  <c r="E4" i="15"/>
  <c r="D40"/>
  <c r="D51" s="1"/>
  <c r="DP33" i="2"/>
  <c r="DL25"/>
  <c r="D29"/>
  <c r="EX29" s="1"/>
  <c r="J25" i="1"/>
  <c r="D25" s="1"/>
  <c r="CS33" i="2"/>
  <c r="AM33"/>
  <c r="DH16"/>
  <c r="ED28"/>
  <c r="F25" i="10"/>
  <c r="D25" i="2"/>
  <c r="DN33"/>
  <c r="AP31"/>
  <c r="H34" i="1"/>
  <c r="D34"/>
  <c r="E34" s="1"/>
  <c r="K31" i="2"/>
  <c r="BQ31"/>
  <c r="BQ33" s="1"/>
  <c r="DG18"/>
  <c r="D39" i="11"/>
  <c r="D51" s="1"/>
  <c r="DG23" i="2"/>
  <c r="J5" i="1"/>
  <c r="D5" s="1"/>
  <c r="C37" i="13"/>
  <c r="C49" s="1"/>
  <c r="DM33" i="2"/>
  <c r="E98" i="8"/>
  <c r="F29" i="2"/>
  <c r="C29" s="1"/>
  <c r="D20"/>
  <c r="Q31"/>
  <c r="R33"/>
  <c r="D24"/>
  <c r="I7" i="1"/>
  <c r="E25" i="9"/>
  <c r="EM18" i="2"/>
  <c r="C20"/>
  <c r="CJ33"/>
  <c r="AS33"/>
  <c r="C14"/>
  <c r="J6" i="1"/>
  <c r="D6" s="1"/>
  <c r="CM33" i="2"/>
  <c r="Z19"/>
  <c r="DG22"/>
  <c r="DL16"/>
  <c r="U33"/>
  <c r="DH28"/>
  <c r="EN31"/>
  <c r="BS28"/>
  <c r="C40" i="15"/>
  <c r="DL22" i="2"/>
  <c r="EG19"/>
  <c r="D40" i="5"/>
  <c r="T31" i="2"/>
  <c r="F99" i="12"/>
  <c r="E99"/>
  <c r="CH31" i="2"/>
  <c r="DK31"/>
  <c r="CG33"/>
  <c r="AK34"/>
  <c r="AK35" s="1"/>
  <c r="J13" i="1"/>
  <c r="D13" s="1"/>
  <c r="AK33" i="2"/>
  <c r="AX33"/>
  <c r="AX34"/>
  <c r="AX35" s="1"/>
  <c r="F25" i="5"/>
  <c r="CN31" i="2"/>
  <c r="C40" i="18"/>
  <c r="AC31" i="2"/>
  <c r="J8" i="1"/>
  <c r="W31" i="2"/>
  <c r="CE31"/>
  <c r="AU18"/>
  <c r="DH20"/>
  <c r="DB33"/>
  <c r="DC31"/>
  <c r="DB34"/>
  <c r="DB35" s="1"/>
  <c r="CB15"/>
  <c r="F4" i="18"/>
  <c r="E4"/>
  <c r="DZ33" i="2"/>
  <c r="J30" i="1"/>
  <c r="D30" s="1"/>
  <c r="DL28" i="2"/>
  <c r="E25" i="18"/>
  <c r="E25" i="10"/>
  <c r="C39" i="9"/>
  <c r="BE33" i="2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V33" i="2"/>
  <c r="CW31"/>
  <c r="CV34"/>
  <c r="CV35" s="1"/>
  <c r="E4" i="12"/>
  <c r="D40"/>
  <c r="F4"/>
  <c r="F12" i="9"/>
  <c r="E12"/>
  <c r="D4"/>
  <c r="Y31" i="2"/>
  <c r="Y35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5" s="1"/>
  <c r="F57" i="18"/>
  <c r="E57"/>
  <c r="C99"/>
  <c r="G99" s="1"/>
  <c r="EE25" i="2"/>
  <c r="E72" i="15"/>
  <c r="F72"/>
  <c r="ED21" i="2"/>
  <c r="DH21"/>
  <c r="ED19"/>
  <c r="DH19"/>
  <c r="E25" i="11"/>
  <c r="F25"/>
  <c r="EJ20" i="2"/>
  <c r="EI31"/>
  <c r="EI35" s="1"/>
  <c r="EG23"/>
  <c r="EG20"/>
  <c r="F96" i="13"/>
  <c r="EB31" i="2"/>
  <c r="EB35" s="1"/>
  <c r="DG19"/>
  <c r="ED27"/>
  <c r="CI33"/>
  <c r="CK31"/>
  <c r="DH17"/>
  <c r="EG17"/>
  <c r="EF31"/>
  <c r="EF35" s="1"/>
  <c r="EO31"/>
  <c r="EO35" s="1"/>
  <c r="EP18"/>
  <c r="BA18"/>
  <c r="AY31"/>
  <c r="AY35" s="1"/>
  <c r="F18"/>
  <c r="C35" i="1"/>
  <c r="E35" s="1"/>
  <c r="F28"/>
  <c r="H35"/>
  <c r="F4"/>
  <c r="H5"/>
  <c r="ED14" i="2"/>
  <c r="EC31"/>
  <c r="EC35" s="1"/>
  <c r="D19"/>
  <c r="H19"/>
  <c r="D4" i="7"/>
  <c r="F12"/>
  <c r="E12"/>
  <c r="D37" i="17"/>
  <c r="F4"/>
  <c r="E4"/>
  <c r="E4" i="14"/>
  <c r="F4"/>
  <c r="EM19" i="2"/>
  <c r="EL31"/>
  <c r="EL35" s="1"/>
  <c r="F103" i="9"/>
  <c r="E103"/>
  <c r="E76" i="7"/>
  <c r="F76"/>
  <c r="C97"/>
  <c r="EH17" i="2"/>
  <c r="EJ17" s="1"/>
  <c r="ES19"/>
  <c r="EQ31"/>
  <c r="EQ35" s="1"/>
  <c r="F25" i="4"/>
  <c r="E25"/>
  <c r="F74" i="19"/>
  <c r="EH29" i="2"/>
  <c r="E74" i="19"/>
  <c r="F95"/>
  <c r="EE26" i="2"/>
  <c r="F71" i="16"/>
  <c r="C97"/>
  <c r="G97" s="1"/>
  <c r="E71"/>
  <c r="EM14" i="2"/>
  <c r="E25" i="8"/>
  <c r="F25"/>
  <c r="F25" i="17"/>
  <c r="E25"/>
  <c r="G23" i="2"/>
  <c r="BR31"/>
  <c r="BR35" s="1"/>
  <c r="D39" i="8"/>
  <c r="F4"/>
  <c r="E4"/>
  <c r="D39" i="1"/>
  <c r="H39"/>
  <c r="G28"/>
  <c r="E96" i="13"/>
  <c r="F72" i="10"/>
  <c r="C99"/>
  <c r="E99" s="1"/>
  <c r="F25" i="18"/>
  <c r="DL20" i="2"/>
  <c r="C39" i="8"/>
  <c r="C51" s="1"/>
  <c r="G51" s="1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R33" i="2"/>
  <c r="CT31"/>
  <c r="E38" i="4"/>
  <c r="F38"/>
  <c r="EJ26" i="2"/>
  <c r="DH26"/>
  <c r="F25"/>
  <c r="BS25"/>
  <c r="EV20"/>
  <c r="EU31"/>
  <c r="BB34"/>
  <c r="BB35" s="1"/>
  <c r="BB33"/>
  <c r="BD31"/>
  <c r="F73" i="6"/>
  <c r="F82" i="17"/>
  <c r="DH23" i="2"/>
  <c r="DH18"/>
  <c r="DL21"/>
  <c r="CB22"/>
  <c r="CA31"/>
  <c r="CA35" s="1"/>
  <c r="BJ33"/>
  <c r="BJ34"/>
  <c r="BJ35" s="1"/>
  <c r="DX31"/>
  <c r="DW33"/>
  <c r="DH27"/>
  <c r="DL27"/>
  <c r="AH33"/>
  <c r="J12" i="1"/>
  <c r="AI31" i="2"/>
  <c r="DJ31"/>
  <c r="DJ35" s="1"/>
  <c r="C50" i="13" l="1"/>
  <c r="C52" i="12"/>
  <c r="G51"/>
  <c r="D53" i="18"/>
  <c r="F51" i="11"/>
  <c r="E10" i="1"/>
  <c r="C52" i="8"/>
  <c r="DK33" i="2"/>
  <c r="DK35"/>
  <c r="I15" i="1"/>
  <c r="C15" s="1"/>
  <c r="AP35" i="2"/>
  <c r="AO33"/>
  <c r="AO35"/>
  <c r="J17" i="1"/>
  <c r="D17" s="1"/>
  <c r="AZ35" i="2"/>
  <c r="I30" i="1"/>
  <c r="C30" s="1"/>
  <c r="E30" s="1"/>
  <c r="DY35" i="2"/>
  <c r="I20" i="1"/>
  <c r="C20" s="1"/>
  <c r="BN35" i="2"/>
  <c r="EN33"/>
  <c r="EN35"/>
  <c r="D52" i="15"/>
  <c r="D52" i="11"/>
  <c r="D52" i="10"/>
  <c r="C52" i="9"/>
  <c r="C53" s="1"/>
  <c r="W33" i="2"/>
  <c r="C53" i="17"/>
  <c r="EW23" i="2"/>
  <c r="DG28"/>
  <c r="EW28" s="1"/>
  <c r="F25" i="16"/>
  <c r="BN33" i="2"/>
  <c r="E16"/>
  <c r="EX25"/>
  <c r="E28"/>
  <c r="C39" i="16"/>
  <c r="C50" s="1"/>
  <c r="BM34" i="2"/>
  <c r="BM35" s="1"/>
  <c r="EW20"/>
  <c r="J20" i="1"/>
  <c r="D20" s="1"/>
  <c r="BO33" i="2"/>
  <c r="C53" i="6"/>
  <c r="BP31" i="2"/>
  <c r="H16"/>
  <c r="DI14"/>
  <c r="EW19"/>
  <c r="EA31"/>
  <c r="DY33"/>
  <c r="DG21"/>
  <c r="DI21" s="1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4"/>
  <c r="BQ35" s="1"/>
  <c r="F40" i="18"/>
  <c r="K5" i="1"/>
  <c r="BZ33" i="2"/>
  <c r="C7" i="1"/>
  <c r="C4" s="1"/>
  <c r="EW27" i="2"/>
  <c r="J29" i="1"/>
  <c r="D29" s="1"/>
  <c r="D51" i="16"/>
  <c r="K10" i="1"/>
  <c r="H14"/>
  <c r="AP33" i="2"/>
  <c r="AR31"/>
  <c r="H29"/>
  <c r="EX24"/>
  <c r="E29"/>
  <c r="EX18"/>
  <c r="I37" i="1"/>
  <c r="E39" i="11"/>
  <c r="E101" i="6"/>
  <c r="E40" i="18"/>
  <c r="C52"/>
  <c r="C48" i="4"/>
  <c r="E20" i="2"/>
  <c r="K6" i="1"/>
  <c r="DI20" i="2"/>
  <c r="DI22"/>
  <c r="C51" i="15"/>
  <c r="F40"/>
  <c r="E40"/>
  <c r="D52" i="5"/>
  <c r="G52" s="1"/>
  <c r="E40"/>
  <c r="F40"/>
  <c r="E97" i="7"/>
  <c r="EX21" i="2"/>
  <c r="F97" i="7"/>
  <c r="DC34" i="2"/>
  <c r="DC35" s="1"/>
  <c r="DC33"/>
  <c r="AT33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7" s="1"/>
  <c r="F43" s="1"/>
  <c r="EI33" i="2"/>
  <c r="J33" i="1"/>
  <c r="F98" i="15"/>
  <c r="E98"/>
  <c r="F99" i="18"/>
  <c r="E99"/>
  <c r="D17" i="2"/>
  <c r="H17"/>
  <c r="ET33"/>
  <c r="ET34"/>
  <c r="ET35" s="1"/>
  <c r="I41" i="1"/>
  <c r="DG16" i="2"/>
  <c r="EG16"/>
  <c r="EE31"/>
  <c r="EE35" s="1"/>
  <c r="E98" i="14"/>
  <c r="F98"/>
  <c r="F47" i="4"/>
  <c r="E47"/>
  <c r="D48"/>
  <c r="BD34" i="2"/>
  <c r="BD35" s="1"/>
  <c r="BD33"/>
  <c r="E37" i="19"/>
  <c r="F37"/>
  <c r="E39" i="1"/>
  <c r="J21"/>
  <c r="D21" s="1"/>
  <c r="BR33" i="2"/>
  <c r="BS31"/>
  <c r="EQ33"/>
  <c r="I38" i="1"/>
  <c r="ES31" i="2"/>
  <c r="EC33"/>
  <c r="J31" i="1"/>
  <c r="D31" s="1"/>
  <c r="ED31" i="2"/>
  <c r="BA31"/>
  <c r="AY33"/>
  <c r="I17" i="1"/>
  <c r="J32"/>
  <c r="EF33" i="2"/>
  <c r="I31" i="1"/>
  <c r="C31" s="1"/>
  <c r="EB33" i="2"/>
  <c r="EG25"/>
  <c r="DG25"/>
  <c r="DI25" s="1"/>
  <c r="J18" i="1"/>
  <c r="BF33" i="2"/>
  <c r="BG31"/>
  <c r="BG33" s="1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5" s="1"/>
  <c r="C52" i="11"/>
  <c r="E51"/>
  <c r="J41" i="1"/>
  <c r="EU34" i="2"/>
  <c r="EU35" s="1"/>
  <c r="EV31"/>
  <c r="EU33"/>
  <c r="EX26"/>
  <c r="F39" i="8"/>
  <c r="D51"/>
  <c r="E39"/>
  <c r="DG26" i="2"/>
  <c r="EW26" s="1"/>
  <c r="EG26"/>
  <c r="J36" i="1"/>
  <c r="EL33" i="2"/>
  <c r="E19"/>
  <c r="EX19"/>
  <c r="C18"/>
  <c r="H18"/>
  <c r="F31"/>
  <c r="F35" s="1"/>
  <c r="EO33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H52" s="1"/>
  <c r="E37"/>
  <c r="F37"/>
  <c r="H14" i="2"/>
  <c r="G31"/>
  <c r="G35" s="1"/>
  <c r="D14"/>
  <c r="EW15"/>
  <c r="DI15"/>
  <c r="C51" i="10"/>
  <c r="F39"/>
  <c r="E39"/>
  <c r="J7" i="1"/>
  <c r="J4" s="1"/>
  <c r="Y33" i="2"/>
  <c r="Z31"/>
  <c r="CW33"/>
  <c r="F99" i="17"/>
  <c r="C52" i="14"/>
  <c r="I29" i="1"/>
  <c r="C29" s="1"/>
  <c r="DJ33" i="2"/>
  <c r="EX27"/>
  <c r="DI27"/>
  <c r="K12" i="1"/>
  <c r="D12"/>
  <c r="DH31" i="2"/>
  <c r="DH35" s="1"/>
  <c r="DL31"/>
  <c r="CB31"/>
  <c r="J24" i="1"/>
  <c r="CA33" i="2"/>
  <c r="E50" i="16" l="1"/>
  <c r="G50"/>
  <c r="C53" i="18"/>
  <c r="E20" i="1"/>
  <c r="E37"/>
  <c r="K30"/>
  <c r="EM31" i="2"/>
  <c r="EK35"/>
  <c r="C52" i="15"/>
  <c r="E31" i="1"/>
  <c r="E29"/>
  <c r="D28"/>
  <c r="K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EE33" i="2"/>
  <c r="G33"/>
  <c r="H31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5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E12" i="1"/>
  <c r="K24"/>
  <c r="DI31" i="2" l="1"/>
  <c r="DG35"/>
  <c r="E38" i="1"/>
  <c r="C28"/>
  <c r="E28" s="1"/>
  <c r="E31" i="2"/>
  <c r="D33"/>
  <c r="I28" i="1"/>
  <c r="K28" s="1"/>
  <c r="DG33" i="2"/>
  <c r="EY14"/>
  <c r="EX31"/>
  <c r="EX35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5" s="1"/>
  <c r="C33"/>
  <c r="E17" i="1"/>
  <c r="C14"/>
  <c r="C23" s="1"/>
  <c r="C27" s="1"/>
  <c r="J43"/>
  <c r="C43" l="1"/>
  <c r="D23"/>
  <c r="D27" s="1"/>
  <c r="I43"/>
  <c r="F44" s="1"/>
  <c r="F45" s="1"/>
  <c r="E14"/>
  <c r="G44"/>
  <c r="EX33" i="2"/>
  <c r="EY31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<sst xmlns="http://schemas.openxmlformats.org/spreadsheetml/2006/main" count="2861" uniqueCount="444">
  <si>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</si>
  <si>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</si>
  <si>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</si>
  <si>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</si>
  <si>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</si>
  <si>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</si>
  <si>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</si>
  <si>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</si>
  <si>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</si>
  <si>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</si>
  <si>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</si>
  <si>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</si>
  <si>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</si>
  <si>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</si>
  <si>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</si>
  <si>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</si>
  <si>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</si>
  <si>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</si>
  <si>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</si>
  <si>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</si>
  <si>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</si>
  <si>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</si>
  <si>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</si>
  <si>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</si>
  <si>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</si>
  <si>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</si>
  <si>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</si>
  <si>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</si>
  <si>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</si>
  <si>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</si>
  <si>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</si>
  <si>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</si>
  <si>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</si>
  <si>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</si>
  <si>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</si>
  <si>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</si>
  <si>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</si>
  <si>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</si>
  <si>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</si>
  <si>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</si>
  <si>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</si>
  <si>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</si>
  <si>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</si>
  <si>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</si>
  <si>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</si>
  <si>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</si>
  <si>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</si>
  <si>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</si>
  <si>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</si>
  <si>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</si>
  <si>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</si>
  <si>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</si>
  <si>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</si>
  <si>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</si>
  <si>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</si>
  <si>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</si>
  <si>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</si>
  <si>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</si>
  <si>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</si>
  <si>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</si>
  <si>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</si>
  <si>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</si>
  <si>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</si>
  <si>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</si>
  <si>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</si>
  <si>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</si>
  <si>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</si>
  <si>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</si>
  <si>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</si>
  <si>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</si>
  <si>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</si>
  <si>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</si>
  <si>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</si>
  <si>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</si>
  <si>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</si>
  <si>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</si>
  <si>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</si>
  <si>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</si>
  <si>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</si>
  <si>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</si>
  <si>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</si>
  <si>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</si>
  <si>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</si>
  <si>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</si>
  <si>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</si>
  <si>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</si>
  <si>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</si>
  <si>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</si>
  <si>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</si>
  <si>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</si>
  <si>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</si>
  <si>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</si>
  <si>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</si>
  <si>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</si>
  <si>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</si>
  <si>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</si>
  <si>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</si>
  <si>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</si>
  <si>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</si>
  <si>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</si>
  <si>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</si>
  <si>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</si>
  <si>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</si>
  <si>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</si>
  <si>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</si>
  <si>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</si>
  <si>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</si>
  <si>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</si>
  <si>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</si>
  <si>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</si>
  <si>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</si>
  <si>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</si>
  <si>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</si>
  <si>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</si>
  <si>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</si>
  <si>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</si>
  <si>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</si>
  <si>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</si>
  <si>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</si>
  <si>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</si>
  <si>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</si>
  <si>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</si>
  <si>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</si>
  <si>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</si>
  <si>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</si>
  <si>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</si>
  <si>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</si>
  <si>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</si>
  <si>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</si>
  <si>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</si>
  <si>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</si>
  <si>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</si>
  <si>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</si>
  <si>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</si>
  <si>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</si>
  <si>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</si>
  <si>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</si>
  <si>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</si>
  <si>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</si>
  <si>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</si>
  <si>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</si>
  <si>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</si>
  <si>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</si>
  <si>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</si>
  <si>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</si>
  <si>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</si>
  <si>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</si>
  <si>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</si>
  <si>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</si>
  <si>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</si>
  <si>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</si>
  <si>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</si>
  <si>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</si>
  <si>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</si>
  <si>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</si>
  <si>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</si>
  <si>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</si>
  <si>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</si>
  <si>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</si>
  <si>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</si>
  <si>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</si>
  <si>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</si>
  <si>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</si>
  <si>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</si>
  <si>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</si>
  <si>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</si>
  <si>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</si>
  <si>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</si>
  <si>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</si>
  <si>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</si>
  <si>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</si>
  <si>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</si>
  <si>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</si>
  <si>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</si>
  <si>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</si>
  <si>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</si>
  <si>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</si>
  <si>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</si>
  <si>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</si>
  <si>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</si>
  <si>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</si>
  <si>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</si>
  <si>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</si>
  <si>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</si>
  <si>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</si>
  <si>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</si>
  <si>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</si>
  <si>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</si>
  <si>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</si>
  <si>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</si>
  <si>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</si>
  <si>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</si>
  <si>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</si>
  <si>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</si>
  <si>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</si>
  <si>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</si>
  <si>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</si>
  <si>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</si>
  <si>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</si>
  <si>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</si>
  <si>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</si>
  <si>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</si>
  <si>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</si>
  <si>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</si>
  <si>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</si>
  <si>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</si>
  <si>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</si>
  <si>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</si>
  <si>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</si>
  <si>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</si>
  <si>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</si>
  <si>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</si>
  <si>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</si>
  <si>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</si>
  <si>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</si>
  <si>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</si>
  <si>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</si>
  <si>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</si>
  <si>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</si>
  <si>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</si>
  <si>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</si>
  <si>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</si>
  <si>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</si>
  <si>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</si>
  <si>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</si>
  <si>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</si>
  <si>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</si>
  <si>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</si>
  <si>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</si>
  <si>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</si>
  <si>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</si>
  <si>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</si>
  <si>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</si>
  <si>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</si>
  <si>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</si>
  <si>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</si>
  <si>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</si>
  <si>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</si>
  <si>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</si>
  <si>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</si>
  <si>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</si>
  <si>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</si>
  <si>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</si>
  <si>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</si>
  <si>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</si>
  <si>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</si>
  <si>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</si>
  <si>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</si>
  <si>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</si>
  <si>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</si>
  <si>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</si>
  <si>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</si>
  <si>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</si>
  <si>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</si>
  <si>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</si>
  <si>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</si>
  <si>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</si>
  <si>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</si>
  <si>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</si>
  <si>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</si>
  <si>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</si>
  <si>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</si>
  <si>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</si>
  <si>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</si>
  <si>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</si>
  <si>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</si>
  <si>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</si>
  <si>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</si>
  <si>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</si>
  <si>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</si>
  <si>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</si>
  <si>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</si>
  <si>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</si>
  <si>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</si>
  <si>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</si>
  <si>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</si>
  <si>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</si>
  <si>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</si>
  <si>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</si>
  <si>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</si>
  <si>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</si>
  <si>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</si>
  <si>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</si>
  <si>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</si>
  <si>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</si>
  <si>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</si>
  <si>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</si>
  <si>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</si>
  <si>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</si>
  <si>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</si>
  <si>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</si>
  <si>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</si>
  <si>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</si>
  <si>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</si>
  <si>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</si>
  <si>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</si>
  <si>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</si>
  <si>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</si>
  <si>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</si>
  <si>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</si>
  <si>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</si>
  <si>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</si>
  <si>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</si>
  <si>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</si>
  <si>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</si>
  <si>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</si>
  <si>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</si>
  <si>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</si>
  <si>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</si>
  <si>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</si>
  <si>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</si>
  <si>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</si>
  <si>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</si>
  <si>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</si>
  <si>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</si>
  <si>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</si>
  <si>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</si>
  <si>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</si>
  <si>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</si>
  <si>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</si>
  <si>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</si>
  <si>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</si>
  <si>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</si>
  <si>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</si>
  <si>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</si>
  <si>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</si>
  <si>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</si>
  <si>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</si>
  <si>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</si>
  <si>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</si>
  <si>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</si>
  <si>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</si>
  <si>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</si>
  <si>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</si>
  <si>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</si>
  <si>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</si>
  <si>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</si>
  <si>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</si>
  <si>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</si>
  <si>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</si>
  <si>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</si>
  <si>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</si>
  <si>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</si>
  <si>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</si>
  <si>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</si>
  <si>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</si>
  <si>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</si>
  <si>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</si>
  <si>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</si>
  <si>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</si>
  <si>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</si>
  <si>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</si>
  <si>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</si>
  <si>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</si>
  <si>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</si>
  <si>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</si>
  <si>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</si>
  <si>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</si>
  <si>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</si>
  <si>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</si>
  <si>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</si>
  <si>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</si>
  <si>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</si>
  <si>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</si>
  <si>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</si>
  <si>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</si>
  <si>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</si>
  <si>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</si>
  <si>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</si>
  <si>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</si>
  <si>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</si>
  <si>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</si>
  <si>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</si>
  <si>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</si>
  <si>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</si>
  <si>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</si>
  <si>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</si>
  <si>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</si>
  <si>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</si>
  <si>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</si>
  <si>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</si>
  <si>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</si>
  <si>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</si>
  <si>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</si>
  <si>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</si>
  <si>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</si>
  <si>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</si>
  <si>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</si>
  <si>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</si>
  <si>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</si>
  <si>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</si>
  <si>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</si>
  <si>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</si>
  <si>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</si>
  <si>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</si>
  <si>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</si>
  <si>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</si>
  <si>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</si>
  <si>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</si>
  <si>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</si>
  <si>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</si>
  <si>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</si>
  <si>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</si>
  <si>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</si>
  <si>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</si>
  <si>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</si>
  <si>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</si>
  <si>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</si>
  <si>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</si>
  <si>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</si>
  <si>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</si>
  <si>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</si>
  <si>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</si>
  <si>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</si>
  <si>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</si>
  <si>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</si>
  <si>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Дотация бюджетам по обеспечению сбалансированности бюджетов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</si>
  <si>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</si>
  <si>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</si>
  <si>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</si>
  <si>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>об исполнении бюджетов поселений  Моргаушского района  на 1 июля 2019 г.</t>
  </si>
  <si>
    <t xml:space="preserve">                                                        Моргаушского района на 01.07.2019 г. </t>
  </si>
  <si>
    <t xml:space="preserve">                     Анализ исполнения бюджета Александровского сельского поселения на 01.07.2019 г.</t>
  </si>
  <si>
    <t>исполнен на 01.07.2019 г.</t>
  </si>
  <si>
    <t>исполнено на 01.07.2019 г.</t>
  </si>
  <si>
    <t xml:space="preserve">                     Анализ исполнения бюджета Большесундырского сельского поселения на 01.07.2019 г.</t>
  </si>
  <si>
    <t>исполнено на 01.07.2019 г</t>
  </si>
  <si>
    <t xml:space="preserve">                     Анализ исполнения бюджета Ильинского сельского поселения на 01.07.2019 г.</t>
  </si>
  <si>
    <t xml:space="preserve">                     Анализ исполнения бюджета Кадикасинского сельского поселения на 01.07.2019 г.</t>
  </si>
  <si>
    <t xml:space="preserve">                     Анализ исполнения бюджета Моргаушского сельского поселения на 01.07.2019 г.</t>
  </si>
  <si>
    <t xml:space="preserve">                     Анализ исполнения бюджета Москакасинского сельского поселения на 01.07.2019 г.</t>
  </si>
  <si>
    <t xml:space="preserve">                     Анализ исполнения бюджета Орининского сельского поселения на 01.07.2019 г.</t>
  </si>
  <si>
    <t xml:space="preserve">                     Анализ исполнения бюджета Сятракасинского сельского поселения на 01.07.2019 г.</t>
  </si>
  <si>
    <t xml:space="preserve">                     Анализ исполнения бюджета Тораевского сельского поселения на 01.07.2019 г.</t>
  </si>
  <si>
    <t xml:space="preserve">                     Анализ исполнения бюджета Хорнойского сельского поселения на 01.07.2019 г.</t>
  </si>
  <si>
    <t xml:space="preserve">                     Анализ исполнения бюджета Чуманкасинского сельского поселения на 01.07.2019 г.</t>
  </si>
  <si>
    <t xml:space="preserve">                     Анализ исполнения бюджета Шатьмапосинского сельского поселения на 01.07.2019 г.</t>
  </si>
  <si>
    <t xml:space="preserve">                     Анализ исполнения бюджета Юнгинского сельского поселения на 01.07.2019 г.</t>
  </si>
  <si>
    <t xml:space="preserve">                     Анализ исполнения бюджета Юськасинского сельского поселения на 01.07.2019 г.</t>
  </si>
  <si>
    <t>исполнено на 01.07.2019г.</t>
  </si>
  <si>
    <t xml:space="preserve">                     Анализ исполнения бюджета Ярабайкасинского сельского поселения на 01.07.2019 г.</t>
  </si>
  <si>
    <t xml:space="preserve">                     Анализ исполнения бюджета Ярославского сельского поселения на 01.07.2019 г.</t>
  </si>
  <si>
    <t xml:space="preserve">исполнено на 01.07.2019 г. </t>
  </si>
  <si>
    <t>Анализ исполнения консолидированного бюджета Моргаушского районана 01.07.2019 г.</t>
  </si>
</sst>
</file>

<file path=xl/styles.xml><?xml version="1.0" encoding="utf-8"?>
<styleSheet xmlns="http://schemas.openxmlformats.org/spreadsheetml/2006/main">
  <numFmts count="2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000"/>
    <numFmt numFmtId="184" formatCode="_(* #,##0.000000_);_(* \(#,##0.000000\);_(* &quot;-&quot;??_);_(@_)"/>
    <numFmt numFmtId="185" formatCode="0.000"/>
    <numFmt numFmtId="186" formatCode="_(* #,##0.00000000_);_(* \(#,##0.00000000\);_(* &quot;-&quot;??_);_(@_)"/>
    <numFmt numFmtId="187" formatCode="_(* #,##0.000_);_(* \(#,##0.000\);_(* &quot;-&quot;??_);_(@_)"/>
    <numFmt numFmtId="188" formatCode="_-* #,##0.00000\ _₽_-;\-* #,##0.00000\ _₽_-;_-* &quot;-&quot;?????\ _₽_-;_-@_-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56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/>
    <xf numFmtId="0" fontId="18" fillId="3" borderId="0" xfId="0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18" fillId="4" borderId="0" xfId="0" applyFont="1" applyFill="1"/>
    <xf numFmtId="0" fontId="18" fillId="3" borderId="0" xfId="0" applyFont="1" applyFill="1" applyAlignment="1"/>
    <xf numFmtId="4" fontId="18" fillId="3" borderId="0" xfId="0" applyNumberFormat="1" applyFont="1" applyFill="1"/>
    <xf numFmtId="4" fontId="19" fillId="0" borderId="0" xfId="0" applyNumberFormat="1" applyFont="1" applyFill="1"/>
    <xf numFmtId="177" fontId="19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19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19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20" fillId="0" borderId="1" xfId="0" applyNumberFormat="1" applyFont="1" applyBorder="1" applyAlignment="1">
      <alignment horizontal="center" vertical="center" wrapText="1"/>
    </xf>
    <xf numFmtId="166" fontId="21" fillId="3" borderId="1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 wrapText="1"/>
    </xf>
    <xf numFmtId="166" fontId="21" fillId="6" borderId="1" xfId="0" applyNumberFormat="1" applyFont="1" applyFill="1" applyBorder="1" applyAlignment="1">
      <alignment horizontal="center" vertical="center" wrapText="1"/>
    </xf>
    <xf numFmtId="167" fontId="21" fillId="3" borderId="1" xfId="0" applyNumberFormat="1" applyFont="1" applyFill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167" fontId="21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4" fillId="0" borderId="1" xfId="6" applyNumberFormat="1" applyFont="1" applyBorder="1" applyAlignment="1">
      <alignment horizontal="right"/>
    </xf>
    <xf numFmtId="0" fontId="25" fillId="0" borderId="1" xfId="11" applyFont="1" applyBorder="1" applyAlignment="1">
      <alignment horizontal="center"/>
    </xf>
    <xf numFmtId="0" fontId="25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7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74" fontId="3" fillId="0" borderId="1" xfId="11" applyNumberFormat="1" applyFont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176" fontId="5" fillId="0" borderId="1" xfId="9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7" fontId="3" fillId="0" borderId="1" xfId="9" applyNumberFormat="1" applyFont="1" applyBorder="1" applyAlignment="1">
      <alignment horizontal="right" vertical="center"/>
    </xf>
    <xf numFmtId="186" fontId="5" fillId="0" borderId="1" xfId="9" applyNumberFormat="1" applyFont="1" applyBorder="1" applyAlignment="1">
      <alignment horizontal="right" vertical="center"/>
    </xf>
    <xf numFmtId="175" fontId="3" fillId="0" borderId="1" xfId="1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5" fontId="5" fillId="0" borderId="1" xfId="11" applyNumberFormat="1" applyFont="1" applyFill="1" applyBorder="1" applyAlignment="1">
      <alignment horizontal="right" vertical="center"/>
    </xf>
    <xf numFmtId="187" fontId="3" fillId="0" borderId="1" xfId="11" applyNumberFormat="1" applyFont="1" applyBorder="1" applyAlignment="1">
      <alignment horizontal="right" vertical="center"/>
    </xf>
    <xf numFmtId="166" fontId="21" fillId="5" borderId="1" xfId="0" applyNumberFormat="1" applyFont="1" applyFill="1" applyBorder="1" applyAlignment="1">
      <alignment horizontal="center" vertical="center" wrapText="1"/>
    </xf>
    <xf numFmtId="166" fontId="26" fillId="0" borderId="1" xfId="6" applyNumberFormat="1" applyFont="1" applyBorder="1" applyAlignment="1">
      <alignment horizontal="right"/>
    </xf>
    <xf numFmtId="49" fontId="26" fillId="0" borderId="1" xfId="9" applyNumberFormat="1" applyFont="1" applyFill="1" applyBorder="1" applyAlignment="1" applyProtection="1">
      <alignment horizont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0" xfId="9" applyNumberFormat="1" applyFont="1"/>
    <xf numFmtId="188" fontId="3" fillId="0" borderId="0" xfId="9" applyNumberFormat="1" applyFont="1"/>
    <xf numFmtId="167" fontId="3" fillId="0" borderId="1" xfId="12" applyNumberFormat="1" applyFont="1" applyBorder="1" applyAlignment="1">
      <alignment horizontal="right" vertical="center"/>
    </xf>
    <xf numFmtId="2" fontId="5" fillId="0" borderId="1" xfId="9" applyNumberFormat="1" applyFont="1" applyBorder="1" applyAlignment="1">
      <alignment horizontal="right" vertical="center"/>
    </xf>
    <xf numFmtId="2" fontId="3" fillId="0" borderId="1" xfId="9" applyNumberFormat="1" applyFont="1" applyBorder="1" applyAlignment="1">
      <alignment horizontal="right" vertical="center"/>
    </xf>
    <xf numFmtId="2" fontId="5" fillId="0" borderId="1" xfId="9" applyNumberFormat="1" applyFont="1" applyBorder="1" applyAlignment="1">
      <alignment horizontal="right"/>
    </xf>
    <xf numFmtId="2" fontId="5" fillId="0" borderId="1" xfId="6" applyNumberFormat="1" applyFont="1" applyBorder="1" applyAlignment="1">
      <alignment horizontal="right" vertical="center"/>
    </xf>
    <xf numFmtId="2" fontId="5" fillId="2" borderId="1" xfId="5" applyNumberFormat="1" applyFont="1" applyFill="1" applyBorder="1" applyAlignment="1">
      <alignment horizontal="right" vertical="top" shrinkToFit="1"/>
    </xf>
    <xf numFmtId="2" fontId="3" fillId="0" borderId="1" xfId="12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2" fontId="3" fillId="5" borderId="1" xfId="11" applyNumberFormat="1" applyFont="1" applyFill="1" applyBorder="1" applyAlignment="1">
      <alignment horizontal="right" vertical="center"/>
    </xf>
    <xf numFmtId="2" fontId="5" fillId="5" borderId="1" xfId="2" applyNumberFormat="1" applyFont="1" applyFill="1" applyBorder="1" applyAlignment="1">
      <alignment horizontal="right" vertical="center" shrinkToFit="1"/>
    </xf>
    <xf numFmtId="2" fontId="5" fillId="2" borderId="1" xfId="2" applyNumberFormat="1" applyFont="1" applyFill="1" applyBorder="1" applyAlignment="1">
      <alignment horizontal="right" vertical="center" shrinkToFit="1"/>
    </xf>
    <xf numFmtId="2" fontId="5" fillId="2" borderId="1" xfId="3" applyNumberFormat="1" applyFont="1" applyFill="1" applyBorder="1" applyAlignment="1">
      <alignment horizontal="right" vertical="center" shrinkToFit="1"/>
    </xf>
    <xf numFmtId="2" fontId="5" fillId="2" borderId="1" xfId="4" applyNumberFormat="1" applyFont="1" applyFill="1" applyBorder="1" applyAlignment="1">
      <alignment horizontal="right" vertical="center" shrinkToFit="1"/>
    </xf>
    <xf numFmtId="2" fontId="3" fillId="5" borderId="1" xfId="12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3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83" fontId="3" fillId="0" borderId="8" xfId="11" applyNumberFormat="1" applyFont="1" applyBorder="1" applyAlignment="1">
      <alignment horizontal="right" vertical="center"/>
    </xf>
    <xf numFmtId="183" fontId="3" fillId="3" borderId="8" xfId="12" applyNumberFormat="1" applyFont="1" applyFill="1" applyBorder="1" applyAlignment="1">
      <alignment horizontal="right" vertical="center"/>
    </xf>
    <xf numFmtId="166" fontId="3" fillId="0" borderId="8" xfId="11" applyNumberFormat="1" applyFont="1" applyBorder="1" applyAlignment="1">
      <alignment horizontal="right" vertical="center"/>
    </xf>
    <xf numFmtId="0" fontId="3" fillId="0" borderId="6" xfId="9" applyFont="1" applyBorder="1"/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1" xfId="12" applyFont="1" applyFill="1" applyBorder="1" applyAlignment="1">
      <alignment horizontal="right" vertical="center"/>
    </xf>
    <xf numFmtId="165" fontId="5" fillId="0" borderId="0" xfId="12" applyFont="1"/>
    <xf numFmtId="0" fontId="5" fillId="0" borderId="0" xfId="0" applyFont="1"/>
    <xf numFmtId="168" fontId="3" fillId="3" borderId="1" xfId="12" applyNumberFormat="1" applyFont="1" applyFill="1" applyBorder="1" applyAlignment="1">
      <alignment horizontal="right" vertical="center"/>
    </xf>
    <xf numFmtId="0" fontId="29" fillId="3" borderId="3" xfId="0" applyFont="1" applyFill="1" applyBorder="1" applyAlignment="1">
      <alignment vertical="center" wrapText="1"/>
    </xf>
    <xf numFmtId="0" fontId="29" fillId="3" borderId="4" xfId="0" applyFont="1" applyFill="1" applyBorder="1" applyAlignment="1">
      <alignment vertical="center" wrapText="1"/>
    </xf>
    <xf numFmtId="0" fontId="29" fillId="3" borderId="5" xfId="0" applyFont="1" applyFill="1" applyBorder="1" applyAlignment="1">
      <alignment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8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49" fontId="29" fillId="3" borderId="9" xfId="0" applyNumberFormat="1" applyFont="1" applyFill="1" applyBorder="1" applyAlignment="1">
      <alignment horizontal="center" vertical="center" wrapText="1"/>
    </xf>
    <xf numFmtId="49" fontId="29" fillId="3" borderId="6" xfId="0" applyNumberFormat="1" applyFont="1" applyFill="1" applyBorder="1" applyAlignment="1">
      <alignment horizontal="center" vertical="center" wrapText="1"/>
    </xf>
    <xf numFmtId="49" fontId="29" fillId="3" borderId="4" xfId="0" applyNumberFormat="1" applyFont="1" applyFill="1" applyBorder="1" applyAlignment="1">
      <alignment horizontal="center" vertical="center" wrapText="1"/>
    </xf>
    <xf numFmtId="49" fontId="29" fillId="3" borderId="7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/>
    </xf>
    <xf numFmtId="0" fontId="29" fillId="3" borderId="1" xfId="0" applyFont="1" applyFill="1" applyBorder="1" applyAlignment="1">
      <alignment horizontal="center"/>
    </xf>
    <xf numFmtId="166" fontId="29" fillId="3" borderId="1" xfId="0" applyNumberFormat="1" applyFont="1" applyFill="1" applyBorder="1"/>
    <xf numFmtId="167" fontId="29" fillId="0" borderId="1" xfId="0" applyNumberFormat="1" applyFont="1" applyFill="1" applyBorder="1"/>
    <xf numFmtId="167" fontId="29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/>
    <xf numFmtId="167" fontId="29" fillId="3" borderId="1" xfId="0" applyNumberFormat="1" applyFont="1" applyFill="1" applyBorder="1" applyAlignment="1" applyProtection="1">
      <alignment vertical="center" wrapText="1"/>
    </xf>
    <xf numFmtId="167" fontId="29" fillId="5" borderId="1" xfId="0" applyNumberFormat="1" applyFont="1" applyFill="1" applyBorder="1" applyAlignment="1" applyProtection="1">
      <alignment vertical="center" wrapText="1"/>
    </xf>
    <xf numFmtId="166" fontId="29" fillId="3" borderId="1" xfId="0" applyNumberFormat="1" applyFont="1" applyFill="1" applyBorder="1" applyAlignment="1">
      <alignment vertical="center" wrapText="1"/>
    </xf>
    <xf numFmtId="167" fontId="29" fillId="3" borderId="1" xfId="0" applyNumberFormat="1" applyFont="1" applyFill="1" applyBorder="1" applyAlignment="1" applyProtection="1">
      <alignment vertical="center" wrapText="1"/>
      <protection locked="0"/>
    </xf>
    <xf numFmtId="166" fontId="29" fillId="5" borderId="1" xfId="0" applyNumberFormat="1" applyFont="1" applyFill="1" applyBorder="1" applyAlignment="1" applyProtection="1">
      <alignment vertical="center" wrapText="1"/>
      <protection locked="0"/>
    </xf>
    <xf numFmtId="167" fontId="29" fillId="0" borderId="1" xfId="0" applyNumberFormat="1" applyFont="1" applyFill="1" applyBorder="1" applyAlignment="1">
      <alignment vertical="center" wrapText="1"/>
    </xf>
    <xf numFmtId="166" fontId="29" fillId="3" borderId="1" xfId="0" applyNumberFormat="1" applyFont="1" applyFill="1" applyBorder="1" applyAlignment="1" applyProtection="1">
      <alignment vertical="center" wrapText="1"/>
      <protection locked="0"/>
    </xf>
    <xf numFmtId="167" fontId="29" fillId="5" borderId="1" xfId="0" applyNumberFormat="1" applyFont="1" applyFill="1" applyBorder="1" applyAlignment="1" applyProtection="1">
      <alignment vertical="center" wrapText="1"/>
      <protection locked="0"/>
    </xf>
    <xf numFmtId="167" fontId="29" fillId="5" borderId="1" xfId="0" applyNumberFormat="1" applyFont="1" applyFill="1" applyBorder="1" applyAlignment="1">
      <alignment vertical="center" wrapText="1"/>
    </xf>
    <xf numFmtId="172" fontId="29" fillId="3" borderId="1" xfId="0" applyNumberFormat="1" applyFont="1" applyFill="1" applyBorder="1" applyAlignment="1">
      <alignment vertical="center" wrapText="1"/>
    </xf>
    <xf numFmtId="167" fontId="29" fillId="3" borderId="1" xfId="0" applyNumberFormat="1" applyFont="1" applyFill="1" applyBorder="1" applyAlignment="1">
      <alignment horizontal="right" vertical="center" wrapText="1"/>
    </xf>
    <xf numFmtId="167" fontId="30" fillId="3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 applyProtection="1">
      <alignment vertical="center" wrapText="1"/>
      <protection locked="0"/>
    </xf>
    <xf numFmtId="166" fontId="29" fillId="0" borderId="1" xfId="0" applyNumberFormat="1" applyFont="1" applyFill="1" applyBorder="1" applyAlignment="1" applyProtection="1">
      <alignment vertical="center" wrapText="1"/>
      <protection locked="0"/>
    </xf>
    <xf numFmtId="173" fontId="29" fillId="5" borderId="1" xfId="0" applyNumberFormat="1" applyFont="1" applyFill="1" applyBorder="1" applyAlignment="1">
      <alignment vertical="center" wrapText="1"/>
    </xf>
    <xf numFmtId="172" fontId="29" fillId="0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horizontal="right" vertical="center" wrapText="1"/>
    </xf>
    <xf numFmtId="167" fontId="30" fillId="3" borderId="1" xfId="0" applyNumberFormat="1" applyFont="1" applyFill="1" applyBorder="1" applyAlignment="1">
      <alignment vertical="center" wrapText="1"/>
    </xf>
    <xf numFmtId="166" fontId="29" fillId="0" borderId="1" xfId="0" applyNumberFormat="1" applyFont="1" applyFill="1" applyBorder="1" applyAlignment="1">
      <alignment vertical="center" wrapText="1"/>
    </xf>
    <xf numFmtId="167" fontId="30" fillId="0" borderId="1" xfId="0" applyNumberFormat="1" applyFont="1" applyFill="1" applyBorder="1" applyAlignment="1" applyProtection="1">
      <alignment vertical="center" wrapText="1"/>
      <protection locked="0"/>
    </xf>
    <xf numFmtId="167" fontId="28" fillId="0" borderId="1" xfId="0" applyNumberFormat="1" applyFont="1" applyFill="1" applyBorder="1"/>
    <xf numFmtId="166" fontId="29" fillId="0" borderId="1" xfId="0" applyNumberFormat="1" applyFont="1" applyFill="1" applyBorder="1"/>
    <xf numFmtId="167" fontId="29" fillId="0" borderId="1" xfId="0" applyNumberFormat="1" applyFont="1" applyFill="1" applyBorder="1" applyAlignment="1" applyProtection="1">
      <alignment vertical="center" wrapText="1"/>
    </xf>
    <xf numFmtId="166" fontId="29" fillId="5" borderId="1" xfId="0" applyNumberFormat="1" applyFont="1" applyFill="1" applyBorder="1"/>
    <xf numFmtId="167" fontId="29" fillId="5" borderId="1" xfId="0" applyNumberFormat="1" applyFont="1" applyFill="1" applyBorder="1"/>
    <xf numFmtId="167" fontId="28" fillId="5" borderId="1" xfId="0" applyNumberFormat="1" applyFont="1" applyFill="1" applyBorder="1"/>
    <xf numFmtId="166" fontId="29" fillId="5" borderId="1" xfId="0" applyNumberFormat="1" applyFont="1" applyFill="1" applyBorder="1" applyAlignment="1">
      <alignment vertical="center" wrapText="1"/>
    </xf>
    <xf numFmtId="172" fontId="29" fillId="5" borderId="1" xfId="0" applyNumberFormat="1" applyFont="1" applyFill="1" applyBorder="1" applyAlignment="1">
      <alignment vertical="center" wrapText="1"/>
    </xf>
    <xf numFmtId="167" fontId="29" fillId="5" borderId="1" xfId="0" applyNumberFormat="1" applyFont="1" applyFill="1" applyBorder="1" applyAlignment="1">
      <alignment horizontal="right" vertical="center" wrapText="1"/>
    </xf>
    <xf numFmtId="167" fontId="30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9" fillId="3" borderId="1" xfId="0" applyNumberFormat="1" applyFont="1" applyFill="1" applyBorder="1"/>
    <xf numFmtId="167" fontId="28" fillId="0" borderId="1" xfId="0" applyNumberFormat="1" applyFont="1" applyFill="1" applyBorder="1" applyAlignment="1">
      <alignment vertical="center" wrapText="1"/>
    </xf>
    <xf numFmtId="180" fontId="29" fillId="3" borderId="1" xfId="0" applyNumberFormat="1" applyFont="1" applyFill="1" applyBorder="1" applyAlignment="1" applyProtection="1">
      <alignment vertical="center" wrapText="1"/>
      <protection locked="0"/>
    </xf>
    <xf numFmtId="180" fontId="29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2" fillId="3" borderId="1" xfId="0" applyNumberFormat="1" applyFont="1" applyFill="1" applyBorder="1" applyAlignment="1">
      <alignment vertical="center" wrapText="1"/>
    </xf>
    <xf numFmtId="167" fontId="33" fillId="0" borderId="1" xfId="0" applyNumberFormat="1" applyFont="1" applyFill="1" applyBorder="1" applyAlignment="1">
      <alignment vertical="center" wrapText="1"/>
    </xf>
    <xf numFmtId="167" fontId="33" fillId="3" borderId="1" xfId="0" applyNumberFormat="1" applyFont="1" applyFill="1" applyBorder="1" applyAlignment="1">
      <alignment vertical="center" wrapText="1"/>
    </xf>
    <xf numFmtId="167" fontId="34" fillId="0" borderId="1" xfId="0" applyNumberFormat="1" applyFont="1" applyFill="1" applyBorder="1" applyAlignment="1">
      <alignment vertical="center" wrapText="1"/>
    </xf>
    <xf numFmtId="167" fontId="32" fillId="3" borderId="1" xfId="0" applyNumberFormat="1" applyFont="1" applyFill="1" applyBorder="1" applyAlignment="1">
      <alignment horizontal="right" vertical="center" wrapText="1"/>
    </xf>
    <xf numFmtId="167" fontId="32" fillId="0" borderId="1" xfId="0" applyNumberFormat="1" applyFont="1" applyFill="1" applyBorder="1" applyAlignment="1">
      <alignment vertical="center" wrapText="1"/>
    </xf>
    <xf numFmtId="0" fontId="35" fillId="3" borderId="1" xfId="10" applyFont="1" applyFill="1" applyBorder="1" applyAlignment="1">
      <alignment vertical="center" wrapText="1"/>
    </xf>
    <xf numFmtId="0" fontId="36" fillId="3" borderId="1" xfId="10" applyFont="1" applyFill="1" applyBorder="1" applyAlignment="1" applyProtection="1">
      <alignment vertical="center" wrapText="1"/>
      <protection locked="0"/>
    </xf>
    <xf numFmtId="0" fontId="36" fillId="0" borderId="1" xfId="10" applyFont="1" applyFill="1" applyBorder="1" applyAlignment="1" applyProtection="1">
      <alignment vertical="center" wrapText="1"/>
      <protection locked="0"/>
    </xf>
    <xf numFmtId="0" fontId="35" fillId="5" borderId="1" xfId="10" applyFont="1" applyFill="1" applyBorder="1" applyAlignment="1">
      <alignment vertical="center" wrapText="1"/>
    </xf>
    <xf numFmtId="0" fontId="36" fillId="5" borderId="1" xfId="10" applyFont="1" applyFill="1" applyBorder="1" applyAlignment="1" applyProtection="1">
      <alignment vertical="center" wrapText="1"/>
      <protection locked="0"/>
    </xf>
    <xf numFmtId="0" fontId="35" fillId="0" borderId="1" xfId="10" applyFont="1" applyFill="1" applyBorder="1" applyAlignment="1">
      <alignment vertical="center" wrapText="1"/>
    </xf>
    <xf numFmtId="0" fontId="37" fillId="0" borderId="1" xfId="10" applyFont="1" applyFill="1" applyBorder="1" applyAlignment="1">
      <alignment vertical="center" wrapText="1"/>
    </xf>
    <xf numFmtId="0" fontId="35" fillId="3" borderId="3" xfId="10" applyFont="1" applyFill="1" applyBorder="1" applyAlignment="1">
      <alignment vertical="center" wrapText="1"/>
    </xf>
    <xf numFmtId="0" fontId="36" fillId="3" borderId="5" xfId="10" applyFont="1" applyFill="1" applyBorder="1" applyAlignment="1" applyProtection="1">
      <alignment vertical="center" wrapText="1"/>
      <protection locked="0"/>
    </xf>
    <xf numFmtId="0" fontId="39" fillId="3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39" fillId="3" borderId="0" xfId="0" applyFont="1" applyFill="1"/>
    <xf numFmtId="0" fontId="40" fillId="3" borderId="0" xfId="0" applyFont="1" applyFill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40" fillId="3" borderId="0" xfId="0" applyFont="1" applyFill="1"/>
    <xf numFmtId="0" fontId="20" fillId="0" borderId="1" xfId="11" applyFont="1" applyBorder="1" applyAlignment="1">
      <alignment horizontal="center" vertical="center" wrapText="1"/>
    </xf>
    <xf numFmtId="166" fontId="20" fillId="0" borderId="1" xfId="11" applyNumberFormat="1" applyFont="1" applyBorder="1" applyAlignment="1">
      <alignment horizontal="center" vertical="center" wrapText="1"/>
    </xf>
    <xf numFmtId="166" fontId="20" fillId="0" borderId="1" xfId="11" applyNumberFormat="1" applyFont="1" applyFill="1" applyBorder="1" applyAlignment="1">
      <alignment horizontal="center" vertical="center" wrapText="1"/>
    </xf>
    <xf numFmtId="166" fontId="20" fillId="0" borderId="1" xfId="11" applyNumberFormat="1" applyFont="1" applyBorder="1" applyAlignment="1">
      <alignment horizontal="center" vertical="center"/>
    </xf>
    <xf numFmtId="0" fontId="20" fillId="0" borderId="1" xfId="11" applyFont="1" applyBorder="1" applyAlignment="1">
      <alignment horizontal="center"/>
    </xf>
    <xf numFmtId="0" fontId="20" fillId="0" borderId="1" xfId="11" applyFont="1" applyBorder="1"/>
    <xf numFmtId="166" fontId="20" fillId="0" borderId="1" xfId="11" applyNumberFormat="1" applyFont="1" applyBorder="1" applyAlignment="1">
      <alignment horizontal="right" vertical="center"/>
    </xf>
    <xf numFmtId="0" fontId="21" fillId="0" borderId="1" xfId="11" applyFont="1" applyBorder="1" applyAlignment="1">
      <alignment horizontal="center"/>
    </xf>
    <xf numFmtId="0" fontId="21" fillId="0" borderId="1" xfId="11" applyFont="1" applyBorder="1" applyAlignment="1">
      <alignment wrapText="1"/>
    </xf>
    <xf numFmtId="166" fontId="21" fillId="0" borderId="1" xfId="11" applyNumberFormat="1" applyFont="1" applyBorder="1" applyAlignment="1">
      <alignment horizontal="right" vertical="center"/>
    </xf>
    <xf numFmtId="166" fontId="21" fillId="0" borderId="1" xfId="11" applyNumberFormat="1" applyFont="1" applyFill="1" applyBorder="1" applyAlignment="1">
      <alignment horizontal="right" vertical="center"/>
    </xf>
    <xf numFmtId="0" fontId="20" fillId="0" borderId="1" xfId="11" applyFont="1" applyBorder="1" applyAlignment="1">
      <alignment wrapText="1"/>
    </xf>
    <xf numFmtId="0" fontId="21" fillId="0" borderId="1" xfId="11" applyFont="1" applyBorder="1"/>
    <xf numFmtId="166" fontId="21" fillId="0" borderId="1" xfId="0" applyNumberFormat="1" applyFont="1" applyBorder="1" applyAlignment="1">
      <alignment horizontal="right" vertical="center"/>
    </xf>
    <xf numFmtId="0" fontId="21" fillId="0" borderId="1" xfId="11" applyFont="1" applyFill="1" applyBorder="1" applyAlignment="1">
      <alignment horizontal="center"/>
    </xf>
    <xf numFmtId="0" fontId="21" fillId="0" borderId="1" xfId="11" applyFont="1" applyFill="1" applyBorder="1"/>
    <xf numFmtId="166" fontId="21" fillId="3" borderId="1" xfId="0" applyNumberFormat="1" applyFont="1" applyFill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  <xf numFmtId="1" fontId="20" fillId="0" borderId="1" xfId="11" applyNumberFormat="1" applyFont="1" applyBorder="1" applyAlignment="1">
      <alignment horizontal="center"/>
    </xf>
    <xf numFmtId="166" fontId="20" fillId="0" borderId="1" xfId="11" applyNumberFormat="1" applyFont="1" applyBorder="1" applyAlignment="1">
      <alignment wrapText="1"/>
    </xf>
    <xf numFmtId="0" fontId="20" fillId="0" borderId="1" xfId="11" applyFont="1" applyBorder="1" applyAlignment="1">
      <alignment horizontal="center" vertical="top"/>
    </xf>
    <xf numFmtId="0" fontId="20" fillId="0" borderId="1" xfId="11" applyFont="1" applyBorder="1" applyAlignment="1">
      <alignment vertical="top" wrapText="1"/>
    </xf>
    <xf numFmtId="0" fontId="21" fillId="0" borderId="1" xfId="11" applyFont="1" applyFill="1" applyBorder="1" applyAlignment="1">
      <alignment wrapText="1"/>
    </xf>
    <xf numFmtId="166" fontId="21" fillId="3" borderId="1" xfId="12" applyNumberFormat="1" applyFont="1" applyFill="1" applyBorder="1" applyAlignment="1">
      <alignment horizontal="right" vertical="center"/>
    </xf>
    <xf numFmtId="166" fontId="21" fillId="3" borderId="1" xfId="11" applyNumberFormat="1" applyFont="1" applyFill="1" applyBorder="1" applyAlignment="1">
      <alignment horizontal="right" vertical="center"/>
    </xf>
    <xf numFmtId="166" fontId="21" fillId="5" borderId="1" xfId="11" applyNumberFormat="1" applyFont="1" applyFill="1" applyBorder="1" applyAlignment="1">
      <alignment horizontal="right" vertical="center"/>
    </xf>
    <xf numFmtId="0" fontId="21" fillId="0" borderId="1" xfId="11" applyFont="1" applyBorder="1" applyAlignment="1">
      <alignment horizontal="left" wrapText="1"/>
    </xf>
    <xf numFmtId="166" fontId="20" fillId="3" borderId="1" xfId="1" applyNumberFormat="1" applyFont="1" applyFill="1" applyBorder="1" applyAlignment="1">
      <alignment horizontal="right" vertical="center"/>
    </xf>
    <xf numFmtId="166" fontId="21" fillId="2" borderId="1" xfId="2" applyNumberFormat="1" applyFont="1" applyFill="1" applyBorder="1" applyAlignment="1">
      <alignment horizontal="right" vertical="center" shrinkToFit="1"/>
    </xf>
    <xf numFmtId="166" fontId="21" fillId="2" borderId="1" xfId="3" applyNumberFormat="1" applyFont="1" applyFill="1" applyBorder="1" applyAlignment="1">
      <alignment horizontal="right" vertical="center" shrinkToFit="1"/>
    </xf>
    <xf numFmtId="166" fontId="21" fillId="2" borderId="1" xfId="4" applyNumberFormat="1" applyFont="1" applyFill="1" applyBorder="1" applyAlignment="1">
      <alignment horizontal="right" vertical="center" shrinkToFit="1"/>
    </xf>
    <xf numFmtId="166" fontId="20" fillId="0" borderId="1" xfId="11" applyNumberFormat="1" applyFont="1" applyFill="1" applyBorder="1" applyAlignment="1">
      <alignment horizontal="right" vertical="center"/>
    </xf>
    <xf numFmtId="166" fontId="20" fillId="5" borderId="1" xfId="12" applyNumberFormat="1" applyFont="1" applyFill="1" applyBorder="1" applyAlignment="1">
      <alignment horizontal="right" vertical="center"/>
    </xf>
    <xf numFmtId="0" fontId="20" fillId="0" borderId="1" xfId="11" applyFont="1" applyFill="1" applyBorder="1"/>
    <xf numFmtId="166" fontId="20" fillId="5" borderId="1" xfId="11" applyNumberFormat="1" applyFont="1" applyFill="1" applyBorder="1" applyAlignment="1">
      <alignment horizontal="right" vertical="center"/>
    </xf>
    <xf numFmtId="166" fontId="20" fillId="0" borderId="1" xfId="9" applyNumberFormat="1" applyFont="1" applyBorder="1" applyAlignment="1">
      <alignment horizontal="right" vertical="center"/>
    </xf>
    <xf numFmtId="0" fontId="20" fillId="0" borderId="2" xfId="11" applyFont="1" applyBorder="1" applyAlignment="1">
      <alignment horizontal="center"/>
    </xf>
    <xf numFmtId="0" fontId="20" fillId="0" borderId="2" xfId="11" applyFont="1" applyFill="1" applyBorder="1"/>
    <xf numFmtId="166" fontId="20" fillId="0" borderId="2" xfId="11" applyNumberFormat="1" applyFont="1" applyBorder="1" applyAlignment="1">
      <alignment horizontal="right" vertical="center"/>
    </xf>
    <xf numFmtId="166" fontId="21" fillId="0" borderId="0" xfId="9" applyNumberFormat="1" applyFont="1" applyAlignment="1">
      <alignment horizontal="right" vertical="center"/>
    </xf>
    <xf numFmtId="0" fontId="20" fillId="0" borderId="1" xfId="9" applyFont="1" applyBorder="1" applyAlignment="1">
      <alignment horizontal="center" vertical="center" wrapText="1"/>
    </xf>
    <xf numFmtId="0" fontId="21" fillId="0" borderId="1" xfId="9" applyFont="1" applyBorder="1" applyAlignment="1">
      <alignment horizontal="center" vertical="center"/>
    </xf>
    <xf numFmtId="1" fontId="20" fillId="0" borderId="1" xfId="9" applyNumberFormat="1" applyFont="1" applyBorder="1" applyAlignment="1">
      <alignment horizontal="center" vertical="center" wrapText="1"/>
    </xf>
    <xf numFmtId="166" fontId="20" fillId="0" borderId="1" xfId="9" applyNumberFormat="1" applyFont="1" applyBorder="1" applyAlignment="1">
      <alignment horizontal="center" vertical="center" wrapText="1"/>
    </xf>
    <xf numFmtId="49" fontId="20" fillId="0" borderId="1" xfId="9" applyNumberFormat="1" applyFont="1" applyBorder="1" applyAlignment="1">
      <alignment horizontal="center"/>
    </xf>
    <xf numFmtId="0" fontId="20" fillId="3" borderId="1" xfId="9" applyFont="1" applyFill="1" applyBorder="1" applyAlignment="1">
      <alignment wrapText="1"/>
    </xf>
    <xf numFmtId="166" fontId="20" fillId="0" borderId="1" xfId="6" applyNumberFormat="1" applyFont="1" applyBorder="1" applyAlignment="1">
      <alignment horizontal="right"/>
    </xf>
    <xf numFmtId="49" fontId="21" fillId="0" borderId="1" xfId="9" applyNumberFormat="1" applyFont="1" applyBorder="1" applyAlignment="1">
      <alignment horizontal="center"/>
    </xf>
    <xf numFmtId="0" fontId="21" fillId="3" borderId="1" xfId="9" applyFont="1" applyFill="1" applyBorder="1" applyAlignment="1">
      <alignment wrapText="1"/>
    </xf>
    <xf numFmtId="166" fontId="21" fillId="0" borderId="1" xfId="9" applyNumberFormat="1" applyFont="1" applyBorder="1" applyAlignment="1">
      <alignment horizontal="right" vertical="center"/>
    </xf>
    <xf numFmtId="0" fontId="21" fillId="0" borderId="1" xfId="9" applyFont="1" applyBorder="1" applyAlignment="1">
      <alignment wrapText="1"/>
    </xf>
    <xf numFmtId="166" fontId="21" fillId="0" borderId="1" xfId="6" applyNumberFormat="1" applyFont="1" applyBorder="1" applyAlignment="1">
      <alignment horizontal="right"/>
    </xf>
    <xf numFmtId="166" fontId="21" fillId="0" borderId="1" xfId="9" applyNumberFormat="1" applyFont="1" applyBorder="1" applyAlignment="1">
      <alignment horizontal="right"/>
    </xf>
    <xf numFmtId="49" fontId="20" fillId="0" borderId="3" xfId="8" applyNumberFormat="1" applyFont="1" applyBorder="1" applyAlignment="1">
      <alignment horizontal="center"/>
    </xf>
    <xf numFmtId="0" fontId="20" fillId="3" borderId="1" xfId="8" applyFont="1" applyFill="1" applyBorder="1" applyAlignment="1">
      <alignment wrapText="1"/>
    </xf>
    <xf numFmtId="49" fontId="21" fillId="0" borderId="1" xfId="8" applyNumberFormat="1" applyFont="1" applyBorder="1" applyAlignment="1">
      <alignment horizontal="center"/>
    </xf>
    <xf numFmtId="0" fontId="21" fillId="0" borderId="1" xfId="8" applyFont="1" applyBorder="1" applyAlignment="1">
      <alignment wrapText="1"/>
    </xf>
    <xf numFmtId="49" fontId="21" fillId="0" borderId="3" xfId="9" applyNumberFormat="1" applyFont="1" applyBorder="1" applyAlignment="1">
      <alignment horizontal="center"/>
    </xf>
    <xf numFmtId="49" fontId="21" fillId="0" borderId="3" xfId="7" applyNumberFormat="1" applyFont="1" applyBorder="1" applyAlignment="1">
      <alignment horizontal="center"/>
    </xf>
    <xf numFmtId="0" fontId="41" fillId="0" borderId="1" xfId="7" applyFont="1" applyBorder="1" applyAlignment="1">
      <alignment wrapText="1"/>
    </xf>
    <xf numFmtId="166" fontId="21" fillId="0" borderId="1" xfId="9" applyNumberFormat="1" applyFont="1" applyBorder="1" applyAlignment="1">
      <alignment horizontal="right" vertical="center" wrapText="1"/>
    </xf>
    <xf numFmtId="166" fontId="20" fillId="0" borderId="1" xfId="6" applyNumberFormat="1" applyFont="1" applyBorder="1" applyAlignment="1">
      <alignment horizontal="right" vertical="center"/>
    </xf>
    <xf numFmtId="166" fontId="21" fillId="0" borderId="1" xfId="6" applyNumberFormat="1" applyFont="1" applyBorder="1" applyAlignment="1">
      <alignment horizontal="right" vertical="center"/>
    </xf>
    <xf numFmtId="0" fontId="21" fillId="0" borderId="1" xfId="9" applyFont="1" applyBorder="1" applyAlignment="1">
      <alignment horizontal="left" wrapText="1"/>
    </xf>
    <xf numFmtId="0" fontId="20" fillId="3" borderId="1" xfId="9" applyFont="1" applyFill="1" applyBorder="1" applyAlignment="1">
      <alignment horizontal="left" wrapText="1"/>
    </xf>
    <xf numFmtId="0" fontId="20" fillId="0" borderId="1" xfId="9" applyFont="1" applyBorder="1" applyAlignment="1">
      <alignment horizontal="center"/>
    </xf>
    <xf numFmtId="166" fontId="20" fillId="5" borderId="1" xfId="9" applyNumberFormat="1" applyFont="1" applyFill="1" applyBorder="1" applyAlignment="1">
      <alignment horizontal="right" vertical="center"/>
    </xf>
    <xf numFmtId="0" fontId="21" fillId="0" borderId="1" xfId="9" applyFont="1" applyBorder="1" applyAlignment="1">
      <alignment horizontal="center"/>
    </xf>
    <xf numFmtId="0" fontId="21" fillId="0" borderId="1" xfId="9" applyFont="1" applyFill="1" applyBorder="1" applyAlignment="1">
      <alignment wrapText="1"/>
    </xf>
    <xf numFmtId="166" fontId="21" fillId="2" borderId="1" xfId="5" applyNumberFormat="1" applyFont="1" applyFill="1" applyBorder="1" applyAlignment="1">
      <alignment horizontal="right" vertical="top" shrinkToFit="1"/>
    </xf>
    <xf numFmtId="166" fontId="20" fillId="0" borderId="1" xfId="12" applyNumberFormat="1" applyFont="1" applyBorder="1" applyAlignment="1">
      <alignment horizontal="right" vertical="center"/>
    </xf>
    <xf numFmtId="166" fontId="20" fillId="0" borderId="1" xfId="9" applyNumberFormat="1" applyFont="1" applyBorder="1" applyAlignment="1">
      <alignment horizontal="right"/>
    </xf>
    <xf numFmtId="0" fontId="20" fillId="0" borderId="1" xfId="9" applyFont="1" applyFill="1" applyBorder="1" applyAlignment="1">
      <alignment wrapText="1"/>
    </xf>
    <xf numFmtId="0" fontId="20" fillId="0" borderId="1" xfId="9" applyFont="1" applyFill="1" applyBorder="1" applyAlignment="1">
      <alignment horizontal="center" wrapText="1"/>
    </xf>
    <xf numFmtId="0" fontId="21" fillId="0" borderId="0" xfId="9" applyFont="1" applyAlignment="1">
      <alignment horizontal="left"/>
    </xf>
    <xf numFmtId="0" fontId="21" fillId="0" borderId="0" xfId="9" applyFont="1" applyAlignment="1">
      <alignment wrapText="1"/>
    </xf>
    <xf numFmtId="166" fontId="20" fillId="0" borderId="0" xfId="9" applyNumberFormat="1" applyFont="1" applyAlignment="1">
      <alignment horizontal="right"/>
    </xf>
    <xf numFmtId="166" fontId="20" fillId="0" borderId="0" xfId="9" applyNumberFormat="1" applyFont="1" applyAlignment="1">
      <alignment horizontal="right" vertical="center"/>
    </xf>
    <xf numFmtId="166" fontId="21" fillId="0" borderId="0" xfId="9" applyNumberFormat="1" applyFont="1" applyAlignment="1">
      <alignment horizontal="center"/>
    </xf>
    <xf numFmtId="0" fontId="21" fillId="0" borderId="0" xfId="8" applyFont="1" applyAlignment="1">
      <alignment horizontal="left"/>
    </xf>
    <xf numFmtId="166" fontId="21" fillId="0" borderId="0" xfId="8" applyNumberFormat="1" applyFont="1"/>
    <xf numFmtId="0" fontId="21" fillId="0" borderId="0" xfId="8" applyFont="1"/>
    <xf numFmtId="0" fontId="21" fillId="0" borderId="0" xfId="8" applyFont="1" applyAlignment="1"/>
    <xf numFmtId="0" fontId="20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29" fillId="3" borderId="9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32" fillId="3" borderId="0" xfId="0" applyFont="1" applyFill="1" applyAlignment="1" applyProtection="1">
      <alignment horizontal="center" vertical="center" wrapText="1"/>
      <protection locked="0"/>
    </xf>
    <xf numFmtId="0" fontId="40" fillId="3" borderId="6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left" vertical="center" wrapText="1"/>
    </xf>
    <xf numFmtId="4" fontId="38" fillId="3" borderId="3" xfId="10" applyNumberFormat="1" applyFont="1" applyFill="1" applyBorder="1" applyAlignment="1">
      <alignment horizontal="center" vertical="center" wrapText="1"/>
    </xf>
    <xf numFmtId="4" fontId="38" fillId="3" borderId="5" xfId="10" applyNumberFormat="1" applyFont="1" applyFill="1" applyBorder="1" applyAlignment="1">
      <alignment horizontal="center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49" fontId="29" fillId="3" borderId="4" xfId="0" applyNumberFormat="1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center" vertical="center" wrapText="1"/>
    </xf>
    <xf numFmtId="49" fontId="29" fillId="3" borderId="9" xfId="0" applyNumberFormat="1" applyFont="1" applyFill="1" applyBorder="1" applyAlignment="1">
      <alignment horizontal="center" vertical="center" wrapText="1"/>
    </xf>
    <xf numFmtId="49" fontId="29" fillId="3" borderId="6" xfId="0" applyNumberFormat="1" applyFont="1" applyFill="1" applyBorder="1" applyAlignment="1">
      <alignment horizontal="center" vertical="center" wrapText="1"/>
    </xf>
    <xf numFmtId="49" fontId="29" fillId="3" borderId="7" xfId="0" applyNumberFormat="1" applyFont="1" applyFill="1" applyBorder="1" applyAlignment="1">
      <alignment horizontal="center" vertical="center" wrapText="1"/>
    </xf>
    <xf numFmtId="49" fontId="29" fillId="3" borderId="10" xfId="0" applyNumberFormat="1" applyFont="1" applyFill="1" applyBorder="1" applyAlignment="1">
      <alignment horizontal="center" vertical="center" wrapText="1"/>
    </xf>
    <xf numFmtId="49" fontId="29" fillId="3" borderId="11" xfId="0" applyNumberFormat="1" applyFont="1" applyFill="1" applyBorder="1" applyAlignment="1">
      <alignment horizontal="center" vertical="center" wrapText="1"/>
    </xf>
    <xf numFmtId="49" fontId="29" fillId="3" borderId="12" xfId="0" applyNumberFormat="1" applyFont="1" applyFill="1" applyBorder="1" applyAlignment="1">
      <alignment horizontal="center" vertical="center" wrapText="1"/>
    </xf>
    <xf numFmtId="49" fontId="29" fillId="3" borderId="13" xfId="0" applyNumberFormat="1" applyFont="1" applyFill="1" applyBorder="1" applyAlignment="1">
      <alignment horizontal="center" vertical="center" wrapText="1"/>
    </xf>
    <xf numFmtId="49" fontId="29" fillId="3" borderId="0" xfId="0" applyNumberFormat="1" applyFont="1" applyFill="1" applyBorder="1" applyAlignment="1">
      <alignment horizontal="center" vertical="center" wrapText="1"/>
    </xf>
    <xf numFmtId="49" fontId="29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4" Type="http://schemas.openxmlformats.org/officeDocument/2006/relationships/printerSettings" Target="../printerSettings/printerSettings19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SheetLayoutView="80" workbookViewId="0">
      <selection activeCell="E24" sqref="E24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2.8554687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514" t="s">
        <v>443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123"/>
      <c r="M1" s="123"/>
      <c r="N1" s="123"/>
      <c r="O1" s="123"/>
    </row>
    <row r="2" spans="1:15" ht="33.75" customHeight="1">
      <c r="A2" s="512" t="s">
        <v>180</v>
      </c>
      <c r="B2" s="513" t="s">
        <v>181</v>
      </c>
      <c r="C2" s="509" t="s">
        <v>182</v>
      </c>
      <c r="D2" s="510"/>
      <c r="E2" s="510"/>
      <c r="F2" s="509" t="s">
        <v>183</v>
      </c>
      <c r="G2" s="510"/>
      <c r="H2" s="510"/>
      <c r="I2" s="509" t="s">
        <v>184</v>
      </c>
      <c r="J2" s="510"/>
      <c r="K2" s="515"/>
    </row>
    <row r="3" spans="1:15" ht="53.25" customHeight="1">
      <c r="A3" s="512"/>
      <c r="B3" s="513"/>
      <c r="C3" s="78" t="s">
        <v>410</v>
      </c>
      <c r="D3" s="78" t="s">
        <v>424</v>
      </c>
      <c r="E3" s="138" t="s">
        <v>331</v>
      </c>
      <c r="F3" s="78" t="s">
        <v>410</v>
      </c>
      <c r="G3" s="78" t="s">
        <v>424</v>
      </c>
      <c r="H3" s="138" t="s">
        <v>331</v>
      </c>
      <c r="I3" s="78" t="s">
        <v>410</v>
      </c>
      <c r="J3" s="78" t="s">
        <v>424</v>
      </c>
      <c r="K3" s="78" t="s">
        <v>331</v>
      </c>
    </row>
    <row r="4" spans="1:15" s="80" customFormat="1" ht="30.75" customHeight="1">
      <c r="A4" s="79" t="s">
        <v>4</v>
      </c>
      <c r="B4" s="76"/>
      <c r="C4" s="214">
        <f>SUM(C5:C13)</f>
        <v>177888.33429</v>
      </c>
      <c r="D4" s="214">
        <f>SUM(D5:D13)</f>
        <v>74778.412720000008</v>
      </c>
      <c r="E4" s="214">
        <f>D4/C4*100</f>
        <v>42.036715346433866</v>
      </c>
      <c r="F4" s="214">
        <f>SUM(F5:F13)</f>
        <v>141450.342</v>
      </c>
      <c r="G4" s="214">
        <f>SUM(G5:G13)</f>
        <v>63579.889589999999</v>
      </c>
      <c r="H4" s="214">
        <f>G4/F4*100</f>
        <v>44.948558406454751</v>
      </c>
      <c r="I4" s="214">
        <f>I5+I7+I6+I8+I10+I11+I12+I13</f>
        <v>36437.992289999995</v>
      </c>
      <c r="J4" s="214">
        <f>J5+J6+J7+J8+J10+J11+J12+J13</f>
        <v>11198.52313</v>
      </c>
      <c r="K4" s="214">
        <f>J4/I4*100</f>
        <v>30.733095942482297</v>
      </c>
    </row>
    <row r="5" spans="1:15" ht="27" customHeight="1">
      <c r="A5" s="81" t="s">
        <v>185</v>
      </c>
      <c r="B5" s="77">
        <v>10102</v>
      </c>
      <c r="C5" s="215">
        <f t="shared" ref="C5:D8" si="0">F5+I5</f>
        <v>124004</v>
      </c>
      <c r="D5" s="215">
        <f t="shared" si="0"/>
        <v>55357.180690000001</v>
      </c>
      <c r="E5" s="216">
        <f t="shared" ref="E5:E12" si="1">D5/C5*100</f>
        <v>44.641447606528821</v>
      </c>
      <c r="F5" s="215">
        <f>район!C5</f>
        <v>118707.3</v>
      </c>
      <c r="G5" s="215">
        <f>район!D5</f>
        <v>52799.260860000002</v>
      </c>
      <c r="H5" s="216">
        <f t="shared" ref="H5:H41" si="2">G5/F5*100</f>
        <v>44.478529003692273</v>
      </c>
      <c r="I5" s="215">
        <f>Справка!I31</f>
        <v>5296.6999999999989</v>
      </c>
      <c r="J5" s="215">
        <f>Справка!J31</f>
        <v>2557.9198299999994</v>
      </c>
      <c r="K5" s="216">
        <f t="shared" ref="K5:K12" si="3">J5/I5*100</f>
        <v>48.292707346083411</v>
      </c>
    </row>
    <row r="6" spans="1:15" ht="41.25" customHeight="1">
      <c r="A6" s="81" t="s">
        <v>283</v>
      </c>
      <c r="B6" s="77">
        <v>10300</v>
      </c>
      <c r="C6" s="215">
        <f t="shared" si="0"/>
        <v>13505.805</v>
      </c>
      <c r="D6" s="215">
        <f t="shared" si="0"/>
        <v>7208.1080000000002</v>
      </c>
      <c r="E6" s="216">
        <f t="shared" si="1"/>
        <v>53.370443301972749</v>
      </c>
      <c r="F6" s="215">
        <f>район!C7</f>
        <v>5331.89</v>
      </c>
      <c r="G6" s="215">
        <f>район!D7</f>
        <v>2519.31475</v>
      </c>
      <c r="H6" s="216">
        <f t="shared" si="2"/>
        <v>47.249938577127431</v>
      </c>
      <c r="I6" s="215">
        <f>Справка!L31+Справка!R31+Справка!O31</f>
        <v>8173.915</v>
      </c>
      <c r="J6" s="215">
        <f>Справка!M31+Справка!S31+Справка!P31+Справка!V31</f>
        <v>4688.7932500000006</v>
      </c>
      <c r="K6" s="216">
        <f t="shared" si="3"/>
        <v>57.362882413139857</v>
      </c>
    </row>
    <row r="7" spans="1:15" ht="19.5" customHeight="1">
      <c r="A7" s="81" t="s">
        <v>186</v>
      </c>
      <c r="B7" s="77">
        <v>10500</v>
      </c>
      <c r="C7" s="215">
        <f t="shared" si="0"/>
        <v>12131.152</v>
      </c>
      <c r="D7" s="215">
        <f t="shared" si="0"/>
        <v>6736.36571</v>
      </c>
      <c r="E7" s="216">
        <f t="shared" si="1"/>
        <v>55.529480712136817</v>
      </c>
      <c r="F7" s="215">
        <f>район!C12</f>
        <v>11661.152</v>
      </c>
      <c r="G7" s="215">
        <f>район!D12</f>
        <v>6209.7508500000004</v>
      </c>
      <c r="H7" s="216">
        <f t="shared" si="2"/>
        <v>53.251607131096492</v>
      </c>
      <c r="I7" s="215">
        <f>Справка!X31</f>
        <v>470</v>
      </c>
      <c r="J7" s="215">
        <f>Справка!Y31</f>
        <v>526.61486000000002</v>
      </c>
      <c r="K7" s="216">
        <f t="shared" si="3"/>
        <v>112.04571489361703</v>
      </c>
    </row>
    <row r="8" spans="1:15" ht="19.5" customHeight="1">
      <c r="A8" s="81" t="s">
        <v>187</v>
      </c>
      <c r="B8" s="77">
        <v>10601</v>
      </c>
      <c r="C8" s="215">
        <f t="shared" si="0"/>
        <v>4631</v>
      </c>
      <c r="D8" s="215">
        <f t="shared" si="0"/>
        <v>696.52227000000005</v>
      </c>
      <c r="E8" s="216">
        <f t="shared" si="1"/>
        <v>15.040429064996763</v>
      </c>
      <c r="F8" s="215"/>
      <c r="G8" s="215"/>
      <c r="H8" s="216"/>
      <c r="I8" s="215">
        <f>Справка!AA31</f>
        <v>4631</v>
      </c>
      <c r="J8" s="215">
        <f>Справка!AB31</f>
        <v>696.52227000000005</v>
      </c>
      <c r="K8" s="216">
        <f t="shared" si="3"/>
        <v>15.040429064996763</v>
      </c>
    </row>
    <row r="9" spans="1:15" ht="19.5" customHeight="1">
      <c r="A9" s="81" t="s">
        <v>284</v>
      </c>
      <c r="B9" s="77">
        <v>10604</v>
      </c>
      <c r="C9" s="215">
        <f>F9</f>
        <v>2050</v>
      </c>
      <c r="D9" s="215">
        <f>G9</f>
        <v>330.47744</v>
      </c>
      <c r="E9" s="216">
        <f t="shared" si="1"/>
        <v>16.120850731707318</v>
      </c>
      <c r="F9" s="215">
        <f>район!C16</f>
        <v>2050</v>
      </c>
      <c r="G9" s="215">
        <f>район!D19</f>
        <v>330.47744</v>
      </c>
      <c r="H9" s="216">
        <f t="shared" si="2"/>
        <v>16.120850731707318</v>
      </c>
      <c r="I9" s="215"/>
      <c r="J9" s="215"/>
      <c r="K9" s="216"/>
    </row>
    <row r="10" spans="1:15" ht="19.5" customHeight="1">
      <c r="A10" s="81" t="s">
        <v>188</v>
      </c>
      <c r="B10" s="77">
        <v>10606</v>
      </c>
      <c r="C10" s="215">
        <f t="shared" ref="C10:D13" si="4">F10+I10</f>
        <v>17719.37729</v>
      </c>
      <c r="D10" s="215">
        <f t="shared" si="4"/>
        <v>2672.3929200000002</v>
      </c>
      <c r="E10" s="216">
        <f t="shared" si="1"/>
        <v>15.081754151192298</v>
      </c>
      <c r="F10" s="215"/>
      <c r="G10" s="215"/>
      <c r="H10" s="216">
        <v>0</v>
      </c>
      <c r="I10" s="215">
        <f>Справка!AD31</f>
        <v>17719.37729</v>
      </c>
      <c r="J10" s="215">
        <f>Справка!AE31</f>
        <v>2672.3929200000002</v>
      </c>
      <c r="K10" s="216">
        <f t="shared" si="3"/>
        <v>15.081754151192298</v>
      </c>
    </row>
    <row r="11" spans="1:15" ht="33.75" customHeight="1">
      <c r="A11" s="81" t="s">
        <v>189</v>
      </c>
      <c r="B11" s="77">
        <v>10701</v>
      </c>
      <c r="C11" s="215">
        <f t="shared" si="4"/>
        <v>1000</v>
      </c>
      <c r="D11" s="215">
        <f t="shared" si="4"/>
        <v>552.67409999999995</v>
      </c>
      <c r="E11" s="216">
        <f t="shared" si="1"/>
        <v>55.267409999999998</v>
      </c>
      <c r="F11" s="215">
        <f>район!C21</f>
        <v>1000</v>
      </c>
      <c r="G11" s="215">
        <f>район!D21</f>
        <v>552.67409999999995</v>
      </c>
      <c r="H11" s="216">
        <f t="shared" si="2"/>
        <v>55.267409999999998</v>
      </c>
      <c r="I11" s="215"/>
      <c r="J11" s="215"/>
      <c r="K11" s="216">
        <v>0</v>
      </c>
    </row>
    <row r="12" spans="1:15" ht="19.5" customHeight="1">
      <c r="A12" s="81" t="s">
        <v>190</v>
      </c>
      <c r="B12" s="77">
        <v>10800</v>
      </c>
      <c r="C12" s="215">
        <f t="shared" si="4"/>
        <v>2847</v>
      </c>
      <c r="D12" s="215">
        <f t="shared" si="4"/>
        <v>1224.6915899999999</v>
      </c>
      <c r="E12" s="216">
        <f t="shared" si="1"/>
        <v>43.01691570073762</v>
      </c>
      <c r="F12" s="215">
        <f>район!C23</f>
        <v>2700</v>
      </c>
      <c r="G12" s="215">
        <f>район!D23</f>
        <v>1168.4115899999999</v>
      </c>
      <c r="H12" s="216">
        <f t="shared" si="2"/>
        <v>43.274503333333328</v>
      </c>
      <c r="I12" s="215">
        <f>Справка!AG31</f>
        <v>147</v>
      </c>
      <c r="J12" s="215">
        <f>Справка!AH31</f>
        <v>56.28</v>
      </c>
      <c r="K12" s="216">
        <f t="shared" si="3"/>
        <v>38.285714285714285</v>
      </c>
    </row>
    <row r="13" spans="1:15" ht="19.5" customHeight="1">
      <c r="A13" s="81" t="s">
        <v>191</v>
      </c>
      <c r="B13" s="77">
        <v>10900</v>
      </c>
      <c r="C13" s="215">
        <f t="shared" si="4"/>
        <v>0</v>
      </c>
      <c r="D13" s="215">
        <f t="shared" si="4"/>
        <v>0</v>
      </c>
      <c r="E13" s="216"/>
      <c r="F13" s="215">
        <f>район!C27</f>
        <v>0</v>
      </c>
      <c r="G13" s="215">
        <f>район!D27</f>
        <v>0</v>
      </c>
      <c r="H13" s="216"/>
      <c r="I13" s="215">
        <f>Справка!AJ31</f>
        <v>0</v>
      </c>
      <c r="J13" s="215">
        <f>Справка!AK31</f>
        <v>0</v>
      </c>
      <c r="K13" s="216"/>
    </row>
    <row r="14" spans="1:15" s="80" customFormat="1" ht="27" customHeight="1">
      <c r="A14" s="79" t="s">
        <v>12</v>
      </c>
      <c r="B14" s="76"/>
      <c r="C14" s="214">
        <f>SUM(C15:C21)</f>
        <v>30844.87628</v>
      </c>
      <c r="D14" s="214">
        <f>SUM(D15:D21)</f>
        <v>10192.66143</v>
      </c>
      <c r="E14" s="214">
        <f t="shared" ref="E14:E39" si="5">D14/C14*100</f>
        <v>33.044909428309111</v>
      </c>
      <c r="F14" s="214">
        <f>F15+F16+F17+F18+F20+F21+F19</f>
        <v>28011.599999999999</v>
      </c>
      <c r="G14" s="214">
        <f>G15+G16+G17+G18+G20+G21+G19</f>
        <v>8368.8345899999986</v>
      </c>
      <c r="H14" s="214">
        <f t="shared" si="2"/>
        <v>29.87631763269502</v>
      </c>
      <c r="I14" s="217">
        <f>I15+I16+I17+I18+I20+I21+I26</f>
        <v>2833.2762800000005</v>
      </c>
      <c r="J14" s="217">
        <f>J15+J16+J17+J18+J20+J21+J26</f>
        <v>1823.8268399999999</v>
      </c>
      <c r="K14" s="214">
        <f>J14/I14*100</f>
        <v>64.371655276766717</v>
      </c>
    </row>
    <row r="15" spans="1:15" ht="52.5" customHeight="1">
      <c r="A15" s="81" t="s">
        <v>192</v>
      </c>
      <c r="B15" s="77">
        <v>11100</v>
      </c>
      <c r="C15" s="215">
        <f t="shared" ref="C15:D22" si="6">F15+I15</f>
        <v>13366.7</v>
      </c>
      <c r="D15" s="215">
        <f t="shared" si="6"/>
        <v>6136.8569599999992</v>
      </c>
      <c r="E15" s="215">
        <f t="shared" si="5"/>
        <v>45.911533587198029</v>
      </c>
      <c r="F15" s="215">
        <f>район!C33</f>
        <v>11511.6</v>
      </c>
      <c r="G15" s="215">
        <f>район!D33</f>
        <v>4987.3727499999995</v>
      </c>
      <c r="H15" s="215">
        <f t="shared" si="2"/>
        <v>43.324757201431595</v>
      </c>
      <c r="I15" s="215">
        <f>Справка!AP31+Справка!AS31+Справка!AM31</f>
        <v>1855.1000000000001</v>
      </c>
      <c r="J15" s="215">
        <f>Справка!AQ31+Справка!AT31+Справка!AN31</f>
        <v>1149.4842100000001</v>
      </c>
      <c r="K15" s="216">
        <f>J15/I15*100</f>
        <v>61.963463425152284</v>
      </c>
    </row>
    <row r="16" spans="1:15" ht="33" customHeight="1">
      <c r="A16" s="81" t="s">
        <v>193</v>
      </c>
      <c r="B16" s="77">
        <v>11200</v>
      </c>
      <c r="C16" s="215">
        <f t="shared" si="6"/>
        <v>600</v>
      </c>
      <c r="D16" s="215">
        <f t="shared" si="6"/>
        <v>351.37747999999999</v>
      </c>
      <c r="E16" s="215">
        <f t="shared" si="5"/>
        <v>58.562913333333334</v>
      </c>
      <c r="F16" s="215">
        <f>район!C42</f>
        <v>600</v>
      </c>
      <c r="G16" s="215">
        <f>район!D42</f>
        <v>351.37747999999999</v>
      </c>
      <c r="H16" s="215">
        <f t="shared" si="2"/>
        <v>58.562913333333334</v>
      </c>
      <c r="I16" s="215">
        <v>0</v>
      </c>
      <c r="J16" s="215">
        <v>0</v>
      </c>
      <c r="K16" s="216">
        <v>0</v>
      </c>
    </row>
    <row r="17" spans="1:13" ht="33" customHeight="1">
      <c r="A17" s="81" t="s">
        <v>194</v>
      </c>
      <c r="B17" s="77">
        <v>11300</v>
      </c>
      <c r="C17" s="215">
        <f t="shared" si="6"/>
        <v>530</v>
      </c>
      <c r="D17" s="215">
        <f t="shared" si="6"/>
        <v>600.38387999999998</v>
      </c>
      <c r="E17" s="215">
        <f>D17/C17*100</f>
        <v>113.27997735849056</v>
      </c>
      <c r="F17" s="215">
        <f>район!C44</f>
        <v>0</v>
      </c>
      <c r="G17" s="215">
        <f>район!D44</f>
        <v>1.2607900000000001</v>
      </c>
      <c r="H17" s="215" t="e">
        <f t="shared" si="2"/>
        <v>#DIV/0!</v>
      </c>
      <c r="I17" s="215">
        <f>Справка!AY31</f>
        <v>530</v>
      </c>
      <c r="J17" s="215">
        <f>Справка!AZ31</f>
        <v>599.12308999999993</v>
      </c>
      <c r="K17" s="216">
        <f>J17/I17*100</f>
        <v>113.04209245283016</v>
      </c>
    </row>
    <row r="18" spans="1:13" ht="33" customHeight="1">
      <c r="A18" s="81" t="s">
        <v>195</v>
      </c>
      <c r="B18" s="77">
        <v>11400</v>
      </c>
      <c r="C18" s="215">
        <f t="shared" si="6"/>
        <v>10748.17628</v>
      </c>
      <c r="D18" s="215">
        <f t="shared" si="6"/>
        <v>733.35393999999997</v>
      </c>
      <c r="E18" s="215">
        <f t="shared" si="5"/>
        <v>6.8230546363908351</v>
      </c>
      <c r="F18" s="215">
        <f>район!C47</f>
        <v>10300</v>
      </c>
      <c r="G18" s="215">
        <f>район!D47</f>
        <v>726.95493999999997</v>
      </c>
      <c r="H18" s="215">
        <f t="shared" si="2"/>
        <v>7.0578149514563107</v>
      </c>
      <c r="I18" s="215">
        <f>Справка!BE31</f>
        <v>448.17627999999996</v>
      </c>
      <c r="J18" s="215">
        <f>Справка!BF31</f>
        <v>6.399</v>
      </c>
      <c r="K18" s="216">
        <f>J18/I18*100</f>
        <v>1.4277864058312055</v>
      </c>
    </row>
    <row r="19" spans="1:13" ht="23.25" customHeight="1">
      <c r="A19" s="81" t="s">
        <v>250</v>
      </c>
      <c r="B19" s="77">
        <v>11500</v>
      </c>
      <c r="C19" s="215">
        <f t="shared" si="6"/>
        <v>0</v>
      </c>
      <c r="D19" s="215">
        <f t="shared" si="6"/>
        <v>0</v>
      </c>
      <c r="E19" s="215"/>
      <c r="F19" s="215">
        <f>район!C50</f>
        <v>0</v>
      </c>
      <c r="G19" s="215">
        <f>район!D50</f>
        <v>0</v>
      </c>
      <c r="H19" s="215"/>
      <c r="I19" s="215"/>
      <c r="J19" s="215"/>
      <c r="K19" s="216"/>
    </row>
    <row r="20" spans="1:13" ht="22.5" customHeight="1">
      <c r="A20" s="81" t="s">
        <v>196</v>
      </c>
      <c r="B20" s="77">
        <v>11600</v>
      </c>
      <c r="C20" s="215">
        <f t="shared" si="6"/>
        <v>5600</v>
      </c>
      <c r="D20" s="215">
        <f t="shared" si="6"/>
        <v>2360.9391700000001</v>
      </c>
      <c r="E20" s="215">
        <f t="shared" si="5"/>
        <v>42.159628035714285</v>
      </c>
      <c r="F20" s="215">
        <f>район!C52</f>
        <v>5600</v>
      </c>
      <c r="G20" s="215">
        <f>район!D52</f>
        <v>2301.8686299999999</v>
      </c>
      <c r="H20" s="215">
        <f t="shared" si="2"/>
        <v>41.104796964285711</v>
      </c>
      <c r="I20" s="215">
        <f>Справка!BN31</f>
        <v>0</v>
      </c>
      <c r="J20" s="215">
        <f>Справка!BO31</f>
        <v>59.070540000000008</v>
      </c>
      <c r="K20" s="216">
        <v>0</v>
      </c>
    </row>
    <row r="21" spans="1:13" ht="31.5" customHeight="1">
      <c r="A21" s="81" t="s">
        <v>197</v>
      </c>
      <c r="B21" s="77">
        <v>11700</v>
      </c>
      <c r="C21" s="215">
        <f t="shared" si="6"/>
        <v>0</v>
      </c>
      <c r="D21" s="215">
        <f t="shared" si="6"/>
        <v>9.75</v>
      </c>
      <c r="E21" s="215"/>
      <c r="F21" s="215">
        <f>район!C69</f>
        <v>0</v>
      </c>
      <c r="G21" s="215">
        <f>район!D69</f>
        <v>0</v>
      </c>
      <c r="H21" s="215"/>
      <c r="I21" s="215">
        <f>Справка!BQ31</f>
        <v>0</v>
      </c>
      <c r="J21" s="215">
        <f>Справка!BR31</f>
        <v>9.75</v>
      </c>
      <c r="K21" s="216">
        <v>0</v>
      </c>
    </row>
    <row r="22" spans="1:13" ht="45.75" hidden="1" customHeight="1">
      <c r="A22" s="79" t="s">
        <v>198</v>
      </c>
      <c r="B22" s="76">
        <v>30000</v>
      </c>
      <c r="C22" s="214">
        <f t="shared" si="6"/>
        <v>0</v>
      </c>
      <c r="D22" s="214">
        <f t="shared" si="6"/>
        <v>0</v>
      </c>
      <c r="E22" s="214"/>
      <c r="F22" s="214">
        <v>0</v>
      </c>
      <c r="G22" s="214">
        <v>0</v>
      </c>
      <c r="H22" s="214"/>
      <c r="I22" s="214">
        <v>0</v>
      </c>
      <c r="J22" s="214">
        <v>0</v>
      </c>
      <c r="K22" s="214"/>
    </row>
    <row r="23" spans="1:13" ht="36.75" customHeight="1">
      <c r="A23" s="79" t="s">
        <v>18</v>
      </c>
      <c r="B23" s="76">
        <v>10000</v>
      </c>
      <c r="C23" s="217">
        <f>SUM(C4,C14,C22,)</f>
        <v>208733.21057</v>
      </c>
      <c r="D23" s="217">
        <f>SUM(D4,D14,)</f>
        <v>84971.07415</v>
      </c>
      <c r="E23" s="214">
        <f t="shared" si="5"/>
        <v>40.707980257652586</v>
      </c>
      <c r="F23" s="217">
        <f>SUM(F4,F14,)</f>
        <v>169461.94200000001</v>
      </c>
      <c r="G23" s="217">
        <f>SUM(G4,G14,G22)</f>
        <v>71948.72417999999</v>
      </c>
      <c r="H23" s="214">
        <f t="shared" si="2"/>
        <v>42.457157831933721</v>
      </c>
      <c r="I23" s="217">
        <f>I4+I14</f>
        <v>39271.268569999993</v>
      </c>
      <c r="J23" s="217">
        <f>J4+J14</f>
        <v>13022.349969999999</v>
      </c>
      <c r="K23" s="214">
        <f>J23/I23*100</f>
        <v>33.15999315578005</v>
      </c>
    </row>
    <row r="24" spans="1:13" ht="33" customHeight="1">
      <c r="A24" s="79" t="s">
        <v>199</v>
      </c>
      <c r="B24" s="76">
        <v>20200</v>
      </c>
      <c r="C24" s="218">
        <v>635807.23241000006</v>
      </c>
      <c r="D24" s="218">
        <v>268058.40500000003</v>
      </c>
      <c r="E24" s="217">
        <f t="shared" si="5"/>
        <v>42.160326485110296</v>
      </c>
      <c r="F24" s="217">
        <f>район!C73</f>
        <v>630757.43241000001</v>
      </c>
      <c r="G24" s="217">
        <f>район!D73</f>
        <v>249047.17299999995</v>
      </c>
      <c r="H24" s="214">
        <f t="shared" si="2"/>
        <v>39.483826936202668</v>
      </c>
      <c r="I24" s="217">
        <f>Справка!BZ31</f>
        <v>103016.55481999999</v>
      </c>
      <c r="J24" s="217">
        <f>Справка!CA31</f>
        <v>29768.937019999998</v>
      </c>
      <c r="K24" s="214">
        <f t="shared" ref="K24:K38" si="7">J24/I24*100</f>
        <v>28.897236052996554</v>
      </c>
    </row>
    <row r="25" spans="1:13" ht="33" customHeight="1">
      <c r="A25" s="79" t="s">
        <v>302</v>
      </c>
      <c r="B25" s="76">
        <v>20700</v>
      </c>
      <c r="C25" s="219">
        <f>F25+I25</f>
        <v>3518.3680800000002</v>
      </c>
      <c r="D25" s="219">
        <f>G25+J25</f>
        <v>3029.1437900000001</v>
      </c>
      <c r="E25" s="217">
        <f t="shared" si="5"/>
        <v>86.095136185978589</v>
      </c>
      <c r="F25" s="217"/>
      <c r="G25" s="217"/>
      <c r="H25" s="214"/>
      <c r="I25" s="217">
        <f>Справка!CR31</f>
        <v>3518.3680800000002</v>
      </c>
      <c r="J25" s="217">
        <f>Справка!CS31</f>
        <v>3029.1437900000001</v>
      </c>
      <c r="K25" s="214">
        <f t="shared" si="7"/>
        <v>86.095136185978589</v>
      </c>
    </row>
    <row r="26" spans="1:13" ht="33" customHeight="1">
      <c r="A26" s="79" t="s">
        <v>262</v>
      </c>
      <c r="B26" s="77">
        <v>21900</v>
      </c>
      <c r="C26" s="219">
        <f>F26+I26</f>
        <v>-29040.5</v>
      </c>
      <c r="D26" s="219">
        <f>G26+J26</f>
        <v>-29058.792000000001</v>
      </c>
      <c r="E26" s="217"/>
      <c r="F26" s="216">
        <f>район!C81</f>
        <v>-29040.5</v>
      </c>
      <c r="G26" s="216">
        <f>район!D81</f>
        <v>-29058.792000000001</v>
      </c>
      <c r="H26" s="214"/>
      <c r="I26" s="216">
        <v>0</v>
      </c>
      <c r="J26" s="216">
        <v>0</v>
      </c>
      <c r="K26" s="216">
        <v>0</v>
      </c>
      <c r="L26" s="83"/>
    </row>
    <row r="27" spans="1:13" ht="29.25" customHeight="1">
      <c r="A27" s="76" t="s">
        <v>200</v>
      </c>
      <c r="B27" s="76"/>
      <c r="C27" s="221">
        <f>C24+C23+C26+C25</f>
        <v>819018.31106000009</v>
      </c>
      <c r="D27" s="221">
        <f>D24+D23+D26+D25</f>
        <v>326999.83094000001</v>
      </c>
      <c r="E27" s="221">
        <f t="shared" si="5"/>
        <v>39.92582662978392</v>
      </c>
      <c r="F27" s="221">
        <f>F24+F23</f>
        <v>800219.37441000005</v>
      </c>
      <c r="G27" s="221">
        <f>G24+G23</f>
        <v>320995.89717999997</v>
      </c>
      <c r="H27" s="221">
        <f t="shared" si="2"/>
        <v>40.113487306736296</v>
      </c>
      <c r="I27" s="221">
        <f>I24+I23</f>
        <v>142287.82338999998</v>
      </c>
      <c r="J27" s="221">
        <f>J24+J23</f>
        <v>42791.286989999993</v>
      </c>
      <c r="K27" s="220">
        <f t="shared" si="7"/>
        <v>30.073751899846251</v>
      </c>
      <c r="L27" s="95"/>
      <c r="M27" s="83"/>
    </row>
    <row r="28" spans="1:13" ht="29.25" customHeight="1">
      <c r="A28" s="76" t="s">
        <v>201</v>
      </c>
      <c r="B28" s="76"/>
      <c r="C28" s="221">
        <f>C29+C30+C31+C32+C33+C34+C35+C36+C37+C41+C38+C39+C40</f>
        <v>861462.96038999991</v>
      </c>
      <c r="D28" s="221">
        <f>SUM(D29:D41)</f>
        <v>359469.51681</v>
      </c>
      <c r="E28" s="221">
        <f t="shared" si="5"/>
        <v>41.727797170439182</v>
      </c>
      <c r="F28" s="221">
        <f>SUM(F29+F30+F31+F32+F33+F34+F35+F36+F37+F38+F39+F40+F41)</f>
        <v>835067.72597999999</v>
      </c>
      <c r="G28" s="221">
        <f>SUM(G29:G41)</f>
        <v>354054.33356999996</v>
      </c>
      <c r="H28" s="221">
        <f t="shared" si="2"/>
        <v>42.398277715079558</v>
      </c>
      <c r="I28" s="221">
        <f>I29+I30+I31+I32+I33+I34+I35+I36+I37+I38+I39+I40+I41</f>
        <v>149884.12115000002</v>
      </c>
      <c r="J28" s="221">
        <f>J29+J30+J31+J32+J33+J34+J35+J36+J37+J38+J39+J40+J41</f>
        <v>42202.536469999999</v>
      </c>
      <c r="K28" s="220">
        <f t="shared" si="7"/>
        <v>28.156776145596389</v>
      </c>
      <c r="L28" s="95"/>
    </row>
    <row r="29" spans="1:13" ht="30.75" customHeight="1">
      <c r="A29" s="81" t="s">
        <v>202</v>
      </c>
      <c r="B29" s="82" t="s">
        <v>29</v>
      </c>
      <c r="C29" s="295">
        <f>F29+I29</f>
        <v>67843.022129999998</v>
      </c>
      <c r="D29" s="295">
        <f>G29+J29</f>
        <v>30403.863839999998</v>
      </c>
      <c r="E29" s="223">
        <f t="shared" si="5"/>
        <v>44.815019858255248</v>
      </c>
      <c r="F29" s="215">
        <f>район!C88</f>
        <v>45520.480129999996</v>
      </c>
      <c r="G29" s="223">
        <f>район!D88</f>
        <v>20649.147250000002</v>
      </c>
      <c r="H29" s="224">
        <f t="shared" si="2"/>
        <v>45.362323048941889</v>
      </c>
      <c r="I29" s="224">
        <f>Справка!DJ31</f>
        <v>22322.542000000001</v>
      </c>
      <c r="J29" s="224">
        <f>Справка!DK31</f>
        <v>9754.7165899999964</v>
      </c>
      <c r="K29" s="224">
        <f t="shared" si="7"/>
        <v>43.698950549628243</v>
      </c>
    </row>
    <row r="30" spans="1:13" ht="30.75" customHeight="1">
      <c r="A30" s="81" t="s">
        <v>203</v>
      </c>
      <c r="B30" s="82" t="s">
        <v>45</v>
      </c>
      <c r="C30" s="219">
        <f>I30</f>
        <v>2158.6999999999998</v>
      </c>
      <c r="D30" s="219">
        <f>J30</f>
        <v>924.78237999999999</v>
      </c>
      <c r="E30" s="223">
        <f t="shared" si="5"/>
        <v>42.839782276370045</v>
      </c>
      <c r="F30" s="215">
        <f>район!C96</f>
        <v>2158.6999999999998</v>
      </c>
      <c r="G30" s="223">
        <f>район!D96</f>
        <v>1075.8</v>
      </c>
      <c r="H30" s="224">
        <f t="shared" si="2"/>
        <v>49.835549173113449</v>
      </c>
      <c r="I30" s="224">
        <f>Справка!DY31</f>
        <v>2158.6999999999998</v>
      </c>
      <c r="J30" s="224">
        <f>Справка!DZ31</f>
        <v>924.78237999999999</v>
      </c>
      <c r="K30" s="224">
        <f t="shared" si="7"/>
        <v>42.839782276370045</v>
      </c>
    </row>
    <row r="31" spans="1:13" ht="33" customHeight="1">
      <c r="A31" s="81" t="s">
        <v>204</v>
      </c>
      <c r="B31" s="82" t="s">
        <v>49</v>
      </c>
      <c r="C31" s="295">
        <f>F31+I31</f>
        <v>14821.480000000001</v>
      </c>
      <c r="D31" s="295">
        <f>G31+J31</f>
        <v>6700.6041599999999</v>
      </c>
      <c r="E31" s="223">
        <f t="shared" si="5"/>
        <v>45.208738668473046</v>
      </c>
      <c r="F31" s="215">
        <f>район!C98</f>
        <v>14584.7</v>
      </c>
      <c r="G31" s="223">
        <f>район!D98</f>
        <v>6634.9907299999995</v>
      </c>
      <c r="H31" s="224">
        <f t="shared" si="2"/>
        <v>45.492815964675302</v>
      </c>
      <c r="I31" s="224">
        <f>Справка!EB31</f>
        <v>236.78000000000003</v>
      </c>
      <c r="J31" s="224">
        <f>Справка!EC31</f>
        <v>65.613430000000008</v>
      </c>
      <c r="K31" s="224">
        <f t="shared" si="7"/>
        <v>27.710714587380693</v>
      </c>
    </row>
    <row r="32" spans="1:13" ht="30" customHeight="1">
      <c r="A32" s="81" t="s">
        <v>205</v>
      </c>
      <c r="B32" s="82" t="s">
        <v>57</v>
      </c>
      <c r="C32" s="222">
        <v>221788.04156000001</v>
      </c>
      <c r="D32" s="222">
        <v>27086.94211</v>
      </c>
      <c r="E32" s="223">
        <f t="shared" si="5"/>
        <v>12.212985839758275</v>
      </c>
      <c r="F32" s="215">
        <f>район!C104</f>
        <v>195807.80899999998</v>
      </c>
      <c r="G32" s="223">
        <f>район!D104</f>
        <v>20630.297129999999</v>
      </c>
      <c r="H32" s="224">
        <f t="shared" si="2"/>
        <v>10.535993041012986</v>
      </c>
      <c r="I32" s="224">
        <f>Справка!EE31</f>
        <v>62181.332559999995</v>
      </c>
      <c r="J32" s="224">
        <f>Справка!EF31</f>
        <v>12179.331460000001</v>
      </c>
      <c r="K32" s="224">
        <f t="shared" si="7"/>
        <v>19.586797127977153</v>
      </c>
    </row>
    <row r="33" spans="1:12" ht="30" customHeight="1">
      <c r="A33" s="81" t="s">
        <v>206</v>
      </c>
      <c r="B33" s="82" t="s">
        <v>67</v>
      </c>
      <c r="C33" s="222">
        <v>30518.380730000001</v>
      </c>
      <c r="D33" s="222">
        <v>5490.1122999999998</v>
      </c>
      <c r="E33" s="223">
        <f t="shared" si="5"/>
        <v>17.98952686438944</v>
      </c>
      <c r="F33" s="215">
        <f>район!C111</f>
        <v>16338.85828</v>
      </c>
      <c r="G33" s="223">
        <f>район!D111</f>
        <v>479.02343999999999</v>
      </c>
      <c r="H33" s="224">
        <f t="shared" si="2"/>
        <v>2.9318048531356742</v>
      </c>
      <c r="I33" s="224">
        <f>Справка!EH31</f>
        <v>22969.880730000004</v>
      </c>
      <c r="J33" s="224">
        <f>Справка!EI31</f>
        <v>5011.0888599999998</v>
      </c>
      <c r="K33" s="224">
        <f t="shared" si="7"/>
        <v>21.815911536080488</v>
      </c>
    </row>
    <row r="34" spans="1:12" ht="30" customHeight="1">
      <c r="A34" s="81" t="s">
        <v>207</v>
      </c>
      <c r="B34" s="82" t="s">
        <v>75</v>
      </c>
      <c r="C34" s="219">
        <f>F34</f>
        <v>232</v>
      </c>
      <c r="D34" s="219">
        <f>G34</f>
        <v>32</v>
      </c>
      <c r="E34" s="223">
        <f t="shared" si="5"/>
        <v>13.793103448275861</v>
      </c>
      <c r="F34" s="215">
        <f>район!C115</f>
        <v>232</v>
      </c>
      <c r="G34" s="223">
        <f>район!D115</f>
        <v>32</v>
      </c>
      <c r="H34" s="224">
        <f t="shared" si="2"/>
        <v>13.793103448275861</v>
      </c>
      <c r="I34" s="223"/>
      <c r="J34" s="223"/>
      <c r="K34" s="224">
        <v>0</v>
      </c>
    </row>
    <row r="35" spans="1:12" ht="30" customHeight="1">
      <c r="A35" s="81" t="s">
        <v>208</v>
      </c>
      <c r="B35" s="82" t="s">
        <v>79</v>
      </c>
      <c r="C35" s="219">
        <f>F35</f>
        <v>400723.27746999997</v>
      </c>
      <c r="D35" s="219">
        <f>G35</f>
        <v>226957.27187999999</v>
      </c>
      <c r="E35" s="223">
        <f t="shared" si="5"/>
        <v>56.636907472137324</v>
      </c>
      <c r="F35" s="215">
        <f>район!C117</f>
        <v>400723.27746999997</v>
      </c>
      <c r="G35" s="223">
        <f>район!D117</f>
        <v>226957.27187999999</v>
      </c>
      <c r="H35" s="224">
        <f t="shared" si="2"/>
        <v>56.636907472137324</v>
      </c>
      <c r="I35" s="223"/>
      <c r="J35" s="223"/>
      <c r="K35" s="224">
        <v>0</v>
      </c>
    </row>
    <row r="36" spans="1:12" ht="30" customHeight="1">
      <c r="A36" s="81" t="s">
        <v>209</v>
      </c>
      <c r="B36" s="82" t="s">
        <v>85</v>
      </c>
      <c r="C36" s="222">
        <v>64585.315130000003</v>
      </c>
      <c r="D36" s="222">
        <v>25200.761979999999</v>
      </c>
      <c r="E36" s="223">
        <f t="shared" si="5"/>
        <v>39.019337335855461</v>
      </c>
      <c r="F36" s="215">
        <f>район!C123</f>
        <v>53864.284160000003</v>
      </c>
      <c r="G36" s="223">
        <f>район!D123</f>
        <v>21052.839229999998</v>
      </c>
      <c r="H36" s="224">
        <f t="shared" si="2"/>
        <v>39.084969861409547</v>
      </c>
      <c r="I36" s="224">
        <f>Справка!EK31</f>
        <v>39696.489860000009</v>
      </c>
      <c r="J36" s="224">
        <f>Справка!EL31</f>
        <v>14195.482750000001</v>
      </c>
      <c r="K36" s="224">
        <f t="shared" si="7"/>
        <v>35.760045283762018</v>
      </c>
      <c r="L36" s="83"/>
    </row>
    <row r="37" spans="1:12" ht="30" customHeight="1">
      <c r="A37" s="81" t="s">
        <v>210</v>
      </c>
      <c r="B37" s="82" t="s">
        <v>211</v>
      </c>
      <c r="C37" s="222">
        <v>44301.707369999996</v>
      </c>
      <c r="D37" s="222">
        <v>33038.449710000001</v>
      </c>
      <c r="E37" s="223">
        <f t="shared" si="5"/>
        <v>74.576019009986979</v>
      </c>
      <c r="F37" s="215">
        <f>район!C126</f>
        <v>44301.707369999996</v>
      </c>
      <c r="G37" s="223">
        <f>район!D126</f>
        <v>33038.449710000001</v>
      </c>
      <c r="H37" s="224">
        <f t="shared" si="2"/>
        <v>74.576019009986979</v>
      </c>
      <c r="I37" s="224">
        <f>Справка!EN31</f>
        <v>0</v>
      </c>
      <c r="J37" s="224">
        <f>Справка!EO31</f>
        <v>0</v>
      </c>
      <c r="K37" s="224"/>
    </row>
    <row r="38" spans="1:12" ht="30" customHeight="1">
      <c r="A38" s="81" t="s">
        <v>212</v>
      </c>
      <c r="B38" s="82" t="s">
        <v>94</v>
      </c>
      <c r="C38" s="222">
        <v>14445.896000000001</v>
      </c>
      <c r="D38" s="222">
        <v>3634.7284500000001</v>
      </c>
      <c r="E38" s="223">
        <f t="shared" si="5"/>
        <v>25.160976169287107</v>
      </c>
      <c r="F38" s="215">
        <f>район!C131</f>
        <v>14127.5</v>
      </c>
      <c r="G38" s="223">
        <f>район!D131</f>
        <v>3563.2074499999999</v>
      </c>
      <c r="H38" s="224">
        <f t="shared" si="2"/>
        <v>25.221783401167936</v>
      </c>
      <c r="I38" s="224">
        <f>Справка!EQ31</f>
        <v>318.39600000000002</v>
      </c>
      <c r="J38" s="224">
        <f>Справка!ER31</f>
        <v>71.520999999999987</v>
      </c>
      <c r="K38" s="224">
        <f t="shared" si="7"/>
        <v>22.462907825475188</v>
      </c>
    </row>
    <row r="39" spans="1:12" ht="30" customHeight="1">
      <c r="A39" s="81" t="s">
        <v>213</v>
      </c>
      <c r="B39" s="82" t="s">
        <v>106</v>
      </c>
      <c r="C39" s="215">
        <f>F39</f>
        <v>45.14</v>
      </c>
      <c r="D39" s="225">
        <f>G39</f>
        <v>0</v>
      </c>
      <c r="E39" s="223">
        <f t="shared" si="5"/>
        <v>0</v>
      </c>
      <c r="F39" s="215">
        <f>район!C137</f>
        <v>45.14</v>
      </c>
      <c r="G39" s="223">
        <f>район!D137</f>
        <v>0</v>
      </c>
      <c r="H39" s="224">
        <f t="shared" si="2"/>
        <v>0</v>
      </c>
      <c r="I39" s="224"/>
      <c r="J39" s="224"/>
      <c r="K39" s="224">
        <v>0</v>
      </c>
    </row>
    <row r="40" spans="1:12" ht="34.5" customHeight="1">
      <c r="A40" s="81" t="s">
        <v>214</v>
      </c>
      <c r="B40" s="82" t="s">
        <v>110</v>
      </c>
      <c r="C40" s="215">
        <f>F40</f>
        <v>0</v>
      </c>
      <c r="D40" s="225">
        <f>G40</f>
        <v>0</v>
      </c>
      <c r="E40" s="223"/>
      <c r="F40" s="215">
        <f>район!C139</f>
        <v>0</v>
      </c>
      <c r="G40" s="223">
        <f>район!D139</f>
        <v>0</v>
      </c>
      <c r="H40" s="224">
        <v>0</v>
      </c>
      <c r="I40" s="224"/>
      <c r="J40" s="226"/>
      <c r="K40" s="224">
        <v>0</v>
      </c>
    </row>
    <row r="41" spans="1:12" ht="30" customHeight="1">
      <c r="A41" s="81" t="s">
        <v>215</v>
      </c>
      <c r="B41" s="82" t="s">
        <v>216</v>
      </c>
      <c r="C41" s="215">
        <v>0</v>
      </c>
      <c r="D41" s="225"/>
      <c r="E41" s="223">
        <v>0</v>
      </c>
      <c r="F41" s="215">
        <f>район!C141</f>
        <v>47363.269569999997</v>
      </c>
      <c r="G41" s="223">
        <f>район!D141</f>
        <v>19941.30675</v>
      </c>
      <c r="H41" s="224">
        <f t="shared" si="2"/>
        <v>42.102893087919057</v>
      </c>
      <c r="I41" s="224">
        <f>Справка!ET31</f>
        <v>0</v>
      </c>
      <c r="J41" s="226">
        <f>Справка!EU31</f>
        <v>0</v>
      </c>
      <c r="K41" s="224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-42444.649329999811</v>
      </c>
      <c r="D43" s="139">
        <f>D27-D28</f>
        <v>-32469.685869999987</v>
      </c>
      <c r="E43" s="139"/>
      <c r="F43" s="139">
        <f>F27-F28</f>
        <v>-34848.351569999941</v>
      </c>
      <c r="G43" s="139">
        <f>G27-G28</f>
        <v>-33058.436389999988</v>
      </c>
      <c r="H43" s="139"/>
      <c r="I43" s="139">
        <f>I27-I28</f>
        <v>-7596.2977600000449</v>
      </c>
      <c r="J43" s="139">
        <f>J27-J28</f>
        <v>588.75051999999414</v>
      </c>
      <c r="K43" s="139"/>
    </row>
    <row r="44" spans="1:12" hidden="1">
      <c r="A44" s="140"/>
      <c r="B44" s="141"/>
      <c r="C44" s="139">
        <f>C43-F44</f>
        <v>1.7462298274040222E-10</v>
      </c>
      <c r="D44" s="139">
        <f>D43-G44</f>
        <v>0</v>
      </c>
      <c r="E44" s="139"/>
      <c r="F44" s="139">
        <f>F43+I43</f>
        <v>-42444.649329999986</v>
      </c>
      <c r="G44" s="139">
        <f>G43+J43</f>
        <v>-32469.685869999994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639325.60048999998</v>
      </c>
      <c r="G45" s="143">
        <f>D28+G44-D23-D26</f>
        <v>271087.54879000003</v>
      </c>
      <c r="H45" s="137"/>
      <c r="I45" s="137"/>
      <c r="J45" s="137"/>
      <c r="K45" s="139"/>
    </row>
    <row r="46" spans="1:12">
      <c r="A46" s="140"/>
      <c r="B46" s="141"/>
      <c r="C46" s="229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119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217</v>
      </c>
      <c r="B50" s="141"/>
      <c r="C50" s="144" t="s">
        <v>266</v>
      </c>
      <c r="D50" s="511"/>
      <c r="E50" s="511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B30CE22D-C12F-4E12-8BB9-3AAE0A6991CC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B31C8DB7-3E78-4144-A6B5-8DE36DE63F0E}" scale="80" showPageBreaks="1" printArea="1" hiddenRows="1" view="pageBreakPreview" topLeftCell="A17">
      <selection activeCell="G27" sqref="G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61528DAC-5C4C-48F4-ADE2-8A724B05A086}" scale="80" showPageBreaks="1" printArea="1" hiddenRows="1" view="pageBreakPreview" topLeftCell="A4">
      <selection activeCell="J27" sqref="J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0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zoomScale="70" zoomScaleSheetLayoutView="70" workbookViewId="0">
      <selection activeCell="F23" sqref="F23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4" t="s">
        <v>431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6.75" customHeight="1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2594.6179999999999</v>
      </c>
      <c r="D4" s="5">
        <f>D5+D12+D14+D17+D7</f>
        <v>512.34690999999998</v>
      </c>
      <c r="E4" s="5">
        <f>SUM(D4/C4*100)</f>
        <v>19.74652569279948</v>
      </c>
      <c r="F4" s="5">
        <f>SUM(D4-C4)</f>
        <v>-2082.2710900000002</v>
      </c>
    </row>
    <row r="5" spans="1:6" s="6" customFormat="1">
      <c r="A5" s="68">
        <v>1010000000</v>
      </c>
      <c r="B5" s="67" t="s">
        <v>5</v>
      </c>
      <c r="C5" s="5">
        <f>C6</f>
        <v>244.083</v>
      </c>
      <c r="D5" s="5">
        <f>D6</f>
        <v>91.060739999999996</v>
      </c>
      <c r="E5" s="5">
        <f t="shared" ref="E5:E51" si="0">SUM(D5/C5*100)</f>
        <v>37.307284817049933</v>
      </c>
      <c r="F5" s="5">
        <f t="shared" ref="F5:F51" si="1">SUM(D5-C5)</f>
        <v>-153.02226000000002</v>
      </c>
    </row>
    <row r="6" spans="1:6">
      <c r="A6" s="7">
        <v>1010200001</v>
      </c>
      <c r="B6" s="8" t="s">
        <v>228</v>
      </c>
      <c r="C6" s="9">
        <v>244.083</v>
      </c>
      <c r="D6" s="10">
        <v>91.060739999999996</v>
      </c>
      <c r="E6" s="9">
        <f t="shared" ref="E6:E11" si="2">SUM(D6/C6*100)</f>
        <v>37.307284817049933</v>
      </c>
      <c r="F6" s="9">
        <f t="shared" si="1"/>
        <v>-153.02226000000002</v>
      </c>
    </row>
    <row r="7" spans="1:6" ht="31.5">
      <c r="A7" s="3">
        <v>1030000000</v>
      </c>
      <c r="B7" s="13" t="s">
        <v>280</v>
      </c>
      <c r="C7" s="5">
        <f>C8+C10+C9</f>
        <v>424.53500000000003</v>
      </c>
      <c r="D7" s="5">
        <f>D8+D9+D10+D11</f>
        <v>243.52552000000003</v>
      </c>
      <c r="E7" s="9">
        <f t="shared" si="2"/>
        <v>57.362884096717593</v>
      </c>
      <c r="F7" s="9">
        <f t="shared" si="1"/>
        <v>-181.00948</v>
      </c>
    </row>
    <row r="8" spans="1:6">
      <c r="A8" s="7">
        <v>1030223001</v>
      </c>
      <c r="B8" s="8" t="s">
        <v>282</v>
      </c>
      <c r="C8" s="9">
        <v>158.35</v>
      </c>
      <c r="D8" s="10">
        <v>110.55034000000001</v>
      </c>
      <c r="E8" s="9">
        <f t="shared" si="2"/>
        <v>69.813918534891073</v>
      </c>
      <c r="F8" s="9">
        <f t="shared" si="1"/>
        <v>-47.799659999999989</v>
      </c>
    </row>
    <row r="9" spans="1:6">
      <c r="A9" s="7">
        <v>1030224001</v>
      </c>
      <c r="B9" s="8" t="s">
        <v>288</v>
      </c>
      <c r="C9" s="9">
        <v>1.6950000000000001</v>
      </c>
      <c r="D9" s="10">
        <v>0.83877000000000002</v>
      </c>
      <c r="E9" s="9">
        <f t="shared" si="2"/>
        <v>49.484955752212386</v>
      </c>
      <c r="F9" s="9">
        <f t="shared" si="1"/>
        <v>-0.85623000000000005</v>
      </c>
    </row>
    <row r="10" spans="1:6">
      <c r="A10" s="7">
        <v>1030225001</v>
      </c>
      <c r="B10" s="8" t="s">
        <v>281</v>
      </c>
      <c r="C10" s="9">
        <v>264.49</v>
      </c>
      <c r="D10" s="10">
        <v>153.19376</v>
      </c>
      <c r="E10" s="9">
        <f t="shared" si="2"/>
        <v>57.920435555219477</v>
      </c>
      <c r="F10" s="9">
        <f t="shared" si="1"/>
        <v>-111.29624000000001</v>
      </c>
    </row>
    <row r="11" spans="1:6">
      <c r="A11" s="7">
        <v>1030265001</v>
      </c>
      <c r="B11" s="8" t="s">
        <v>290</v>
      </c>
      <c r="C11" s="9">
        <v>0</v>
      </c>
      <c r="D11" s="10">
        <v>-21.05735</v>
      </c>
      <c r="E11" s="9" t="e">
        <f t="shared" si="2"/>
        <v>#DIV/0!</v>
      </c>
      <c r="F11" s="9">
        <f t="shared" si="1"/>
        <v>-21.05735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9.3778500000000005</v>
      </c>
      <c r="E12" s="5">
        <f t="shared" si="0"/>
        <v>23.444625000000002</v>
      </c>
      <c r="F12" s="5">
        <f t="shared" si="1"/>
        <v>-30.622149999999998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9.3778500000000005</v>
      </c>
      <c r="E13" s="9">
        <f t="shared" si="0"/>
        <v>23.444625000000002</v>
      </c>
      <c r="F13" s="9">
        <f t="shared" si="1"/>
        <v>-30.622149999999998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1876</v>
      </c>
      <c r="D14" s="5">
        <f>D15+D16</f>
        <v>165.94279999999998</v>
      </c>
      <c r="E14" s="5">
        <f t="shared" si="0"/>
        <v>8.8455650319829413</v>
      </c>
      <c r="F14" s="5">
        <f t="shared" si="1"/>
        <v>-1710.0572</v>
      </c>
    </row>
    <row r="15" spans="1:6" s="6" customFormat="1" ht="15.75" customHeight="1">
      <c r="A15" s="7">
        <v>1060100000</v>
      </c>
      <c r="B15" s="11" t="s">
        <v>8</v>
      </c>
      <c r="C15" s="9">
        <v>326</v>
      </c>
      <c r="D15" s="10">
        <v>45.514809999999997</v>
      </c>
      <c r="E15" s="9">
        <f t="shared" si="0"/>
        <v>13.961598159509201</v>
      </c>
      <c r="F15" s="9">
        <f>SUM(D15-C15)</f>
        <v>-280.48518999999999</v>
      </c>
    </row>
    <row r="16" spans="1:6" ht="15.75" customHeight="1">
      <c r="A16" s="7">
        <v>1060600000</v>
      </c>
      <c r="B16" s="11" t="s">
        <v>7</v>
      </c>
      <c r="C16" s="9">
        <v>1550</v>
      </c>
      <c r="D16" s="10">
        <v>120.42798999999999</v>
      </c>
      <c r="E16" s="9">
        <f t="shared" si="0"/>
        <v>7.7695477419354839</v>
      </c>
      <c r="F16" s="9">
        <f t="shared" si="1"/>
        <v>-1429.5720100000001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2.44</v>
      </c>
      <c r="E17" s="5">
        <f t="shared" si="0"/>
        <v>24.4</v>
      </c>
      <c r="F17" s="5">
        <f t="shared" si="1"/>
        <v>-7.5600000000000005</v>
      </c>
    </row>
    <row r="18" spans="1:6" ht="18" customHeight="1">
      <c r="A18" s="7">
        <v>1080400001</v>
      </c>
      <c r="B18" s="8" t="s">
        <v>227</v>
      </c>
      <c r="C18" s="9">
        <v>10</v>
      </c>
      <c r="D18" s="9">
        <v>2.44</v>
      </c>
      <c r="E18" s="9">
        <f t="shared" si="0"/>
        <v>24.4</v>
      </c>
      <c r="F18" s="9">
        <f t="shared" si="1"/>
        <v>-7.5600000000000005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80</v>
      </c>
      <c r="D25" s="5">
        <f>D26+D29+D31+D36+D34</f>
        <v>35.635919999999999</v>
      </c>
      <c r="E25" s="5">
        <f t="shared" si="0"/>
        <v>44.544899999999998</v>
      </c>
      <c r="F25" s="5">
        <f t="shared" si="1"/>
        <v>-44.364080000000001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80</v>
      </c>
      <c r="D26" s="5">
        <f>D27+D28</f>
        <v>27.15</v>
      </c>
      <c r="E26" s="5">
        <f t="shared" si="0"/>
        <v>33.9375</v>
      </c>
      <c r="F26" s="5">
        <f t="shared" si="1"/>
        <v>-52.85</v>
      </c>
    </row>
    <row r="27" spans="1:6" ht="15.75" customHeight="1">
      <c r="A27" s="16">
        <v>1110502510</v>
      </c>
      <c r="B27" s="17" t="s">
        <v>225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224</v>
      </c>
      <c r="C28" s="12">
        <v>30</v>
      </c>
      <c r="D28" s="10">
        <v>22.5</v>
      </c>
      <c r="E28" s="9">
        <f t="shared" si="0"/>
        <v>75</v>
      </c>
      <c r="F28" s="9">
        <f t="shared" si="1"/>
        <v>-7.5</v>
      </c>
    </row>
    <row r="29" spans="1:6" s="15" customFormat="1" ht="15" customHeight="1">
      <c r="A29" s="68">
        <v>1130000000</v>
      </c>
      <c r="B29" s="69" t="s">
        <v>130</v>
      </c>
      <c r="C29" s="5">
        <f>C30</f>
        <v>0</v>
      </c>
      <c r="D29" s="5">
        <f>D30</f>
        <v>13.13592</v>
      </c>
      <c r="E29" s="5" t="e">
        <f t="shared" si="0"/>
        <v>#DIV/0!</v>
      </c>
      <c r="F29" s="5">
        <f t="shared" si="1"/>
        <v>13.13592</v>
      </c>
    </row>
    <row r="30" spans="1:6" ht="15.75" customHeight="1">
      <c r="A30" s="7">
        <v>1130206005</v>
      </c>
      <c r="B30" s="8" t="s">
        <v>223</v>
      </c>
      <c r="C30" s="9">
        <v>0</v>
      </c>
      <c r="D30" s="10">
        <v>13.13592</v>
      </c>
      <c r="E30" s="9" t="e">
        <f t="shared" si="0"/>
        <v>#DIV/0!</v>
      </c>
      <c r="F30" s="9">
        <f t="shared" si="1"/>
        <v>13.13592</v>
      </c>
    </row>
    <row r="31" spans="1:6" ht="15.7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339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340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134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17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18</v>
      </c>
      <c r="C39" s="288">
        <f>SUM(C4,C25)</f>
        <v>2674.6179999999999</v>
      </c>
      <c r="D39" s="288">
        <f>SUM(D4,D25)</f>
        <v>547.98282999999992</v>
      </c>
      <c r="E39" s="5">
        <f t="shared" si="0"/>
        <v>20.488265240120267</v>
      </c>
      <c r="F39" s="5">
        <f t="shared" si="1"/>
        <v>-2126.63517</v>
      </c>
    </row>
    <row r="40" spans="1:7" s="6" customFormat="1">
      <c r="A40" s="3">
        <v>2000000000</v>
      </c>
      <c r="B40" s="4" t="s">
        <v>19</v>
      </c>
      <c r="C40" s="5">
        <f>C41+C43+C45+C46+C48+C49+C47+C42+C44</f>
        <v>3329.9829999999997</v>
      </c>
      <c r="D40" s="276">
        <f>D41+D43+D45+D46+D48+D49+D42+D47</f>
        <v>1084.856</v>
      </c>
      <c r="E40" s="5">
        <f t="shared" si="0"/>
        <v>32.578424574539874</v>
      </c>
      <c r="F40" s="5">
        <f t="shared" si="1"/>
        <v>-2245.1269999999995</v>
      </c>
      <c r="G40" s="19"/>
    </row>
    <row r="41" spans="1:7">
      <c r="A41" s="16">
        <v>2021000000</v>
      </c>
      <c r="B41" s="17" t="s">
        <v>20</v>
      </c>
      <c r="C41" s="99">
        <v>1462.5</v>
      </c>
      <c r="D41" s="20">
        <v>731.25</v>
      </c>
      <c r="E41" s="9">
        <f t="shared" si="0"/>
        <v>50</v>
      </c>
      <c r="F41" s="9">
        <f t="shared" si="1"/>
        <v>-731.25</v>
      </c>
    </row>
    <row r="42" spans="1:7" ht="17.25" customHeight="1">
      <c r="A42" s="16">
        <v>2021500200</v>
      </c>
      <c r="B42" s="17" t="s">
        <v>231</v>
      </c>
      <c r="C42" s="12">
        <v>420</v>
      </c>
      <c r="D42" s="20">
        <v>0</v>
      </c>
      <c r="E42" s="9">
        <f>SUM(D42/C42*100)</f>
        <v>0</v>
      </c>
      <c r="F42" s="9">
        <f>SUM(D42-C42)</f>
        <v>-420</v>
      </c>
    </row>
    <row r="43" spans="1:7" ht="19.5" customHeight="1">
      <c r="A43" s="16">
        <v>2022000000</v>
      </c>
      <c r="B43" s="17" t="s">
        <v>21</v>
      </c>
      <c r="C43" s="12">
        <v>1165.08</v>
      </c>
      <c r="D43" s="10">
        <v>263.95699999999999</v>
      </c>
      <c r="E43" s="9">
        <f t="shared" si="0"/>
        <v>22.655697462835171</v>
      </c>
      <c r="F43" s="9">
        <f t="shared" si="1"/>
        <v>-901.12299999999993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22</v>
      </c>
      <c r="C45" s="12">
        <v>182.40299999999999</v>
      </c>
      <c r="D45" s="200">
        <v>89.649000000000001</v>
      </c>
      <c r="E45" s="9">
        <f t="shared" si="0"/>
        <v>49.148862683179559</v>
      </c>
      <c r="F45" s="9">
        <f t="shared" si="1"/>
        <v>-92.753999999999991</v>
      </c>
    </row>
    <row r="46" spans="1:7" ht="19.5" customHeight="1">
      <c r="A46" s="16">
        <v>2020400000</v>
      </c>
      <c r="B46" s="17" t="s">
        <v>23</v>
      </c>
      <c r="C46" s="12">
        <v>100</v>
      </c>
      <c r="D46" s="201">
        <v>0</v>
      </c>
      <c r="E46" s="9">
        <f t="shared" si="0"/>
        <v>0</v>
      </c>
      <c r="F46" s="9">
        <f t="shared" si="1"/>
        <v>-100</v>
      </c>
    </row>
    <row r="47" spans="1:7" ht="20.25" customHeight="1">
      <c r="A47" s="7">
        <v>2070500010</v>
      </c>
      <c r="B47" s="18" t="s">
        <v>297</v>
      </c>
      <c r="C47" s="12">
        <v>0</v>
      </c>
      <c r="D47" s="201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24</v>
      </c>
      <c r="C48" s="12"/>
      <c r="D48" s="20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26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27</v>
      </c>
      <c r="C51" s="272">
        <f>C39+C40</f>
        <v>6004.6009999999997</v>
      </c>
      <c r="D51" s="273">
        <f>D39+D40</f>
        <v>1632.8388299999999</v>
      </c>
      <c r="E51" s="5">
        <f t="shared" si="0"/>
        <v>27.193127903086317</v>
      </c>
      <c r="F51" s="5">
        <f t="shared" si="1"/>
        <v>-4371.76217</v>
      </c>
      <c r="G51" s="213"/>
    </row>
    <row r="52" spans="1:7" s="6" customFormat="1">
      <c r="A52" s="3"/>
      <c r="B52" s="21" t="s">
        <v>320</v>
      </c>
      <c r="C52" s="93">
        <f>C51-C99</f>
        <v>-359.81648000000041</v>
      </c>
      <c r="D52" s="93">
        <f>D51-D99</f>
        <v>-269.38919999999985</v>
      </c>
      <c r="E52" s="22"/>
      <c r="F52" s="22"/>
    </row>
    <row r="53" spans="1:7" ht="23.25" customHeight="1">
      <c r="A53" s="23"/>
      <c r="B53" s="24"/>
      <c r="C53" s="191"/>
      <c r="D53" s="191"/>
      <c r="E53" s="132"/>
      <c r="F53" s="92"/>
    </row>
    <row r="54" spans="1:7" ht="65.25" customHeight="1">
      <c r="A54" s="28" t="s">
        <v>0</v>
      </c>
      <c r="B54" s="28" t="s">
        <v>28</v>
      </c>
      <c r="C54" s="72" t="s">
        <v>411</v>
      </c>
      <c r="D54" s="103" t="s">
        <v>424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29</v>
      </c>
      <c r="B56" s="31" t="s">
        <v>30</v>
      </c>
      <c r="C56" s="32">
        <f>C57+C58+C59+C60+C61+C63+C62</f>
        <v>1224.2350000000001</v>
      </c>
      <c r="D56" s="33">
        <f>D57+D58+D59+D60+D61+D63+D62</f>
        <v>565.67257999999993</v>
      </c>
      <c r="E56" s="34">
        <f>SUM(D56/C56*100)</f>
        <v>46.206208775275975</v>
      </c>
      <c r="F56" s="34">
        <f>SUM(D56-C56)</f>
        <v>-658.5624200000002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8" customHeight="1">
      <c r="A58" s="35" t="s">
        <v>33</v>
      </c>
      <c r="B58" s="39" t="s">
        <v>34</v>
      </c>
      <c r="C58" s="37">
        <v>1195.0350000000001</v>
      </c>
      <c r="D58" s="37">
        <v>561.63807999999995</v>
      </c>
      <c r="E58" s="38">
        <f t="shared" ref="E58:E99" si="3">SUM(D58/C58*100)</f>
        <v>46.997626010953645</v>
      </c>
      <c r="F58" s="38">
        <f t="shared" ref="F58:F99" si="4">SUM(D58-C58)</f>
        <v>-633.39692000000014</v>
      </c>
    </row>
    <row r="59" spans="1:7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43</v>
      </c>
      <c r="B63" s="39" t="s">
        <v>44</v>
      </c>
      <c r="C63" s="37">
        <v>24.2</v>
      </c>
      <c r="D63" s="37">
        <v>4.0345000000000004</v>
      </c>
      <c r="E63" s="38">
        <f t="shared" si="3"/>
        <v>16.671487603305788</v>
      </c>
      <c r="F63" s="38">
        <f t="shared" si="4"/>
        <v>-20.165499999999998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77.444999999999993</v>
      </c>
      <c r="E64" s="34">
        <f t="shared" si="3"/>
        <v>43.050830498298978</v>
      </c>
      <c r="F64" s="34">
        <f t="shared" si="4"/>
        <v>-102.447</v>
      </c>
    </row>
    <row r="65" spans="1:7">
      <c r="A65" s="43" t="s">
        <v>47</v>
      </c>
      <c r="B65" s="44" t="s">
        <v>48</v>
      </c>
      <c r="C65" s="37">
        <v>179.892</v>
      </c>
      <c r="D65" s="37">
        <v>77.444999999999993</v>
      </c>
      <c r="E65" s="38">
        <f t="shared" si="3"/>
        <v>43.050830498298978</v>
      </c>
      <c r="F65" s="38">
        <f t="shared" si="4"/>
        <v>-102.447</v>
      </c>
    </row>
    <row r="66" spans="1:7" s="6" customFormat="1" ht="18.75" customHeight="1">
      <c r="A66" s="30" t="s">
        <v>49</v>
      </c>
      <c r="B66" s="31" t="s">
        <v>50</v>
      </c>
      <c r="C66" s="32">
        <f>C70+C69+C68+C67+C71</f>
        <v>13.5</v>
      </c>
      <c r="D66" s="32">
        <f>D70+D69+D68+D67</f>
        <v>2.95</v>
      </c>
      <c r="E66" s="34">
        <f t="shared" si="3"/>
        <v>21.851851851851851</v>
      </c>
      <c r="F66" s="34">
        <f t="shared" si="4"/>
        <v>-10.55</v>
      </c>
    </row>
    <row r="67" spans="1:7" hidden="1">
      <c r="A67" s="35" t="s">
        <v>51</v>
      </c>
      <c r="B67" s="39" t="s">
        <v>52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55</v>
      </c>
      <c r="B69" s="47" t="s">
        <v>56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218</v>
      </c>
      <c r="B70" s="47" t="s">
        <v>219</v>
      </c>
      <c r="C70" s="37">
        <v>8.5</v>
      </c>
      <c r="D70" s="37">
        <v>2.95</v>
      </c>
      <c r="E70" s="38">
        <f>SUM(D70/C70*100)</f>
        <v>34.705882352941181</v>
      </c>
      <c r="F70" s="38">
        <f>SUM(D70-C70)</f>
        <v>-5.55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8"/>
      <c r="F71" s="38"/>
    </row>
    <row r="72" spans="1:7" s="6" customFormat="1">
      <c r="A72" s="30" t="s">
        <v>57</v>
      </c>
      <c r="B72" s="31" t="s">
        <v>58</v>
      </c>
      <c r="C72" s="48">
        <f>SUM(C73:C76)</f>
        <v>1958.6814800000002</v>
      </c>
      <c r="D72" s="48">
        <f>SUM(D73:D76)</f>
        <v>386.86744999999996</v>
      </c>
      <c r="E72" s="34">
        <f t="shared" si="3"/>
        <v>19.75142226800449</v>
      </c>
      <c r="F72" s="34">
        <f t="shared" si="4"/>
        <v>-1571.8140300000002</v>
      </c>
    </row>
    <row r="73" spans="1:7" ht="17.2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61</v>
      </c>
      <c r="B74" s="39" t="s">
        <v>62</v>
      </c>
      <c r="C74" s="49">
        <v>145</v>
      </c>
      <c r="D74" s="37">
        <v>15.69</v>
      </c>
      <c r="E74" s="38">
        <f t="shared" si="3"/>
        <v>10.820689655172414</v>
      </c>
      <c r="F74" s="38">
        <f t="shared" si="4"/>
        <v>-129.31</v>
      </c>
      <c r="G74" s="50"/>
    </row>
    <row r="75" spans="1:7">
      <c r="A75" s="35" t="s">
        <v>63</v>
      </c>
      <c r="B75" s="39" t="s">
        <v>64</v>
      </c>
      <c r="C75" s="49">
        <v>1716.9789800000001</v>
      </c>
      <c r="D75" s="37">
        <v>299.95245</v>
      </c>
      <c r="E75" s="38">
        <f t="shared" si="3"/>
        <v>17.469779973660479</v>
      </c>
      <c r="F75" s="38">
        <f t="shared" si="4"/>
        <v>-1417.0265300000001</v>
      </c>
    </row>
    <row r="76" spans="1:7">
      <c r="A76" s="35" t="s">
        <v>65</v>
      </c>
      <c r="B76" s="39" t="s">
        <v>66</v>
      </c>
      <c r="C76" s="49">
        <v>90</v>
      </c>
      <c r="D76" s="37">
        <v>71.224999999999994</v>
      </c>
      <c r="E76" s="38">
        <f t="shared" si="3"/>
        <v>79.138888888888886</v>
      </c>
      <c r="F76" s="38">
        <f t="shared" si="4"/>
        <v>-18.775000000000006</v>
      </c>
    </row>
    <row r="77" spans="1:7" s="6" customFormat="1" ht="18" customHeight="1">
      <c r="A77" s="30" t="s">
        <v>67</v>
      </c>
      <c r="B77" s="31" t="s">
        <v>68</v>
      </c>
      <c r="C77" s="32">
        <f>SUM(C78:C81)</f>
        <v>1337.009</v>
      </c>
      <c r="D77" s="32">
        <f>SUM(D78:D81)</f>
        <v>241.791</v>
      </c>
      <c r="E77" s="34">
        <f t="shared" si="3"/>
        <v>18.084470635575379</v>
      </c>
      <c r="F77" s="34">
        <f t="shared" si="4"/>
        <v>-1095.2180000000001</v>
      </c>
    </row>
    <row r="78" spans="1:7" hidden="1">
      <c r="A78" s="35" t="s">
        <v>69</v>
      </c>
      <c r="B78" s="51" t="s">
        <v>70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71</v>
      </c>
      <c r="B79" s="51" t="s">
        <v>72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73</v>
      </c>
      <c r="B80" s="39" t="s">
        <v>74</v>
      </c>
      <c r="C80" s="37">
        <v>1337.009</v>
      </c>
      <c r="D80" s="37">
        <v>241.791</v>
      </c>
      <c r="E80" s="38">
        <f t="shared" si="3"/>
        <v>18.084470635575379</v>
      </c>
      <c r="F80" s="38">
        <f t="shared" si="4"/>
        <v>-1095.2180000000001</v>
      </c>
    </row>
    <row r="81" spans="1:6" ht="31.5" hidden="1">
      <c r="A81" s="35" t="s">
        <v>263</v>
      </c>
      <c r="B81" s="39" t="s">
        <v>277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85</v>
      </c>
      <c r="B82" s="31" t="s">
        <v>86</v>
      </c>
      <c r="C82" s="32">
        <f>C83</f>
        <v>1639.1</v>
      </c>
      <c r="D82" s="32">
        <f>SUM(D83)</f>
        <v>627.50199999999995</v>
      </c>
      <c r="E82" s="34">
        <f t="shared" si="3"/>
        <v>38.283326215606124</v>
      </c>
      <c r="F82" s="34">
        <f t="shared" si="4"/>
        <v>-1011.598</v>
      </c>
    </row>
    <row r="83" spans="1:6" ht="16.5" customHeight="1">
      <c r="A83" s="35" t="s">
        <v>87</v>
      </c>
      <c r="B83" s="39" t="s">
        <v>233</v>
      </c>
      <c r="C83" s="37">
        <v>1639.1</v>
      </c>
      <c r="D83" s="37">
        <v>627.50199999999995</v>
      </c>
      <c r="E83" s="38">
        <f t="shared" si="3"/>
        <v>38.283326215606124</v>
      </c>
      <c r="F83" s="38">
        <f t="shared" si="4"/>
        <v>-1011.598</v>
      </c>
    </row>
    <row r="84" spans="1:6" s="6" customFormat="1" ht="18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89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90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91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9.5" customHeight="1">
      <c r="A90" s="35" t="s">
        <v>96</v>
      </c>
      <c r="B90" s="39" t="s">
        <v>97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118</v>
      </c>
      <c r="C99" s="267">
        <f>C56+C64+C66+C72+C77+C82+C84+C89+C95</f>
        <v>6364.4174800000001</v>
      </c>
      <c r="D99" s="267">
        <f>D56+D64+D66+D72+D77+D82+D84+D89+D95</f>
        <v>1902.2280299999998</v>
      </c>
      <c r="E99" s="34">
        <f t="shared" si="3"/>
        <v>29.888486039416755</v>
      </c>
      <c r="F99" s="34">
        <f t="shared" si="4"/>
        <v>-4462.1894499999999</v>
      </c>
    </row>
    <row r="100" spans="1:6" ht="20.25" customHeight="1">
      <c r="C100" s="249"/>
      <c r="D100" s="250"/>
    </row>
    <row r="101" spans="1:6" s="65" customFormat="1" ht="13.5" customHeight="1">
      <c r="A101" s="63" t="s">
        <v>119</v>
      </c>
      <c r="B101" s="63"/>
      <c r="C101" s="64"/>
      <c r="D101" s="64"/>
    </row>
    <row r="102" spans="1:6" s="65" customFormat="1" ht="12.75">
      <c r="A102" s="66" t="s">
        <v>120</v>
      </c>
      <c r="B102" s="66"/>
      <c r="C102" s="134" t="s">
        <v>121</v>
      </c>
      <c r="D102" s="134"/>
    </row>
    <row r="103" spans="1:6" ht="5.25" customHeight="1"/>
    <row r="142" hidden="1"/>
  </sheetData>
  <customSheetViews>
    <customSheetView guid="{B30CE22D-C12F-4E12-8BB9-3AAE0A6991CC}" scale="70" showPageBreaks="1" hiddenRows="1" view="pageBreakPreview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8"/>
    </customSheetView>
    <customSheetView guid="{61528DAC-5C4C-48F4-ADE2-8A724B05A086}" scale="70" showPageBreaks="1" hiddenRows="1" view="pageBreakPreview" topLeftCell="A25">
      <selection activeCell="D90" sqref="D90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SheetLayoutView="70" workbookViewId="0">
      <selection activeCell="F23" sqref="F23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4" t="s">
        <v>432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1828.2080000000001</v>
      </c>
      <c r="D4" s="5">
        <f>D5+D12+D14+D17+D7+D20</f>
        <v>648.13586000000009</v>
      </c>
      <c r="E4" s="5">
        <f>SUM(D4/C4*100)</f>
        <v>35.451975923964888</v>
      </c>
      <c r="F4" s="5">
        <f>SUM(D4-C4)</f>
        <v>-1180.07214</v>
      </c>
    </row>
    <row r="5" spans="1:6" s="6" customFormat="1">
      <c r="A5" s="68">
        <v>1010000000</v>
      </c>
      <c r="B5" s="67" t="s">
        <v>5</v>
      </c>
      <c r="C5" s="5">
        <f>C6</f>
        <v>111.54300000000001</v>
      </c>
      <c r="D5" s="5">
        <f>D6</f>
        <v>68.574650000000005</v>
      </c>
      <c r="E5" s="5">
        <f t="shared" ref="E5:E51" si="0">SUM(D5/C5*100)</f>
        <v>61.478219162116851</v>
      </c>
      <c r="F5" s="5">
        <f t="shared" ref="F5:F48" si="1">SUM(D5-C5)</f>
        <v>-42.968350000000001</v>
      </c>
    </row>
    <row r="6" spans="1:6">
      <c r="A6" s="7">
        <v>1010200001</v>
      </c>
      <c r="B6" s="8" t="s">
        <v>228</v>
      </c>
      <c r="C6" s="9">
        <v>111.54300000000001</v>
      </c>
      <c r="D6" s="10">
        <v>68.574650000000005</v>
      </c>
      <c r="E6" s="9">
        <f t="shared" ref="E6:E11" si="2">SUM(D6/C6*100)</f>
        <v>61.478219162116851</v>
      </c>
      <c r="F6" s="9">
        <f t="shared" si="1"/>
        <v>-42.968350000000001</v>
      </c>
    </row>
    <row r="7" spans="1:6" ht="31.5">
      <c r="A7" s="3">
        <v>1030000000</v>
      </c>
      <c r="B7" s="13" t="s">
        <v>280</v>
      </c>
      <c r="C7" s="5">
        <f>C8+C10+C9</f>
        <v>523.66500000000008</v>
      </c>
      <c r="D7" s="5">
        <f>D8+D10+D9+D11</f>
        <v>300.38933000000003</v>
      </c>
      <c r="E7" s="9">
        <f t="shared" si="2"/>
        <v>57.362880849397989</v>
      </c>
      <c r="F7" s="9">
        <f t="shared" si="1"/>
        <v>-223.27567000000005</v>
      </c>
    </row>
    <row r="8" spans="1:6">
      <c r="A8" s="7">
        <v>1030223001</v>
      </c>
      <c r="B8" s="8" t="s">
        <v>282</v>
      </c>
      <c r="C8" s="9">
        <v>195.33</v>
      </c>
      <c r="D8" s="10">
        <v>136.36412999999999</v>
      </c>
      <c r="E8" s="9">
        <f t="shared" si="2"/>
        <v>69.812179388726761</v>
      </c>
      <c r="F8" s="9">
        <f t="shared" si="1"/>
        <v>-58.965870000000024</v>
      </c>
    </row>
    <row r="9" spans="1:6">
      <c r="A9" s="7">
        <v>1030224001</v>
      </c>
      <c r="B9" s="8" t="s">
        <v>288</v>
      </c>
      <c r="C9" s="9">
        <v>2.0950000000000002</v>
      </c>
      <c r="D9" s="10">
        <v>1.0346200000000001</v>
      </c>
      <c r="E9" s="9">
        <f t="shared" si="2"/>
        <v>49.385202863961815</v>
      </c>
      <c r="F9" s="9">
        <f t="shared" si="1"/>
        <v>-1.0603800000000001</v>
      </c>
    </row>
    <row r="10" spans="1:6">
      <c r="A10" s="7">
        <v>1030225001</v>
      </c>
      <c r="B10" s="8" t="s">
        <v>281</v>
      </c>
      <c r="C10" s="9">
        <v>326.24</v>
      </c>
      <c r="D10" s="10">
        <v>188.96489</v>
      </c>
      <c r="E10" s="9">
        <f t="shared" si="2"/>
        <v>57.922048185384988</v>
      </c>
      <c r="F10" s="9">
        <f t="shared" si="1"/>
        <v>-137.27511000000001</v>
      </c>
    </row>
    <row r="11" spans="1:6">
      <c r="A11" s="7">
        <v>1030226001</v>
      </c>
      <c r="B11" s="8" t="s">
        <v>290</v>
      </c>
      <c r="C11" s="9">
        <v>0</v>
      </c>
      <c r="D11" s="10">
        <v>-25.974309999999999</v>
      </c>
      <c r="E11" s="9" t="e">
        <f t="shared" si="2"/>
        <v>#DIV/0!</v>
      </c>
      <c r="F11" s="9">
        <f t="shared" si="1"/>
        <v>-25.974309999999999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D13</f>
        <v>98.753339999999994</v>
      </c>
      <c r="E12" s="5">
        <f t="shared" si="0"/>
        <v>219.45186666666666</v>
      </c>
      <c r="F12" s="5">
        <f t="shared" si="1"/>
        <v>53.753339999999994</v>
      </c>
    </row>
    <row r="13" spans="1:6" ht="15.75" customHeight="1">
      <c r="A13" s="7">
        <v>1050300000</v>
      </c>
      <c r="B13" s="11" t="s">
        <v>229</v>
      </c>
      <c r="C13" s="12">
        <v>45</v>
      </c>
      <c r="D13" s="10">
        <v>98.753339999999994</v>
      </c>
      <c r="E13" s="9">
        <f t="shared" si="0"/>
        <v>219.45186666666666</v>
      </c>
      <c r="F13" s="9">
        <f t="shared" si="1"/>
        <v>53.753339999999994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1138</v>
      </c>
      <c r="D14" s="5">
        <f>D15+D16</f>
        <v>177.26854</v>
      </c>
      <c r="E14" s="5">
        <f t="shared" si="0"/>
        <v>15.57720035149385</v>
      </c>
      <c r="F14" s="5">
        <f t="shared" si="1"/>
        <v>-960.73145999999997</v>
      </c>
    </row>
    <row r="15" spans="1:6" s="6" customFormat="1" ht="15.75" customHeight="1">
      <c r="A15" s="7">
        <v>1060100000</v>
      </c>
      <c r="B15" s="11" t="s">
        <v>8</v>
      </c>
      <c r="C15" s="9">
        <v>138</v>
      </c>
      <c r="D15" s="10">
        <v>7.8413899999999996</v>
      </c>
      <c r="E15" s="9">
        <f t="shared" si="0"/>
        <v>5.6821666666666664</v>
      </c>
      <c r="F15" s="9">
        <f>SUM(D15-C15)</f>
        <v>-130.15861000000001</v>
      </c>
    </row>
    <row r="16" spans="1:6" ht="15.75" customHeight="1">
      <c r="A16" s="7">
        <v>1060600000</v>
      </c>
      <c r="B16" s="11" t="s">
        <v>7</v>
      </c>
      <c r="C16" s="9">
        <v>1000</v>
      </c>
      <c r="D16" s="10">
        <v>169.42715000000001</v>
      </c>
      <c r="E16" s="9">
        <f t="shared" si="0"/>
        <v>16.942715</v>
      </c>
      <c r="F16" s="9">
        <f t="shared" si="1"/>
        <v>-830.57285000000002</v>
      </c>
    </row>
    <row r="17" spans="1:6" s="6" customFormat="1">
      <c r="A17" s="3">
        <v>1080000000</v>
      </c>
      <c r="B17" s="4" t="s">
        <v>10</v>
      </c>
      <c r="C17" s="5">
        <f>C18+C19</f>
        <v>10</v>
      </c>
      <c r="D17" s="5">
        <f>D18+D19</f>
        <v>3.15</v>
      </c>
      <c r="E17" s="5">
        <f t="shared" si="0"/>
        <v>31.5</v>
      </c>
      <c r="F17" s="5">
        <f t="shared" si="1"/>
        <v>-6.85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3.15</v>
      </c>
      <c r="E18" s="9">
        <f t="shared" si="0"/>
        <v>31.5</v>
      </c>
      <c r="F18" s="9">
        <f t="shared" si="1"/>
        <v>-6.85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127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89</v>
      </c>
      <c r="D25" s="5">
        <f>D26+D29+D31+D36+D34</f>
        <v>26.741270000000004</v>
      </c>
      <c r="E25" s="5">
        <f t="shared" si="0"/>
        <v>30.046370786516857</v>
      </c>
      <c r="F25" s="5">
        <f t="shared" si="1"/>
        <v>-62.25873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89</v>
      </c>
      <c r="D26" s="266">
        <f>D27+D28</f>
        <v>24.396880000000003</v>
      </c>
      <c r="E26" s="5">
        <f t="shared" si="0"/>
        <v>27.412224719101125</v>
      </c>
      <c r="F26" s="5">
        <f t="shared" si="1"/>
        <v>-64.60311999999999</v>
      </c>
    </row>
    <row r="27" spans="1:6">
      <c r="A27" s="16">
        <v>1110502510</v>
      </c>
      <c r="B27" s="17" t="s">
        <v>225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224</v>
      </c>
      <c r="C28" s="12">
        <v>6</v>
      </c>
      <c r="D28" s="10">
        <v>3.3868800000000001</v>
      </c>
      <c r="E28" s="9">
        <f t="shared" si="0"/>
        <v>56.448</v>
      </c>
      <c r="F28" s="9">
        <f t="shared" si="1"/>
        <v>-2.6131199999999999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2.3443900000000002</v>
      </c>
      <c r="E29" s="5" t="e">
        <f t="shared" si="0"/>
        <v>#DIV/0!</v>
      </c>
      <c r="F29" s="5">
        <f t="shared" si="1"/>
        <v>2.3443900000000002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2.3443900000000002</v>
      </c>
      <c r="E30" s="9" t="e">
        <f t="shared" si="0"/>
        <v>#DIV/0!</v>
      </c>
      <c r="F30" s="9">
        <f t="shared" si="1"/>
        <v>2.3443900000000002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267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1917.2080000000001</v>
      </c>
      <c r="D39" s="127">
        <f>SUM(D4,D25)</f>
        <v>674.87713000000008</v>
      </c>
      <c r="E39" s="5">
        <f t="shared" si="0"/>
        <v>35.201038697939921</v>
      </c>
      <c r="F39" s="5">
        <f t="shared" si="1"/>
        <v>-1242.33087</v>
      </c>
    </row>
    <row r="40" spans="1:7" s="6" customFormat="1">
      <c r="A40" s="3">
        <v>2000000000</v>
      </c>
      <c r="B40" s="4" t="s">
        <v>19</v>
      </c>
      <c r="C40" s="248">
        <f>C41+C42+C43+C44+C48+C49</f>
        <v>5504.3069999999998</v>
      </c>
      <c r="D40" s="248">
        <f>D41+D42+D43+D44+D48+D49+D50</f>
        <v>2142.7343999999998</v>
      </c>
      <c r="E40" s="5">
        <f t="shared" si="0"/>
        <v>38.928322856991805</v>
      </c>
      <c r="F40" s="5">
        <f t="shared" si="1"/>
        <v>-3361.5726</v>
      </c>
      <c r="G40" s="19"/>
    </row>
    <row r="41" spans="1:7">
      <c r="A41" s="16">
        <v>2021000000</v>
      </c>
      <c r="B41" s="17" t="s">
        <v>20</v>
      </c>
      <c r="C41" s="12">
        <v>2862</v>
      </c>
      <c r="D41" s="20">
        <v>1431</v>
      </c>
      <c r="E41" s="9">
        <f t="shared" si="0"/>
        <v>50</v>
      </c>
      <c r="F41" s="9">
        <f t="shared" si="1"/>
        <v>-1431</v>
      </c>
    </row>
    <row r="42" spans="1:7" ht="17.25" customHeight="1">
      <c r="A42" s="16">
        <v>2021500200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21</v>
      </c>
      <c r="C43" s="12">
        <v>2060.44</v>
      </c>
      <c r="D43" s="10">
        <v>396.66399999999999</v>
      </c>
      <c r="E43" s="9">
        <f t="shared" si="0"/>
        <v>19.251422026363301</v>
      </c>
      <c r="F43" s="9">
        <f t="shared" si="1"/>
        <v>-1663.7760000000001</v>
      </c>
    </row>
    <row r="44" spans="1:7" ht="18" customHeight="1">
      <c r="A44" s="16">
        <v>2023000000</v>
      </c>
      <c r="B44" s="17" t="s">
        <v>22</v>
      </c>
      <c r="C44" s="12">
        <v>182.04300000000001</v>
      </c>
      <c r="D44" s="200">
        <v>90.246399999999994</v>
      </c>
      <c r="E44" s="9">
        <f t="shared" si="0"/>
        <v>49.574221475145983</v>
      </c>
      <c r="F44" s="9">
        <f t="shared" si="1"/>
        <v>-91.796600000000012</v>
      </c>
    </row>
    <row r="45" spans="1:7" ht="0.75" hidden="1" customHeight="1">
      <c r="A45" s="16">
        <v>2020400000</v>
      </c>
      <c r="B45" s="17" t="s">
        <v>23</v>
      </c>
      <c r="C45" s="12"/>
      <c r="D45" s="20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24</v>
      </c>
      <c r="C46" s="12"/>
      <c r="D46" s="20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25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2020400000</v>
      </c>
      <c r="B48" s="8" t="s">
        <v>23</v>
      </c>
      <c r="C48" s="12">
        <v>175</v>
      </c>
      <c r="D48" s="10">
        <v>0</v>
      </c>
      <c r="E48" s="9">
        <f t="shared" si="0"/>
        <v>0</v>
      </c>
      <c r="F48" s="9">
        <f t="shared" si="1"/>
        <v>-175</v>
      </c>
    </row>
    <row r="49" spans="1:7" s="6" customFormat="1" ht="18.75" customHeight="1">
      <c r="A49" s="7">
        <v>2070500010</v>
      </c>
      <c r="B49" s="8" t="s">
        <v>352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25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27</v>
      </c>
      <c r="C51" s="264">
        <f>C39+C40</f>
        <v>7421.5149999999994</v>
      </c>
      <c r="D51" s="264">
        <f>SUM(D39,D40,)</f>
        <v>2817.6115300000001</v>
      </c>
      <c r="E51" s="5">
        <f t="shared" si="0"/>
        <v>37.965449507277157</v>
      </c>
      <c r="F51" s="5">
        <f>SUM(D51-C51)</f>
        <v>-4603.9034699999993</v>
      </c>
      <c r="G51" s="213"/>
    </row>
    <row r="52" spans="1:7" s="6" customFormat="1">
      <c r="A52" s="3"/>
      <c r="B52" s="21" t="s">
        <v>320</v>
      </c>
      <c r="C52" s="264">
        <f>C51-C98</f>
        <v>-288.5238500000014</v>
      </c>
      <c r="D52" s="264">
        <f>D51-D98</f>
        <v>448.27166000000034</v>
      </c>
      <c r="E52" s="22"/>
      <c r="F52" s="22"/>
    </row>
    <row r="53" spans="1:7">
      <c r="A53" s="23"/>
      <c r="B53" s="24"/>
      <c r="C53" s="199"/>
      <c r="D53" s="199"/>
      <c r="E53" s="26"/>
      <c r="F53" s="92"/>
    </row>
    <row r="54" spans="1:7" ht="60" customHeight="1">
      <c r="A54" s="28" t="s">
        <v>0</v>
      </c>
      <c r="B54" s="28" t="s">
        <v>28</v>
      </c>
      <c r="C54" s="192" t="s">
        <v>411</v>
      </c>
      <c r="D54" s="193" t="s">
        <v>424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29</v>
      </c>
      <c r="B56" s="31" t="s">
        <v>30</v>
      </c>
      <c r="C56" s="32">
        <f>C57+C58+C59+C60+C61+C63+C62</f>
        <v>1377.5060000000001</v>
      </c>
      <c r="D56" s="195">
        <f>D57+D58+D59+D60+D61+D63+D62</f>
        <v>612.38807999999995</v>
      </c>
      <c r="E56" s="34">
        <f>SUM(D56/C56*100)</f>
        <v>44.456291297460766</v>
      </c>
      <c r="F56" s="34">
        <f>SUM(D56-C56)</f>
        <v>-765.11792000000014</v>
      </c>
    </row>
    <row r="57" spans="1:7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7">
      <c r="A58" s="35" t="s">
        <v>33</v>
      </c>
      <c r="B58" s="39" t="s">
        <v>34</v>
      </c>
      <c r="C58" s="37">
        <v>1348</v>
      </c>
      <c r="D58" s="37">
        <v>607.88257999999996</v>
      </c>
      <c r="E58" s="38">
        <f t="shared" ref="E58:E98" si="3">SUM(D58/C58*100)</f>
        <v>45.095146884272999</v>
      </c>
      <c r="F58" s="38">
        <f t="shared" ref="F58:F98" si="4">SUM(D58-C58)</f>
        <v>-740.11742000000004</v>
      </c>
    </row>
    <row r="59" spans="1:7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43</v>
      </c>
      <c r="B63" s="39" t="s">
        <v>44</v>
      </c>
      <c r="C63" s="37">
        <v>24.506</v>
      </c>
      <c r="D63" s="37">
        <v>4.5054999999999996</v>
      </c>
      <c r="E63" s="38">
        <f t="shared" si="3"/>
        <v>18.385293397535296</v>
      </c>
      <c r="F63" s="38">
        <f t="shared" si="4"/>
        <v>-20.000500000000002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78.514330000000001</v>
      </c>
      <c r="E64" s="34">
        <f>SUM(D64/C64*100)</f>
        <v>43.64525937784893</v>
      </c>
      <c r="F64" s="34">
        <f t="shared" si="4"/>
        <v>-101.37766999999999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78.514330000000001</v>
      </c>
      <c r="E65" s="296">
        <f>SUM(D65/C65*100)</f>
        <v>43.64525937784893</v>
      </c>
      <c r="F65" s="38">
        <f t="shared" si="4"/>
        <v>-101.37766999999999</v>
      </c>
    </row>
    <row r="66" spans="1:7" s="6" customFormat="1" ht="18" customHeight="1">
      <c r="A66" s="30" t="s">
        <v>49</v>
      </c>
      <c r="B66" s="31" t="s">
        <v>50</v>
      </c>
      <c r="C66" s="32">
        <f>C69+C70+C71</f>
        <v>9.6999999999999993</v>
      </c>
      <c r="D66" s="32">
        <f>D69+D70</f>
        <v>0.65</v>
      </c>
      <c r="E66" s="34">
        <f t="shared" si="3"/>
        <v>6.7010309278350526</v>
      </c>
      <c r="F66" s="34">
        <f t="shared" si="4"/>
        <v>-9.0499999999999989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5.7</v>
      </c>
      <c r="D69" s="37">
        <v>0</v>
      </c>
      <c r="E69" s="34">
        <f t="shared" si="3"/>
        <v>0</v>
      </c>
      <c r="F69" s="34">
        <f t="shared" si="4"/>
        <v>-5.7</v>
      </c>
    </row>
    <row r="70" spans="1:7" ht="15.75" customHeight="1">
      <c r="A70" s="46" t="s">
        <v>218</v>
      </c>
      <c r="B70" s="47" t="s">
        <v>219</v>
      </c>
      <c r="C70" s="37">
        <v>2</v>
      </c>
      <c r="D70" s="37">
        <v>0.65</v>
      </c>
      <c r="E70" s="34">
        <f t="shared" si="3"/>
        <v>32.5</v>
      </c>
      <c r="F70" s="34">
        <f t="shared" si="4"/>
        <v>-1.35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57</v>
      </c>
      <c r="B72" s="31" t="s">
        <v>58</v>
      </c>
      <c r="C72" s="48">
        <f>C73+C74+C75+C76</f>
        <v>3450.3148500000002</v>
      </c>
      <c r="D72" s="48">
        <f>SUM(D73:D76)</f>
        <v>525.43029000000001</v>
      </c>
      <c r="E72" s="34">
        <f t="shared" si="3"/>
        <v>15.228473714507532</v>
      </c>
      <c r="F72" s="34">
        <f t="shared" si="4"/>
        <v>-2924.8845600000004</v>
      </c>
    </row>
    <row r="73" spans="1:7" ht="15" customHeight="1">
      <c r="A73" s="35" t="s">
        <v>59</v>
      </c>
      <c r="B73" s="39" t="s">
        <v>60</v>
      </c>
      <c r="C73" s="49">
        <v>5.3620000000000001</v>
      </c>
      <c r="D73" s="37">
        <v>1.3405</v>
      </c>
      <c r="E73" s="38">
        <f t="shared" si="3"/>
        <v>25</v>
      </c>
      <c r="F73" s="38">
        <f t="shared" si="4"/>
        <v>-4.0214999999999996</v>
      </c>
    </row>
    <row r="74" spans="1:7" s="6" customFormat="1" ht="15" customHeight="1">
      <c r="A74" s="35" t="s">
        <v>61</v>
      </c>
      <c r="B74" s="39" t="s">
        <v>62</v>
      </c>
      <c r="C74" s="49">
        <v>256</v>
      </c>
      <c r="D74" s="37">
        <v>47.432980000000001</v>
      </c>
      <c r="E74" s="38">
        <f t="shared" si="3"/>
        <v>18.528507812499999</v>
      </c>
      <c r="F74" s="38">
        <f t="shared" si="4"/>
        <v>-208.56702000000001</v>
      </c>
      <c r="G74" s="50"/>
    </row>
    <row r="75" spans="1:7">
      <c r="A75" s="35" t="s">
        <v>63</v>
      </c>
      <c r="B75" s="39" t="s">
        <v>64</v>
      </c>
      <c r="C75" s="49">
        <v>2938.9528500000001</v>
      </c>
      <c r="D75" s="37">
        <v>450.75680999999997</v>
      </c>
      <c r="E75" s="38">
        <f t="shared" si="3"/>
        <v>15.337327034695367</v>
      </c>
      <c r="F75" s="38">
        <f t="shared" si="4"/>
        <v>-2488.1960400000003</v>
      </c>
    </row>
    <row r="76" spans="1:7">
      <c r="A76" s="35" t="s">
        <v>65</v>
      </c>
      <c r="B76" s="39" t="s">
        <v>66</v>
      </c>
      <c r="C76" s="49">
        <v>250</v>
      </c>
      <c r="D76" s="37">
        <v>25.9</v>
      </c>
      <c r="E76" s="38">
        <f t="shared" si="3"/>
        <v>10.36</v>
      </c>
      <c r="F76" s="38">
        <f t="shared" si="4"/>
        <v>-224.1</v>
      </c>
    </row>
    <row r="77" spans="1:7" s="6" customFormat="1" ht="18" customHeight="1">
      <c r="A77" s="30" t="s">
        <v>67</v>
      </c>
      <c r="B77" s="31" t="s">
        <v>68</v>
      </c>
      <c r="C77" s="32">
        <f>SUM(C78:C80)</f>
        <v>639.46900000000005</v>
      </c>
      <c r="D77" s="32">
        <f>SUM(D78:D80)</f>
        <v>99.35</v>
      </c>
      <c r="E77" s="34">
        <f t="shared" si="3"/>
        <v>15.536327796969045</v>
      </c>
      <c r="F77" s="34">
        <f t="shared" si="4"/>
        <v>-540.11900000000003</v>
      </c>
    </row>
    <row r="78" spans="1:7" ht="14.25" hidden="1" customHeight="1">
      <c r="A78" s="35" t="s">
        <v>69</v>
      </c>
      <c r="B78" s="51" t="s">
        <v>70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71</v>
      </c>
      <c r="B79" s="51" t="s">
        <v>72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73</v>
      </c>
      <c r="B80" s="39" t="s">
        <v>74</v>
      </c>
      <c r="C80" s="37">
        <v>639.46900000000005</v>
      </c>
      <c r="D80" s="37">
        <v>99.35</v>
      </c>
      <c r="E80" s="38">
        <f t="shared" si="3"/>
        <v>15.536327796969045</v>
      </c>
      <c r="F80" s="38">
        <f t="shared" si="4"/>
        <v>-540.11900000000003</v>
      </c>
    </row>
    <row r="81" spans="1:6" s="6" customFormat="1">
      <c r="A81" s="30" t="s">
        <v>85</v>
      </c>
      <c r="B81" s="31" t="s">
        <v>86</v>
      </c>
      <c r="C81" s="32">
        <f>C82</f>
        <v>2028.6880000000001</v>
      </c>
      <c r="D81" s="32">
        <f>D82</f>
        <v>1048.53817</v>
      </c>
      <c r="E81" s="34">
        <f>SUM(D81/C81*100)</f>
        <v>51.685531239894942</v>
      </c>
      <c r="F81" s="34">
        <f t="shared" si="4"/>
        <v>-980.14983000000007</v>
      </c>
    </row>
    <row r="82" spans="1:6" ht="15.75" customHeight="1">
      <c r="A82" s="35" t="s">
        <v>87</v>
      </c>
      <c r="B82" s="39" t="s">
        <v>233</v>
      </c>
      <c r="C82" s="37">
        <v>2028.6880000000001</v>
      </c>
      <c r="D82" s="37">
        <v>1048.53817</v>
      </c>
      <c r="E82" s="38">
        <f>SUM(D82/C82*100)</f>
        <v>51.685531239894942</v>
      </c>
      <c r="F82" s="38">
        <f t="shared" si="4"/>
        <v>-980.14983000000007</v>
      </c>
    </row>
    <row r="83" spans="1:6" s="6" customFormat="1" ht="1.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94</v>
      </c>
      <c r="B88" s="31" t="s">
        <v>95</v>
      </c>
      <c r="C88" s="32">
        <f>C89+C90+C91+C92+C93</f>
        <v>24.469000000000001</v>
      </c>
      <c r="D88" s="32">
        <f>D89+D90+D91+D92+D93</f>
        <v>4.4690000000000003</v>
      </c>
      <c r="E88" s="38">
        <f t="shared" si="3"/>
        <v>18.263925783644609</v>
      </c>
      <c r="F88" s="22">
        <f>F89+F90+F91+F92+F93</f>
        <v>-20</v>
      </c>
    </row>
    <row r="89" spans="1:6" ht="18.75" customHeight="1">
      <c r="A89" s="35" t="s">
        <v>96</v>
      </c>
      <c r="B89" s="39" t="s">
        <v>97</v>
      </c>
      <c r="C89" s="37">
        <v>24.469000000000001</v>
      </c>
      <c r="D89" s="37">
        <v>4.4690000000000003</v>
      </c>
      <c r="E89" s="38">
        <f t="shared" si="3"/>
        <v>18.263925783644609</v>
      </c>
      <c r="F89" s="38">
        <f>SUM(D89-C89)</f>
        <v>-20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118</v>
      </c>
      <c r="C98" s="267">
        <f>C56+C64+C66+C72+C77+C81+C83+C88+C94</f>
        <v>7710.0388500000008</v>
      </c>
      <c r="D98" s="267">
        <f>D56+D64+D66+D72+D77+D81+D83+D88+D94</f>
        <v>2369.3398699999998</v>
      </c>
      <c r="E98" s="34">
        <f t="shared" si="3"/>
        <v>30.730582764832626</v>
      </c>
      <c r="F98" s="34">
        <f t="shared" si="4"/>
        <v>-5340.698980000001</v>
      </c>
      <c r="G98" s="213"/>
    </row>
    <row r="99" spans="1:7" ht="0.75" customHeight="1">
      <c r="C99" s="126"/>
      <c r="D99" s="101"/>
    </row>
    <row r="100" spans="1:7" s="65" customFormat="1" ht="16.5" customHeight="1">
      <c r="A100" s="63" t="s">
        <v>119</v>
      </c>
      <c r="B100" s="63"/>
      <c r="C100" s="198"/>
      <c r="D100" s="198"/>
    </row>
    <row r="101" spans="1:7" s="65" customFormat="1" ht="20.25" customHeight="1">
      <c r="A101" s="66" t="s">
        <v>120</v>
      </c>
      <c r="B101" s="66"/>
      <c r="C101" s="65" t="s">
        <v>121</v>
      </c>
    </row>
    <row r="102" spans="1:7" ht="13.5" customHeight="1">
      <c r="C102" s="120"/>
    </row>
    <row r="103" spans="1:7" ht="5.25" customHeight="1"/>
    <row r="143" hidden="1"/>
  </sheetData>
  <customSheetViews>
    <customSheetView guid="{B30CE22D-C12F-4E12-8BB9-3AAE0A6991CC}" scale="70" showPageBreaks="1" hiddenRows="1" view="pageBreakPreview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8"/>
    </customSheetView>
    <customSheetView guid="{61528DAC-5C4C-48F4-ADE2-8A724B05A086}" scale="70" showPageBreaks="1" hiddenRows="1" view="pageBreakPreview" topLeftCell="A28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3"/>
  <sheetViews>
    <sheetView view="pageBreakPreview" topLeftCell="A28" zoomScale="70" zoomScaleSheetLayoutView="70" workbookViewId="0">
      <selection activeCell="F23" sqref="F23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433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1489.3039999999999</v>
      </c>
      <c r="D4" s="5">
        <f>D5+D12+D14+D17+D20+D7</f>
        <v>391.41508999999996</v>
      </c>
      <c r="E4" s="5">
        <f>SUM(D4/C4*100)</f>
        <v>26.281745701347742</v>
      </c>
      <c r="F4" s="5">
        <f>SUM(D4-C4)</f>
        <v>-1097.8889099999999</v>
      </c>
    </row>
    <row r="5" spans="1:6" s="6" customFormat="1">
      <c r="A5" s="68">
        <v>1010000000</v>
      </c>
      <c r="B5" s="67" t="s">
        <v>5</v>
      </c>
      <c r="C5" s="5">
        <f>C6</f>
        <v>105.069</v>
      </c>
      <c r="D5" s="5">
        <f>D6</f>
        <v>52.051850000000002</v>
      </c>
      <c r="E5" s="5">
        <f t="shared" ref="E5:E51" si="0">SUM(D5/C5*100)</f>
        <v>49.540635201629406</v>
      </c>
      <c r="F5" s="5">
        <f t="shared" ref="F5:F51" si="1">SUM(D5-C5)</f>
        <v>-53.017150000000001</v>
      </c>
    </row>
    <row r="6" spans="1:6">
      <c r="A6" s="7">
        <v>1010200001</v>
      </c>
      <c r="B6" s="8" t="s">
        <v>228</v>
      </c>
      <c r="C6" s="9">
        <v>105.069</v>
      </c>
      <c r="D6" s="10">
        <v>52.051850000000002</v>
      </c>
      <c r="E6" s="9">
        <f t="shared" ref="E6:E11" si="2">SUM(D6/C6*100)</f>
        <v>49.540635201629406</v>
      </c>
      <c r="F6" s="9">
        <f t="shared" si="1"/>
        <v>-53.017150000000001</v>
      </c>
    </row>
    <row r="7" spans="1:6" ht="31.5">
      <c r="A7" s="3">
        <v>1030000000</v>
      </c>
      <c r="B7" s="13" t="s">
        <v>280</v>
      </c>
      <c r="C7" s="5">
        <f>C8+C10+C9</f>
        <v>726.2349999999999</v>
      </c>
      <c r="D7" s="5">
        <f>D8+D10+D9+D11</f>
        <v>416.58931999999999</v>
      </c>
      <c r="E7" s="5">
        <f t="shared" si="2"/>
        <v>57.362881161056691</v>
      </c>
      <c r="F7" s="5">
        <f t="shared" si="1"/>
        <v>-309.64567999999991</v>
      </c>
    </row>
    <row r="8" spans="1:6">
      <c r="A8" s="7">
        <v>1030223001</v>
      </c>
      <c r="B8" s="8" t="s">
        <v>282</v>
      </c>
      <c r="C8" s="9">
        <v>270.89</v>
      </c>
      <c r="D8" s="10">
        <v>189.11403999999999</v>
      </c>
      <c r="E8" s="9">
        <f t="shared" si="2"/>
        <v>69.812115618885898</v>
      </c>
      <c r="F8" s="9">
        <f t="shared" si="1"/>
        <v>-81.775959999999998</v>
      </c>
    </row>
    <row r="9" spans="1:6">
      <c r="A9" s="7">
        <v>1030224001</v>
      </c>
      <c r="B9" s="8" t="s">
        <v>288</v>
      </c>
      <c r="C9" s="9">
        <v>2.9049999999999998</v>
      </c>
      <c r="D9" s="10">
        <v>1.43483</v>
      </c>
      <c r="E9" s="9">
        <f>SUM(D9/C9*100)</f>
        <v>49.391738382099831</v>
      </c>
      <c r="F9" s="9">
        <f t="shared" si="1"/>
        <v>-1.4701699999999998</v>
      </c>
    </row>
    <row r="10" spans="1:6">
      <c r="A10" s="7">
        <v>1030225001</v>
      </c>
      <c r="B10" s="8" t="s">
        <v>281</v>
      </c>
      <c r="C10" s="9">
        <v>452.44</v>
      </c>
      <c r="D10" s="10">
        <v>262.06243000000001</v>
      </c>
      <c r="E10" s="9">
        <f t="shared" si="2"/>
        <v>57.922029440367787</v>
      </c>
      <c r="F10" s="9">
        <f t="shared" si="1"/>
        <v>-190.37756999999999</v>
      </c>
    </row>
    <row r="11" spans="1:6">
      <c r="A11" s="7">
        <v>1030226001</v>
      </c>
      <c r="B11" s="8" t="s">
        <v>290</v>
      </c>
      <c r="C11" s="9">
        <v>0</v>
      </c>
      <c r="D11" s="10">
        <v>-36.021979999999999</v>
      </c>
      <c r="E11" s="9" t="e">
        <f t="shared" si="2"/>
        <v>#DIV/0!</v>
      </c>
      <c r="F11" s="9">
        <f t="shared" si="1"/>
        <v>-36.021979999999999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52.619700000000002</v>
      </c>
      <c r="E12" s="5">
        <f t="shared" si="0"/>
        <v>210.47880000000001</v>
      </c>
      <c r="F12" s="5">
        <f t="shared" si="1"/>
        <v>27.619700000000002</v>
      </c>
    </row>
    <row r="13" spans="1:6" ht="15.75" customHeight="1">
      <c r="A13" s="7">
        <v>1050300000</v>
      </c>
      <c r="B13" s="11" t="s">
        <v>229</v>
      </c>
      <c r="C13" s="12">
        <v>25</v>
      </c>
      <c r="D13" s="10">
        <v>52.619700000000002</v>
      </c>
      <c r="E13" s="9">
        <f t="shared" si="0"/>
        <v>210.47880000000001</v>
      </c>
      <c r="F13" s="9">
        <f t="shared" si="1"/>
        <v>27.619700000000002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623</v>
      </c>
      <c r="D14" s="5">
        <f>D15+D16</f>
        <v>-134.54578000000001</v>
      </c>
      <c r="E14" s="5">
        <f t="shared" si="0"/>
        <v>-21.596433386837884</v>
      </c>
      <c r="F14" s="5">
        <f t="shared" si="1"/>
        <v>-757.54578000000004</v>
      </c>
    </row>
    <row r="15" spans="1:6" s="6" customFormat="1" ht="15.75" customHeight="1">
      <c r="A15" s="7">
        <v>1060100000</v>
      </c>
      <c r="B15" s="11" t="s">
        <v>8</v>
      </c>
      <c r="C15" s="9">
        <v>153</v>
      </c>
      <c r="D15" s="10">
        <v>7.2134299999999998</v>
      </c>
      <c r="E15" s="9">
        <f t="shared" si="0"/>
        <v>4.7146601307189542</v>
      </c>
      <c r="F15" s="9">
        <f>SUM(D15-C15)</f>
        <v>-145.78657000000001</v>
      </c>
    </row>
    <row r="16" spans="1:6" ht="15.75" customHeight="1">
      <c r="A16" s="7">
        <v>1060600000</v>
      </c>
      <c r="B16" s="11" t="s">
        <v>7</v>
      </c>
      <c r="C16" s="9">
        <v>470</v>
      </c>
      <c r="D16" s="10">
        <v>-141.75921</v>
      </c>
      <c r="E16" s="9">
        <f t="shared" si="0"/>
        <v>-30.161534042553189</v>
      </c>
      <c r="F16" s="9">
        <f t="shared" si="1"/>
        <v>-611.75920999999994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4.7</v>
      </c>
      <c r="E17" s="5">
        <f t="shared" si="0"/>
        <v>47</v>
      </c>
      <c r="F17" s="5">
        <f t="shared" si="1"/>
        <v>-5.3</v>
      </c>
    </row>
    <row r="18" spans="1:6" ht="17.25" customHeight="1">
      <c r="A18" s="7">
        <v>1080400001</v>
      </c>
      <c r="B18" s="8" t="s">
        <v>227</v>
      </c>
      <c r="C18" s="9">
        <v>10</v>
      </c>
      <c r="D18" s="10">
        <v>4.7</v>
      </c>
      <c r="E18" s="9">
        <f t="shared" si="0"/>
        <v>47</v>
      </c>
      <c r="F18" s="9">
        <f t="shared" si="1"/>
        <v>-5.3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</f>
        <v>350</v>
      </c>
      <c r="D25" s="5">
        <f>D26+D29+D32+D37+D35</f>
        <v>462.98600999999996</v>
      </c>
      <c r="E25" s="5">
        <f t="shared" si="0"/>
        <v>132.28171714285713</v>
      </c>
      <c r="F25" s="5">
        <f t="shared" si="1"/>
        <v>112.98600999999996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350</v>
      </c>
      <c r="D26" s="5">
        <f>D27+D28</f>
        <v>440.65161999999998</v>
      </c>
      <c r="E26" s="5">
        <f t="shared" si="0"/>
        <v>125.90046285714284</v>
      </c>
      <c r="F26" s="5">
        <f t="shared" si="1"/>
        <v>90.65161999999998</v>
      </c>
    </row>
    <row r="27" spans="1:6">
      <c r="A27" s="16">
        <v>1110502510</v>
      </c>
      <c r="B27" s="17" t="s">
        <v>225</v>
      </c>
      <c r="C27" s="12">
        <v>300</v>
      </c>
      <c r="D27" s="10">
        <v>402.13209999999998</v>
      </c>
      <c r="E27" s="9">
        <f t="shared" si="0"/>
        <v>134.04403333333332</v>
      </c>
      <c r="F27" s="9">
        <f t="shared" si="1"/>
        <v>102.13209999999998</v>
      </c>
    </row>
    <row r="28" spans="1:6" ht="18" customHeight="1">
      <c r="A28" s="7">
        <v>1110503505</v>
      </c>
      <c r="B28" s="11" t="s">
        <v>224</v>
      </c>
      <c r="C28" s="12">
        <v>50</v>
      </c>
      <c r="D28" s="10">
        <v>38.51952</v>
      </c>
      <c r="E28" s="9">
        <f t="shared" si="0"/>
        <v>77.03904</v>
      </c>
      <c r="F28" s="9">
        <f t="shared" si="1"/>
        <v>-11.48048</v>
      </c>
    </row>
    <row r="29" spans="1:6" s="15" customFormat="1" ht="18" customHeight="1">
      <c r="A29" s="68">
        <v>1130000000</v>
      </c>
      <c r="B29" s="69" t="s">
        <v>130</v>
      </c>
      <c r="C29" s="5">
        <f>C30+C31</f>
        <v>0</v>
      </c>
      <c r="D29" s="5">
        <f>D30+D31</f>
        <v>22.334389999999999</v>
      </c>
      <c r="E29" s="5" t="e">
        <f t="shared" si="0"/>
        <v>#DIV/0!</v>
      </c>
      <c r="F29" s="5">
        <f t="shared" si="1"/>
        <v>22.334389999999999</v>
      </c>
    </row>
    <row r="30" spans="1:6" ht="15.75" customHeight="1">
      <c r="A30" s="7">
        <v>1130206510</v>
      </c>
      <c r="B30" s="8" t="s">
        <v>337</v>
      </c>
      <c r="C30" s="9">
        <v>0</v>
      </c>
      <c r="D30" s="227">
        <v>22.334389999999999</v>
      </c>
      <c r="E30" s="9" t="e">
        <f t="shared" si="0"/>
        <v>#DIV/0!</v>
      </c>
      <c r="F30" s="9">
        <f t="shared" si="1"/>
        <v>22.334389999999999</v>
      </c>
    </row>
    <row r="31" spans="1:6" ht="17.25" customHeight="1">
      <c r="A31" s="7">
        <v>1130299510</v>
      </c>
      <c r="B31" s="8" t="s">
        <v>354</v>
      </c>
      <c r="C31" s="9">
        <v>0</v>
      </c>
      <c r="D31" s="227">
        <v>0</v>
      </c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1839.3039999999999</v>
      </c>
      <c r="D40" s="127">
        <f>D4+D25</f>
        <v>854.40109999999993</v>
      </c>
      <c r="E40" s="5">
        <f t="shared" si="0"/>
        <v>46.452413521636444</v>
      </c>
      <c r="F40" s="5">
        <f t="shared" si="1"/>
        <v>-984.90289999999993</v>
      </c>
    </row>
    <row r="41" spans="1:7" s="6" customFormat="1">
      <c r="A41" s="3">
        <v>2000000000</v>
      </c>
      <c r="B41" s="4" t="s">
        <v>19</v>
      </c>
      <c r="C41" s="248">
        <f>C42+C43+C44+C45+C46+C48</f>
        <v>7462.9954299999999</v>
      </c>
      <c r="D41" s="248">
        <f>D42+D43+D44+D45+D46+D48+D49</f>
        <v>1498.8830000000003</v>
      </c>
      <c r="E41" s="5">
        <f t="shared" si="0"/>
        <v>20.084200962722555</v>
      </c>
      <c r="F41" s="5">
        <f t="shared" si="1"/>
        <v>-5964.1124299999992</v>
      </c>
      <c r="G41" s="19"/>
    </row>
    <row r="42" spans="1:7">
      <c r="A42" s="16">
        <v>2021000000</v>
      </c>
      <c r="B42" s="17" t="s">
        <v>20</v>
      </c>
      <c r="C42" s="99">
        <v>1424.6</v>
      </c>
      <c r="D42" s="99">
        <v>712.30200000000002</v>
      </c>
      <c r="E42" s="9">
        <f t="shared" si="0"/>
        <v>50.000140390284997</v>
      </c>
      <c r="F42" s="9">
        <f t="shared" si="1"/>
        <v>-712.29799999999989</v>
      </c>
    </row>
    <row r="43" spans="1:7" ht="15.75" customHeight="1">
      <c r="A43" s="16">
        <v>2021500200</v>
      </c>
      <c r="B43" s="17" t="s">
        <v>231</v>
      </c>
      <c r="C43" s="99">
        <v>280</v>
      </c>
      <c r="D43" s="20">
        <v>130</v>
      </c>
      <c r="E43" s="9">
        <f>SUM(D43/C43*100)</f>
        <v>46.428571428571431</v>
      </c>
      <c r="F43" s="9">
        <f>SUM(D43-C43)</f>
        <v>-150</v>
      </c>
    </row>
    <row r="44" spans="1:7">
      <c r="A44" s="16">
        <v>2022000000</v>
      </c>
      <c r="B44" s="17" t="s">
        <v>21</v>
      </c>
      <c r="C44" s="99">
        <v>4448.5478199999998</v>
      </c>
      <c r="D44" s="10">
        <v>377.03199999999998</v>
      </c>
      <c r="E44" s="9">
        <f t="shared" si="0"/>
        <v>8.4753950110398044</v>
      </c>
      <c r="F44" s="9">
        <f t="shared" si="1"/>
        <v>-4071.5158199999996</v>
      </c>
    </row>
    <row r="45" spans="1:7" ht="18" customHeight="1">
      <c r="A45" s="16">
        <v>2023000000</v>
      </c>
      <c r="B45" s="17" t="s">
        <v>22</v>
      </c>
      <c r="C45" s="12">
        <v>181.68199999999999</v>
      </c>
      <c r="D45" s="200">
        <v>89.649000000000001</v>
      </c>
      <c r="E45" s="9">
        <f t="shared" si="0"/>
        <v>49.343908587532063</v>
      </c>
      <c r="F45" s="9">
        <f t="shared" si="1"/>
        <v>-92.032999999999987</v>
      </c>
    </row>
    <row r="46" spans="1:7" ht="22.5" customHeight="1">
      <c r="A46" s="16">
        <v>2020400000</v>
      </c>
      <c r="B46" s="17" t="s">
        <v>23</v>
      </c>
      <c r="C46" s="12">
        <v>620</v>
      </c>
      <c r="D46" s="201">
        <v>0</v>
      </c>
      <c r="E46" s="9">
        <f t="shared" si="0"/>
        <v>0</v>
      </c>
      <c r="F46" s="9">
        <f t="shared" si="1"/>
        <v>-620</v>
      </c>
    </row>
    <row r="47" spans="1:7" ht="32.25" customHeight="1">
      <c r="A47" s="16">
        <v>2020900000</v>
      </c>
      <c r="B47" s="18" t="s">
        <v>24</v>
      </c>
      <c r="C47" s="12">
        <v>0</v>
      </c>
      <c r="D47" s="201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352</v>
      </c>
      <c r="C48" s="12">
        <v>508.16561000000002</v>
      </c>
      <c r="D48" s="201">
        <v>189.9</v>
      </c>
      <c r="E48" s="9">
        <f t="shared" si="0"/>
        <v>37.369707092142654</v>
      </c>
      <c r="F48" s="9">
        <f t="shared" si="1"/>
        <v>-318.26561000000004</v>
      </c>
    </row>
    <row r="49" spans="1:8" ht="19.5" customHeight="1">
      <c r="A49" s="7">
        <v>2190500005</v>
      </c>
      <c r="B49" s="11" t="s">
        <v>25</v>
      </c>
      <c r="C49" s="12">
        <v>0</v>
      </c>
      <c r="D49" s="201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26</v>
      </c>
      <c r="C50" s="20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27</v>
      </c>
      <c r="C51" s="264">
        <f>C40+C41</f>
        <v>9302.2994299999991</v>
      </c>
      <c r="D51" s="264">
        <f>D40+D41</f>
        <v>2353.2841000000003</v>
      </c>
      <c r="E51" s="93">
        <f t="shared" si="0"/>
        <v>25.297875194284092</v>
      </c>
      <c r="F51" s="93">
        <f t="shared" si="1"/>
        <v>-6949.0153299999984</v>
      </c>
      <c r="G51" s="213">
        <f>7662.29943-C51</f>
        <v>-1639.9999999999991</v>
      </c>
      <c r="H51" s="213">
        <f>1130.4405-D51</f>
        <v>-1222.8436000000004</v>
      </c>
    </row>
    <row r="52" spans="1:8" s="6" customFormat="1">
      <c r="A52" s="3"/>
      <c r="B52" s="21" t="s">
        <v>320</v>
      </c>
      <c r="C52" s="93">
        <f>C51-C99</f>
        <v>-434.22364000000198</v>
      </c>
      <c r="D52" s="93">
        <f>D51-D99</f>
        <v>628.59449000000041</v>
      </c>
      <c r="E52" s="208"/>
      <c r="F52" s="208"/>
    </row>
    <row r="53" spans="1:8">
      <c r="A53" s="23"/>
      <c r="B53" s="24"/>
      <c r="C53" s="199"/>
      <c r="D53" s="199"/>
      <c r="E53" s="26"/>
      <c r="F53" s="27"/>
    </row>
    <row r="54" spans="1:8" ht="45" customHeight="1">
      <c r="A54" s="28" t="s">
        <v>0</v>
      </c>
      <c r="B54" s="28" t="s">
        <v>28</v>
      </c>
      <c r="C54" s="192" t="s">
        <v>411</v>
      </c>
      <c r="D54" s="193" t="s">
        <v>424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29</v>
      </c>
      <c r="B56" s="31" t="s">
        <v>30</v>
      </c>
      <c r="C56" s="32">
        <f>C57+C58+C59+C60+C61+C63+C62</f>
        <v>1109.4089999999999</v>
      </c>
      <c r="D56" s="33">
        <f>D57+D58+D59+D60+D61+D63+D62</f>
        <v>446.76800000000003</v>
      </c>
      <c r="E56" s="34">
        <f>SUM(D56/C56*100)</f>
        <v>40.270810855149008</v>
      </c>
      <c r="F56" s="34">
        <f>SUM(D56-C56)</f>
        <v>-662.64099999999985</v>
      </c>
    </row>
    <row r="57" spans="1:8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1079.2149999999999</v>
      </c>
      <c r="D58" s="37">
        <v>441.57400000000001</v>
      </c>
      <c r="E58" s="38">
        <f t="shared" ref="E58:E99" si="3">SUM(D58/C58*100)</f>
        <v>40.916221512858883</v>
      </c>
      <c r="F58" s="38">
        <f t="shared" ref="F58:F99" si="4">SUM(D58-C58)</f>
        <v>-637.64099999999985</v>
      </c>
    </row>
    <row r="59" spans="1:8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43</v>
      </c>
      <c r="B63" s="39" t="s">
        <v>44</v>
      </c>
      <c r="C63" s="37">
        <v>25.193999999999999</v>
      </c>
      <c r="D63" s="37">
        <v>5.194</v>
      </c>
      <c r="E63" s="38">
        <f t="shared" si="3"/>
        <v>20.616019687227119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179.892</v>
      </c>
      <c r="D64" s="32">
        <f>D65</f>
        <v>79.729690000000005</v>
      </c>
      <c r="E64" s="34">
        <f t="shared" si="3"/>
        <v>44.32086474106687</v>
      </c>
      <c r="F64" s="34">
        <f t="shared" si="4"/>
        <v>-100.16230999999999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79.729690000000005</v>
      </c>
      <c r="E65" s="38">
        <f t="shared" si="3"/>
        <v>44.32086474106687</v>
      </c>
      <c r="F65" s="38">
        <f t="shared" si="4"/>
        <v>-100.16230999999999</v>
      </c>
    </row>
    <row r="66" spans="1:7" s="6" customFormat="1" ht="15" customHeight="1">
      <c r="A66" s="30" t="s">
        <v>49</v>
      </c>
      <c r="B66" s="31" t="s">
        <v>50</v>
      </c>
      <c r="C66" s="32">
        <f>C69+C70+C71</f>
        <v>38.99</v>
      </c>
      <c r="D66" s="286">
        <f>D69+D70</f>
        <v>34.79</v>
      </c>
      <c r="E66" s="34">
        <f t="shared" si="3"/>
        <v>89.228007181328536</v>
      </c>
      <c r="F66" s="34">
        <f t="shared" si="4"/>
        <v>-4.2000000000000028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218</v>
      </c>
      <c r="B70" s="47" t="s">
        <v>219</v>
      </c>
      <c r="C70" s="37">
        <v>36.79</v>
      </c>
      <c r="D70" s="37">
        <v>34.79</v>
      </c>
      <c r="E70" s="34">
        <f t="shared" si="3"/>
        <v>94.563740146779026</v>
      </c>
      <c r="F70" s="34">
        <f t="shared" si="4"/>
        <v>-2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57</v>
      </c>
      <c r="B72" s="31" t="s">
        <v>58</v>
      </c>
      <c r="C72" s="48">
        <f>SUM(C73:C77)</f>
        <v>6183.4035700000004</v>
      </c>
      <c r="D72" s="48">
        <f>SUM(D73:D77)</f>
        <v>460.93525</v>
      </c>
      <c r="E72" s="34">
        <f t="shared" si="3"/>
        <v>7.4543937619779195</v>
      </c>
      <c r="F72" s="34">
        <f t="shared" si="4"/>
        <v>-5722.4683199999999</v>
      </c>
    </row>
    <row r="73" spans="1:7" ht="15" customHeight="1">
      <c r="A73" s="35" t="s">
        <v>59</v>
      </c>
      <c r="B73" s="39" t="s">
        <v>60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1115.00665</v>
      </c>
      <c r="D74" s="37">
        <v>26.020130000000002</v>
      </c>
      <c r="E74" s="38">
        <f t="shared" si="3"/>
        <v>2.3336300281258415</v>
      </c>
      <c r="F74" s="38">
        <f t="shared" si="4"/>
        <v>-1088.9865199999999</v>
      </c>
      <c r="G74" s="50"/>
    </row>
    <row r="75" spans="1:7" s="6" customFormat="1" ht="15" hidden="1" customHeight="1">
      <c r="A75" s="35" t="s">
        <v>61</v>
      </c>
      <c r="B75" s="39" t="s">
        <v>62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4904.3754200000003</v>
      </c>
      <c r="D76" s="37">
        <v>428.44511999999997</v>
      </c>
      <c r="E76" s="38">
        <f t="shared" si="3"/>
        <v>8.7359772307153438</v>
      </c>
      <c r="F76" s="38">
        <f t="shared" si="4"/>
        <v>-4475.9303</v>
      </c>
    </row>
    <row r="77" spans="1:7">
      <c r="A77" s="35" t="s">
        <v>65</v>
      </c>
      <c r="B77" s="39" t="s">
        <v>66</v>
      </c>
      <c r="C77" s="49">
        <v>160</v>
      </c>
      <c r="D77" s="37">
        <v>6.47</v>
      </c>
      <c r="E77" s="38">
        <f t="shared" si="3"/>
        <v>4.0437500000000002</v>
      </c>
      <c r="F77" s="38">
        <f t="shared" si="4"/>
        <v>-153.53</v>
      </c>
    </row>
    <row r="78" spans="1:7" s="6" customFormat="1" ht="17.25" customHeight="1">
      <c r="A78" s="30" t="s">
        <v>67</v>
      </c>
      <c r="B78" s="31" t="s">
        <v>68</v>
      </c>
      <c r="C78" s="32">
        <f>SUM(C79:C81)</f>
        <v>699.72850000000005</v>
      </c>
      <c r="D78" s="32">
        <f>SUM(D79:D81)</f>
        <v>90.152670000000001</v>
      </c>
      <c r="E78" s="34">
        <f t="shared" si="3"/>
        <v>12.883949989174374</v>
      </c>
      <c r="F78" s="34">
        <f t="shared" si="4"/>
        <v>-609.57583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699.72850000000005</v>
      </c>
      <c r="D81" s="37">
        <v>90.152670000000001</v>
      </c>
      <c r="E81" s="38">
        <f t="shared" si="3"/>
        <v>12.883949989174374</v>
      </c>
      <c r="F81" s="38">
        <f t="shared" si="4"/>
        <v>-609.57583</v>
      </c>
    </row>
    <row r="82" spans="1:6" s="6" customFormat="1">
      <c r="A82" s="30" t="s">
        <v>85</v>
      </c>
      <c r="B82" s="31" t="s">
        <v>86</v>
      </c>
      <c r="C82" s="32">
        <f>C83</f>
        <v>1500.1</v>
      </c>
      <c r="D82" s="32">
        <f>D83</f>
        <v>612.31399999999996</v>
      </c>
      <c r="E82" s="34">
        <f t="shared" si="3"/>
        <v>40.818212119192054</v>
      </c>
      <c r="F82" s="34">
        <f t="shared" si="4"/>
        <v>-887.78599999999994</v>
      </c>
    </row>
    <row r="83" spans="1:6" ht="18.75" customHeight="1">
      <c r="A83" s="35" t="s">
        <v>87</v>
      </c>
      <c r="B83" s="39" t="s">
        <v>233</v>
      </c>
      <c r="C83" s="37">
        <v>1500.1</v>
      </c>
      <c r="D83" s="37">
        <v>612.31399999999996</v>
      </c>
      <c r="E83" s="38">
        <f t="shared" si="3"/>
        <v>40.818212119192054</v>
      </c>
      <c r="F83" s="38">
        <f t="shared" si="4"/>
        <v>-887.78599999999994</v>
      </c>
    </row>
    <row r="84" spans="1:6" s="6" customFormat="1" ht="21.75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customHeight="1">
      <c r="A85" s="53">
        <v>1001</v>
      </c>
      <c r="B85" s="54" t="s">
        <v>89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9.5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hidden="1" customHeight="1">
      <c r="A89" s="30" t="s">
        <v>94</v>
      </c>
      <c r="B89" s="31" t="s">
        <v>95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96</v>
      </c>
      <c r="B90" s="39" t="s">
        <v>97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22.5" hidden="1" customHeight="1">
      <c r="A95" s="52">
        <v>1400</v>
      </c>
      <c r="B95" s="56" t="s">
        <v>114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94</v>
      </c>
      <c r="B97" s="31" t="s">
        <v>95</v>
      </c>
      <c r="C97" s="48">
        <f>C98</f>
        <v>25</v>
      </c>
      <c r="D97" s="32">
        <f>D98</f>
        <v>0</v>
      </c>
      <c r="E97" s="34">
        <f t="shared" si="3"/>
        <v>0</v>
      </c>
      <c r="F97" s="34">
        <f t="shared" si="4"/>
        <v>-25</v>
      </c>
    </row>
    <row r="98" spans="1:8" ht="18" customHeight="1">
      <c r="A98" s="35" t="s">
        <v>96</v>
      </c>
      <c r="B98" s="39" t="s">
        <v>97</v>
      </c>
      <c r="C98" s="49">
        <v>25</v>
      </c>
      <c r="D98" s="37">
        <v>0</v>
      </c>
      <c r="E98" s="38">
        <f t="shared" si="3"/>
        <v>0</v>
      </c>
      <c r="F98" s="38">
        <f t="shared" si="4"/>
        <v>-25</v>
      </c>
    </row>
    <row r="99" spans="1:8" s="6" customFormat="1">
      <c r="A99" s="52"/>
      <c r="B99" s="57" t="s">
        <v>118</v>
      </c>
      <c r="C99" s="267">
        <f>C56+C64+C66+C72+C78+C82+C97+C84</f>
        <v>9736.5230700000011</v>
      </c>
      <c r="D99" s="267">
        <f>D56+D64+D66+D72+D78+D82+D97+D84</f>
        <v>1724.6896099999999</v>
      </c>
      <c r="E99" s="34">
        <f t="shared" si="3"/>
        <v>17.71360882730389</v>
      </c>
      <c r="F99" s="34">
        <f t="shared" si="4"/>
        <v>-8011.8334600000017</v>
      </c>
      <c r="G99" s="213">
        <f>8096.52307-C99</f>
        <v>-1640.0000000000009</v>
      </c>
      <c r="H99" s="213">
        <f>899.25122-D99</f>
        <v>-825.43838999999991</v>
      </c>
    </row>
    <row r="100" spans="1:8" ht="16.5" customHeight="1">
      <c r="C100" s="126"/>
      <c r="D100" s="101"/>
    </row>
    <row r="101" spans="1:8" s="65" customFormat="1" ht="20.25" customHeight="1">
      <c r="A101" s="63" t="s">
        <v>119</v>
      </c>
      <c r="B101" s="63"/>
      <c r="C101" s="116"/>
      <c r="D101" s="64" t="s">
        <v>274</v>
      </c>
    </row>
    <row r="102" spans="1:8" s="65" customFormat="1" ht="13.5" customHeight="1">
      <c r="A102" s="66" t="s">
        <v>120</v>
      </c>
      <c r="B102" s="66"/>
      <c r="C102" s="65" t="s">
        <v>121</v>
      </c>
    </row>
    <row r="104" spans="1:8" ht="5.25" customHeight="1"/>
    <row r="143" hidden="1"/>
  </sheetData>
  <customSheetViews>
    <customSheetView guid="{B30CE22D-C12F-4E12-8BB9-3AAE0A6991CC}" scale="70" showPageBreaks="1" printArea="1" hiddenRows="1" view="pageBreakPreview" topLeftCell="A3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  <customSheetView guid="{61528DAC-5C4C-48F4-ADE2-8A724B05A086}" scale="70" showPageBreaks="1" printArea="1" hiddenRows="1" view="pageBreakPreview" topLeftCell="A37">
      <selection activeCell="C99" sqref="C99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view="pageBreakPreview" zoomScale="70" zoomScaleSheetLayoutView="70" workbookViewId="0">
      <selection activeCell="F23" sqref="F23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434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997.29200000000003</v>
      </c>
      <c r="D4" s="5">
        <f>D5+D12+D14+D17+D7</f>
        <v>522.09582</v>
      </c>
      <c r="E4" s="5">
        <f>SUM(D4/C4*100)</f>
        <v>52.351349454322303</v>
      </c>
      <c r="F4" s="5">
        <f>SUM(D4-C4)</f>
        <v>-475.19618000000003</v>
      </c>
    </row>
    <row r="5" spans="1:6" s="6" customFormat="1">
      <c r="A5" s="68">
        <v>1010000000</v>
      </c>
      <c r="B5" s="67" t="s">
        <v>5</v>
      </c>
      <c r="C5" s="5">
        <f>C6</f>
        <v>79.421999999999997</v>
      </c>
      <c r="D5" s="5">
        <f>D6</f>
        <v>30.972619999999999</v>
      </c>
      <c r="E5" s="5">
        <f t="shared" ref="E5:E49" si="0">SUM(D5/C5*100)</f>
        <v>38.99753216992773</v>
      </c>
      <c r="F5" s="5">
        <f t="shared" ref="F5:F49" si="1">SUM(D5-C5)</f>
        <v>-48.449379999999998</v>
      </c>
    </row>
    <row r="6" spans="1:6">
      <c r="A6" s="7">
        <v>1010200001</v>
      </c>
      <c r="B6" s="8" t="s">
        <v>228</v>
      </c>
      <c r="C6" s="9">
        <v>79.421999999999997</v>
      </c>
      <c r="D6" s="10">
        <v>30.972619999999999</v>
      </c>
      <c r="E6" s="9">
        <f t="shared" ref="E6:E11" si="2">SUM(D6/C6*100)</f>
        <v>38.99753216992773</v>
      </c>
      <c r="F6" s="9">
        <f t="shared" si="1"/>
        <v>-48.449379999999998</v>
      </c>
    </row>
    <row r="7" spans="1:6" ht="31.5">
      <c r="A7" s="3">
        <v>1030000000</v>
      </c>
      <c r="B7" s="13" t="s">
        <v>280</v>
      </c>
      <c r="C7" s="5">
        <f>C8+C10+C9</f>
        <v>331.87</v>
      </c>
      <c r="D7" s="5">
        <f>D8+D10+D9+D11</f>
        <v>190.37020000000001</v>
      </c>
      <c r="E7" s="5">
        <f t="shared" si="2"/>
        <v>57.362883056618564</v>
      </c>
      <c r="F7" s="5">
        <f t="shared" si="1"/>
        <v>-141.49979999999999</v>
      </c>
    </row>
    <row r="8" spans="1:6">
      <c r="A8" s="7">
        <v>1030223001</v>
      </c>
      <c r="B8" s="8" t="s">
        <v>282</v>
      </c>
      <c r="C8" s="9">
        <v>123.79</v>
      </c>
      <c r="D8" s="10">
        <v>86.420069999999996</v>
      </c>
      <c r="E8" s="9">
        <f t="shared" si="2"/>
        <v>69.811834558526527</v>
      </c>
      <c r="F8" s="9">
        <f t="shared" si="1"/>
        <v>-37.369930000000011</v>
      </c>
    </row>
    <row r="9" spans="1:6">
      <c r="A9" s="7">
        <v>1030224001</v>
      </c>
      <c r="B9" s="8" t="s">
        <v>288</v>
      </c>
      <c r="C9" s="9">
        <v>1.33</v>
      </c>
      <c r="D9" s="10">
        <v>0.65568000000000004</v>
      </c>
      <c r="E9" s="9">
        <f t="shared" si="2"/>
        <v>49.299248120300753</v>
      </c>
      <c r="F9" s="9">
        <f t="shared" si="1"/>
        <v>-0.67432000000000003</v>
      </c>
    </row>
    <row r="10" spans="1:6">
      <c r="A10" s="7">
        <v>1030225001</v>
      </c>
      <c r="B10" s="8" t="s">
        <v>281</v>
      </c>
      <c r="C10" s="9">
        <v>206.75</v>
      </c>
      <c r="D10" s="10">
        <v>119.75554</v>
      </c>
      <c r="E10" s="9">
        <f t="shared" si="2"/>
        <v>57.922873035066502</v>
      </c>
      <c r="F10" s="9">
        <f t="shared" si="1"/>
        <v>-86.994460000000004</v>
      </c>
    </row>
    <row r="11" spans="1:6">
      <c r="A11" s="7">
        <v>1030226001</v>
      </c>
      <c r="B11" s="8" t="s">
        <v>290</v>
      </c>
      <c r="C11" s="9">
        <v>0</v>
      </c>
      <c r="D11" s="10">
        <v>-16.461089999999999</v>
      </c>
      <c r="E11" s="9" t="e">
        <f t="shared" si="2"/>
        <v>#DIV/0!</v>
      </c>
      <c r="F11" s="9">
        <f t="shared" si="1"/>
        <v>-16.461089999999999</v>
      </c>
    </row>
    <row r="12" spans="1:6" s="6" customFormat="1">
      <c r="A12" s="68">
        <v>1050000000</v>
      </c>
      <c r="B12" s="67" t="s">
        <v>6</v>
      </c>
      <c r="C12" s="5">
        <f>SUM(C13:C13)</f>
        <v>5</v>
      </c>
      <c r="D12" s="5">
        <f>SUM(D13:D13)</f>
        <v>5.5998900000000003</v>
      </c>
      <c r="E12" s="5">
        <f t="shared" si="0"/>
        <v>111.99780000000001</v>
      </c>
      <c r="F12" s="5">
        <f t="shared" si="1"/>
        <v>0.59989000000000026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5.5998900000000003</v>
      </c>
      <c r="E13" s="9">
        <f t="shared" si="0"/>
        <v>111.99780000000001</v>
      </c>
      <c r="F13" s="9">
        <f t="shared" si="1"/>
        <v>0.59989000000000026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571</v>
      </c>
      <c r="D14" s="5">
        <f>D15+D16</f>
        <v>292.75310999999999</v>
      </c>
      <c r="E14" s="5">
        <f t="shared" si="0"/>
        <v>51.270246935201399</v>
      </c>
      <c r="F14" s="5">
        <f t="shared" si="1"/>
        <v>-278.24689000000001</v>
      </c>
    </row>
    <row r="15" spans="1:6" s="6" customFormat="1" ht="15.75" customHeight="1">
      <c r="A15" s="7">
        <v>1060100000</v>
      </c>
      <c r="B15" s="11" t="s">
        <v>8</v>
      </c>
      <c r="C15" s="9">
        <v>179</v>
      </c>
      <c r="D15" s="10">
        <v>244.01373000000001</v>
      </c>
      <c r="E15" s="9">
        <f t="shared" si="0"/>
        <v>136.32051955307261</v>
      </c>
      <c r="F15" s="9">
        <f>SUM(D15-C15)</f>
        <v>65.01373000000001</v>
      </c>
    </row>
    <row r="16" spans="1:6" ht="15.75" customHeight="1">
      <c r="A16" s="7">
        <v>1060600000</v>
      </c>
      <c r="B16" s="11" t="s">
        <v>7</v>
      </c>
      <c r="C16" s="9">
        <v>392</v>
      </c>
      <c r="D16" s="10">
        <v>48.739379999999997</v>
      </c>
      <c r="E16" s="9">
        <f t="shared" si="0"/>
        <v>12.433515306122448</v>
      </c>
      <c r="F16" s="9">
        <f t="shared" si="1"/>
        <v>-343.26062000000002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2.4</v>
      </c>
      <c r="E17" s="5">
        <f t="shared" si="0"/>
        <v>24</v>
      </c>
      <c r="F17" s="5">
        <f t="shared" si="1"/>
        <v>-7.6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2.4</v>
      </c>
      <c r="E18" s="9">
        <f t="shared" si="0"/>
        <v>24</v>
      </c>
      <c r="F18" s="9">
        <f t="shared" si="1"/>
        <v>-7.6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</v>
      </c>
      <c r="D25" s="5">
        <f>D27+D29+D34</f>
        <v>76.967389999999995</v>
      </c>
      <c r="E25" s="5">
        <f t="shared" si="0"/>
        <v>240.52309374999999</v>
      </c>
      <c r="F25" s="5">
        <f t="shared" si="1"/>
        <v>44.967389999999995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32</v>
      </c>
      <c r="D26" s="5">
        <f>D27</f>
        <v>76.967389999999995</v>
      </c>
      <c r="E26" s="5">
        <f t="shared" si="0"/>
        <v>240.52309374999999</v>
      </c>
      <c r="F26" s="5">
        <f t="shared" si="1"/>
        <v>44.967389999999995</v>
      </c>
    </row>
    <row r="27" spans="1:6" ht="17.25" customHeight="1">
      <c r="A27" s="16">
        <v>1110502510</v>
      </c>
      <c r="B27" s="17" t="s">
        <v>225</v>
      </c>
      <c r="C27" s="12">
        <v>32</v>
      </c>
      <c r="D27" s="10">
        <v>76.967389999999995</v>
      </c>
      <c r="E27" s="9">
        <f t="shared" si="0"/>
        <v>240.52309374999999</v>
      </c>
      <c r="F27" s="9">
        <f t="shared" si="1"/>
        <v>44.967389999999995</v>
      </c>
    </row>
    <row r="28" spans="1:6" ht="0.7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131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idden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18</v>
      </c>
      <c r="C37" s="127">
        <f>SUM(C4,C25)</f>
        <v>1029.2919999999999</v>
      </c>
      <c r="D37" s="127">
        <f>D4+D25</f>
        <v>599.06321000000003</v>
      </c>
      <c r="E37" s="5">
        <f t="shared" si="0"/>
        <v>58.201483155411694</v>
      </c>
      <c r="F37" s="5">
        <f t="shared" si="1"/>
        <v>-430.22878999999989</v>
      </c>
    </row>
    <row r="38" spans="1:7" s="6" customFormat="1">
      <c r="A38" s="3">
        <v>2000000000</v>
      </c>
      <c r="B38" s="4" t="s">
        <v>19</v>
      </c>
      <c r="C38" s="5">
        <f>C39+C41+C42+C43+C44+C45</f>
        <v>4031.9576300000003</v>
      </c>
      <c r="D38" s="5">
        <f>D39+D41+D42+D43+D45</f>
        <v>891.21519999999998</v>
      </c>
      <c r="E38" s="5">
        <f t="shared" si="0"/>
        <v>22.103783863423185</v>
      </c>
      <c r="F38" s="5">
        <f t="shared" si="1"/>
        <v>-3140.7424300000002</v>
      </c>
      <c r="G38" s="19"/>
    </row>
    <row r="39" spans="1:7" ht="14.25" customHeight="1">
      <c r="A39" s="16">
        <v>2021000000</v>
      </c>
      <c r="B39" s="17" t="s">
        <v>20</v>
      </c>
      <c r="C39" s="99">
        <v>1275.4000000000001</v>
      </c>
      <c r="D39" s="99">
        <v>637.69799999999998</v>
      </c>
      <c r="E39" s="9">
        <f t="shared" si="0"/>
        <v>49.999843186451301</v>
      </c>
      <c r="F39" s="9">
        <f t="shared" si="1"/>
        <v>-637.70200000000011</v>
      </c>
    </row>
    <row r="40" spans="1:7" ht="15.75" hidden="1" customHeight="1">
      <c r="A40" s="16">
        <v>2020100310</v>
      </c>
      <c r="B40" s="17" t="s">
        <v>231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231</v>
      </c>
      <c r="C41" s="99">
        <v>90</v>
      </c>
      <c r="D41" s="20">
        <v>45</v>
      </c>
      <c r="E41" s="9">
        <f t="shared" si="0"/>
        <v>50</v>
      </c>
      <c r="F41" s="9">
        <f t="shared" si="1"/>
        <v>-45</v>
      </c>
    </row>
    <row r="42" spans="1:7">
      <c r="A42" s="16">
        <v>2022000000</v>
      </c>
      <c r="B42" s="17" t="s">
        <v>21</v>
      </c>
      <c r="C42" s="99">
        <v>1537.9304299999999</v>
      </c>
      <c r="D42" s="10">
        <v>157.52000000000001</v>
      </c>
      <c r="E42" s="9">
        <f t="shared" si="0"/>
        <v>10.242335864308245</v>
      </c>
      <c r="F42" s="9">
        <f t="shared" si="1"/>
        <v>-1380.4104299999999</v>
      </c>
    </row>
    <row r="43" spans="1:7" ht="17.25" customHeight="1">
      <c r="A43" s="16">
        <v>2023000000</v>
      </c>
      <c r="B43" s="17" t="s">
        <v>22</v>
      </c>
      <c r="C43" s="12">
        <v>92.456000000000003</v>
      </c>
      <c r="D43" s="200">
        <v>44.826000000000001</v>
      </c>
      <c r="E43" s="9">
        <f t="shared" si="0"/>
        <v>48.48360301116206</v>
      </c>
      <c r="F43" s="9">
        <f t="shared" si="1"/>
        <v>-47.63</v>
      </c>
    </row>
    <row r="44" spans="1:7" ht="15" customHeight="1">
      <c r="A44" s="16">
        <v>2020400000</v>
      </c>
      <c r="B44" s="17" t="s">
        <v>23</v>
      </c>
      <c r="C44" s="12">
        <v>1030</v>
      </c>
      <c r="D44" s="201">
        <v>0</v>
      </c>
      <c r="E44" s="9">
        <f t="shared" si="0"/>
        <v>0</v>
      </c>
      <c r="F44" s="9">
        <f t="shared" si="1"/>
        <v>-1030</v>
      </c>
    </row>
    <row r="45" spans="1:7" ht="14.25" customHeight="1">
      <c r="A45" s="16">
        <v>2070500010</v>
      </c>
      <c r="B45" s="8" t="s">
        <v>352</v>
      </c>
      <c r="C45" s="12">
        <v>6.1711999999999998</v>
      </c>
      <c r="D45" s="201">
        <v>6.1711999999999998</v>
      </c>
      <c r="E45" s="9">
        <f t="shared" si="0"/>
        <v>100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26</v>
      </c>
      <c r="C47" s="20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325</v>
      </c>
      <c r="C48" s="204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27</v>
      </c>
      <c r="C49" s="207">
        <f>C37+C38</f>
        <v>5061.2496300000003</v>
      </c>
      <c r="D49" s="207">
        <f>D37+D38</f>
        <v>1490.2784099999999</v>
      </c>
      <c r="E49" s="5">
        <f t="shared" si="0"/>
        <v>29.444870712689976</v>
      </c>
      <c r="F49" s="5">
        <f t="shared" si="1"/>
        <v>-3570.9712200000004</v>
      </c>
      <c r="G49" s="213"/>
      <c r="H49" s="263"/>
    </row>
    <row r="50" spans="1:8" s="6" customFormat="1" ht="15.75" customHeight="1">
      <c r="A50" s="3"/>
      <c r="B50" s="21" t="s">
        <v>320</v>
      </c>
      <c r="C50" s="207">
        <f>C49-C96</f>
        <v>-283.55249999999978</v>
      </c>
      <c r="D50" s="207">
        <f>D49-D96</f>
        <v>271.17651999999998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0</v>
      </c>
      <c r="B52" s="28" t="s">
        <v>28</v>
      </c>
      <c r="C52" s="197" t="s">
        <v>411</v>
      </c>
      <c r="D52" s="73" t="s">
        <v>424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29</v>
      </c>
      <c r="B54" s="31" t="s">
        <v>30</v>
      </c>
      <c r="C54" s="32">
        <f>C55+C56+C57+C58+C59+C61+C60</f>
        <v>992.09100000000001</v>
      </c>
      <c r="D54" s="33">
        <f>D56+D61</f>
        <v>458.74009999999998</v>
      </c>
      <c r="E54" s="34">
        <f>SUM(D54/C54*100)</f>
        <v>46.239719945045358</v>
      </c>
      <c r="F54" s="34">
        <f>SUM(D54-C54)</f>
        <v>-533.35090000000002</v>
      </c>
    </row>
    <row r="55" spans="1:8" s="6" customFormat="1" ht="17.25" hidden="1" customHeight="1">
      <c r="A55" s="35" t="s">
        <v>31</v>
      </c>
      <c r="B55" s="36" t="s">
        <v>32</v>
      </c>
      <c r="C55" s="37"/>
      <c r="D55" s="37"/>
      <c r="E55" s="38"/>
      <c r="F55" s="38"/>
    </row>
    <row r="56" spans="1:8" ht="20.25" customHeight="1">
      <c r="A56" s="35" t="s">
        <v>33</v>
      </c>
      <c r="B56" s="39" t="s">
        <v>34</v>
      </c>
      <c r="C56" s="37">
        <v>984.4</v>
      </c>
      <c r="D56" s="37">
        <v>456.0496</v>
      </c>
      <c r="E56" s="38">
        <f>SUM(D56/C56*100)</f>
        <v>46.327671678179605</v>
      </c>
      <c r="F56" s="38">
        <f t="shared" ref="F56:F96" si="3">SUM(D56-C56)</f>
        <v>-528.35040000000004</v>
      </c>
    </row>
    <row r="57" spans="1:8" ht="0.75" hidden="1" customHeight="1">
      <c r="A57" s="35" t="s">
        <v>35</v>
      </c>
      <c r="B57" s="39" t="s">
        <v>36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37</v>
      </c>
      <c r="B58" s="39" t="s">
        <v>38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39</v>
      </c>
      <c r="B59" s="39" t="s">
        <v>40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41</v>
      </c>
      <c r="B60" s="39" t="s">
        <v>42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43</v>
      </c>
      <c r="B61" s="39" t="s">
        <v>44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45</v>
      </c>
      <c r="B62" s="42" t="s">
        <v>46</v>
      </c>
      <c r="C62" s="32">
        <f>C63</f>
        <v>89.944999999999993</v>
      </c>
      <c r="D62" s="32">
        <f>D63</f>
        <v>40.049379999999999</v>
      </c>
      <c r="E62" s="34">
        <f t="shared" si="4"/>
        <v>44.526521763299797</v>
      </c>
      <c r="F62" s="34">
        <f t="shared" si="3"/>
        <v>-49.895619999999994</v>
      </c>
    </row>
    <row r="63" spans="1:8" ht="17.850000000000001" customHeight="1">
      <c r="A63" s="43" t="s">
        <v>47</v>
      </c>
      <c r="B63" s="44" t="s">
        <v>48</v>
      </c>
      <c r="C63" s="37">
        <v>89.944999999999993</v>
      </c>
      <c r="D63" s="37">
        <v>40.049379999999999</v>
      </c>
      <c r="E63" s="38">
        <f t="shared" si="4"/>
        <v>44.526521763299797</v>
      </c>
      <c r="F63" s="38">
        <f t="shared" si="3"/>
        <v>-49.895619999999994</v>
      </c>
    </row>
    <row r="64" spans="1:8" s="6" customFormat="1" ht="17.25" customHeight="1">
      <c r="A64" s="30" t="s">
        <v>49</v>
      </c>
      <c r="B64" s="31" t="s">
        <v>50</v>
      </c>
      <c r="C64" s="32">
        <f>C67+C68+C69</f>
        <v>6.4</v>
      </c>
      <c r="D64" s="32">
        <f>SUM(D65:D67)</f>
        <v>0</v>
      </c>
      <c r="E64" s="34">
        <f t="shared" si="4"/>
        <v>0</v>
      </c>
      <c r="F64" s="34">
        <f t="shared" si="3"/>
        <v>-6.4</v>
      </c>
    </row>
    <row r="65" spans="1:7" ht="17.25" hidden="1" customHeight="1">
      <c r="A65" s="3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53</v>
      </c>
      <c r="B66" s="39" t="s">
        <v>54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55</v>
      </c>
      <c r="B67" s="47" t="s">
        <v>56</v>
      </c>
      <c r="C67" s="37">
        <v>2.4</v>
      </c>
      <c r="D67" s="37">
        <v>0</v>
      </c>
      <c r="E67" s="34">
        <f t="shared" si="4"/>
        <v>0</v>
      </c>
      <c r="F67" s="34">
        <f t="shared" si="3"/>
        <v>-2.4</v>
      </c>
    </row>
    <row r="68" spans="1:7" ht="18" customHeight="1">
      <c r="A68" s="46" t="s">
        <v>218</v>
      </c>
      <c r="B68" s="47" t="s">
        <v>219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357</v>
      </c>
      <c r="B69" s="47" t="s">
        <v>360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57</v>
      </c>
      <c r="B70" s="31" t="s">
        <v>58</v>
      </c>
      <c r="C70" s="48">
        <f>SUM(C71:C74)</f>
        <v>2148.5418299999997</v>
      </c>
      <c r="D70" s="48">
        <f>D71+D72+D73+D74</f>
        <v>202.83500000000001</v>
      </c>
      <c r="E70" s="34">
        <f t="shared" si="4"/>
        <v>9.4405888294946543</v>
      </c>
      <c r="F70" s="34">
        <f t="shared" si="3"/>
        <v>-1945.7068299999996</v>
      </c>
    </row>
    <row r="71" spans="1:7" ht="16.5" customHeight="1">
      <c r="A71" s="35" t="s">
        <v>59</v>
      </c>
      <c r="B71" s="39" t="s">
        <v>60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61</v>
      </c>
      <c r="B72" s="39" t="s">
        <v>62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63</v>
      </c>
      <c r="B73" s="39" t="s">
        <v>64</v>
      </c>
      <c r="C73" s="49">
        <v>2101.8393299999998</v>
      </c>
      <c r="D73" s="37">
        <v>179</v>
      </c>
      <c r="E73" s="38">
        <f t="shared" si="4"/>
        <v>8.516350295909632</v>
      </c>
      <c r="F73" s="38">
        <f t="shared" si="3"/>
        <v>-1922.8393299999998</v>
      </c>
    </row>
    <row r="74" spans="1:7" ht="15.75" customHeight="1">
      <c r="A74" s="35" t="s">
        <v>65</v>
      </c>
      <c r="B74" s="39" t="s">
        <v>66</v>
      </c>
      <c r="C74" s="49">
        <v>40</v>
      </c>
      <c r="D74" s="37">
        <v>23.835000000000001</v>
      </c>
      <c r="E74" s="38">
        <f t="shared" si="4"/>
        <v>59.587500000000006</v>
      </c>
      <c r="F74" s="38">
        <f t="shared" si="3"/>
        <v>-16.164999999999999</v>
      </c>
    </row>
    <row r="75" spans="1:7" s="6" customFormat="1" ht="18" customHeight="1">
      <c r="A75" s="30" t="s">
        <v>67</v>
      </c>
      <c r="B75" s="31" t="s">
        <v>68</v>
      </c>
      <c r="C75" s="32">
        <f>SUM(C76:C78)</f>
        <v>238.12430000000001</v>
      </c>
      <c r="D75" s="32">
        <f>D78</f>
        <v>83.477410000000006</v>
      </c>
      <c r="E75" s="34">
        <f t="shared" si="4"/>
        <v>35.056233236171195</v>
      </c>
      <c r="F75" s="34">
        <f t="shared" si="3"/>
        <v>-154.64688999999998</v>
      </c>
    </row>
    <row r="76" spans="1:7" ht="15.75" hidden="1" customHeight="1">
      <c r="A76" s="35" t="s">
        <v>69</v>
      </c>
      <c r="B76" s="51" t="s">
        <v>70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71</v>
      </c>
      <c r="B77" s="51" t="s">
        <v>72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73</v>
      </c>
      <c r="B78" s="39" t="s">
        <v>74</v>
      </c>
      <c r="C78" s="37">
        <v>238.12430000000001</v>
      </c>
      <c r="D78" s="37">
        <v>83.477410000000006</v>
      </c>
      <c r="E78" s="38">
        <f t="shared" si="4"/>
        <v>35.056233236171195</v>
      </c>
      <c r="F78" s="38">
        <f t="shared" si="3"/>
        <v>-154.64688999999998</v>
      </c>
    </row>
    <row r="79" spans="1:7" s="6" customFormat="1" ht="17.850000000000001" customHeight="1">
      <c r="A79" s="30" t="s">
        <v>85</v>
      </c>
      <c r="B79" s="31" t="s">
        <v>86</v>
      </c>
      <c r="C79" s="32">
        <f>C80</f>
        <v>1863.7</v>
      </c>
      <c r="D79" s="32">
        <f>D80</f>
        <v>432</v>
      </c>
      <c r="E79" s="34">
        <f t="shared" si="4"/>
        <v>23.179696303053067</v>
      </c>
      <c r="F79" s="34">
        <f t="shared" si="3"/>
        <v>-1431.7</v>
      </c>
    </row>
    <row r="80" spans="1:7" ht="15" customHeight="1">
      <c r="A80" s="35" t="s">
        <v>87</v>
      </c>
      <c r="B80" s="39" t="s">
        <v>233</v>
      </c>
      <c r="C80" s="37">
        <v>1863.7</v>
      </c>
      <c r="D80" s="37">
        <v>432</v>
      </c>
      <c r="E80" s="38">
        <f t="shared" si="4"/>
        <v>23.179696303053067</v>
      </c>
      <c r="F80" s="38">
        <f t="shared" si="3"/>
        <v>-1431.7</v>
      </c>
    </row>
    <row r="81" spans="1:8" s="6" customFormat="1" ht="0.75" hidden="1" customHeight="1">
      <c r="A81" s="52">
        <v>1000</v>
      </c>
      <c r="B81" s="31" t="s">
        <v>88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89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90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91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92</v>
      </c>
      <c r="B85" s="39" t="s">
        <v>93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94</v>
      </c>
      <c r="B86" s="31" t="s">
        <v>95</v>
      </c>
      <c r="C86" s="32">
        <f>C87+C88+C89+C90+C91</f>
        <v>6</v>
      </c>
      <c r="D86" s="32">
        <f>D87+D88+D89+D90+D91</f>
        <v>2</v>
      </c>
      <c r="E86" s="38">
        <f t="shared" si="4"/>
        <v>33.333333333333329</v>
      </c>
      <c r="F86" s="22">
        <f>F87+F88+F89+F90+F91</f>
        <v>-4</v>
      </c>
    </row>
    <row r="87" spans="1:8" ht="17.25" customHeight="1">
      <c r="A87" s="35" t="s">
        <v>96</v>
      </c>
      <c r="B87" s="39" t="s">
        <v>97</v>
      </c>
      <c r="C87" s="37">
        <v>6</v>
      </c>
      <c r="D87" s="37">
        <v>2</v>
      </c>
      <c r="E87" s="38">
        <f t="shared" si="4"/>
        <v>33.333333333333329</v>
      </c>
      <c r="F87" s="38">
        <f>SUM(D87-C87)</f>
        <v>-4</v>
      </c>
    </row>
    <row r="88" spans="1:8" ht="15.75" hidden="1" customHeight="1">
      <c r="A88" s="35" t="s">
        <v>98</v>
      </c>
      <c r="B88" s="39" t="s">
        <v>99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100</v>
      </c>
      <c r="B89" s="39" t="s">
        <v>101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102</v>
      </c>
      <c r="B90" s="39" t="s">
        <v>103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104</v>
      </c>
      <c r="B91" s="39" t="s">
        <v>105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114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115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116</v>
      </c>
      <c r="C94" s="188"/>
      <c r="D94" s="189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117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118</v>
      </c>
      <c r="C96" s="326">
        <f>C54+C62+C64+C70+C75+C79+C81+C86+C92</f>
        <v>5344.80213</v>
      </c>
      <c r="D96" s="33">
        <f>D54+D62+D64+D70+D75+D79+D86</f>
        <v>1219.1018899999999</v>
      </c>
      <c r="E96" s="34">
        <f t="shared" si="4"/>
        <v>22.80911173787457</v>
      </c>
      <c r="F96" s="34">
        <f t="shared" si="3"/>
        <v>-4125.7002400000001</v>
      </c>
      <c r="G96" s="263"/>
      <c r="H96" s="263"/>
    </row>
    <row r="97" spans="1:4" ht="20.25" customHeight="1">
      <c r="C97" s="126"/>
      <c r="D97" s="101"/>
    </row>
    <row r="98" spans="1:4" s="65" customFormat="1" ht="13.5" customHeight="1">
      <c r="A98" s="63" t="s">
        <v>119</v>
      </c>
      <c r="B98" s="63"/>
      <c r="C98" s="116"/>
      <c r="D98" s="64"/>
    </row>
    <row r="99" spans="1:4" s="65" customFormat="1" ht="12.75">
      <c r="A99" s="66" t="s">
        <v>120</v>
      </c>
      <c r="B99" s="66"/>
      <c r="C99" s="134" t="s">
        <v>121</v>
      </c>
      <c r="D99" s="134"/>
    </row>
    <row r="100" spans="1:4" ht="5.25" customHeight="1">
      <c r="C100" s="120"/>
    </row>
    <row r="142" hidden="1"/>
  </sheetData>
  <customSheetViews>
    <customSheetView guid="{B30CE22D-C12F-4E12-8BB9-3AAE0A6991CC}" scale="70" showPageBreaks="1" printArea="1" hiddenRows="1" view="pageBreakPreview">
      <selection activeCell="D96" sqref="C96:D9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8">
      <selection activeCell="D45" sqref="D45"/>
      <pageMargins left="0.7" right="0.7" top="0.75" bottom="0.75" header="0.3" footer="0.3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8"/>
    </customSheetView>
    <customSheetView guid="{61528DAC-5C4C-48F4-ADE2-8A724B05A086}" scale="70" showPageBreaks="1" hiddenRows="1" view="pageBreakPreview" topLeftCell="A37">
      <selection activeCell="C96" sqref="C9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28" zoomScale="70" zoomScaleSheetLayoutView="70" workbookViewId="0">
      <selection activeCell="D81" sqref="D8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28515625" style="1" bestFit="1" customWidth="1"/>
    <col min="8" max="8" width="9.285156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435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1026.2959999999998</v>
      </c>
      <c r="D4" s="5">
        <f>D5+D12+D14+D17+D20+D7</f>
        <v>379.93472999999994</v>
      </c>
      <c r="E4" s="5">
        <f>SUM(D4/C4*100)</f>
        <v>37.019995206061409</v>
      </c>
      <c r="F4" s="5">
        <f>SUM(D4-C4)</f>
        <v>-646.36126999999988</v>
      </c>
    </row>
    <row r="5" spans="1:6" s="6" customFormat="1">
      <c r="A5" s="68">
        <v>1010000000</v>
      </c>
      <c r="B5" s="67" t="s">
        <v>5</v>
      </c>
      <c r="C5" s="5">
        <f>C6</f>
        <v>86.510999999999996</v>
      </c>
      <c r="D5" s="5">
        <f>D6</f>
        <v>52.87594</v>
      </c>
      <c r="E5" s="5">
        <f t="shared" ref="E5:E51" si="0">SUM(D5/C5*100)</f>
        <v>61.120481788443094</v>
      </c>
      <c r="F5" s="5">
        <f t="shared" ref="F5:F51" si="1">SUM(D5-C5)</f>
        <v>-33.635059999999996</v>
      </c>
    </row>
    <row r="6" spans="1:6">
      <c r="A6" s="7">
        <v>1010200001</v>
      </c>
      <c r="B6" s="8" t="s">
        <v>228</v>
      </c>
      <c r="C6" s="9">
        <v>86.510999999999996</v>
      </c>
      <c r="D6" s="10">
        <v>52.87594</v>
      </c>
      <c r="E6" s="9">
        <f t="shared" ref="E6:E11" si="2">SUM(D6/C6*100)</f>
        <v>61.120481788443094</v>
      </c>
      <c r="F6" s="9">
        <f t="shared" si="1"/>
        <v>-33.635059999999996</v>
      </c>
    </row>
    <row r="7" spans="1:6" ht="31.5">
      <c r="A7" s="3">
        <v>1030000000</v>
      </c>
      <c r="B7" s="13" t="s">
        <v>280</v>
      </c>
      <c r="C7" s="5">
        <f>C8+C10+C9</f>
        <v>316.78499999999997</v>
      </c>
      <c r="D7" s="5">
        <f>D8+D10+D9+D11</f>
        <v>181.71699999999998</v>
      </c>
      <c r="E7" s="9">
        <f t="shared" si="2"/>
        <v>57.36288018687754</v>
      </c>
      <c r="F7" s="9">
        <f t="shared" si="1"/>
        <v>-135.06799999999998</v>
      </c>
    </row>
    <row r="8" spans="1:6">
      <c r="A8" s="7">
        <v>1030223001</v>
      </c>
      <c r="B8" s="8" t="s">
        <v>282</v>
      </c>
      <c r="C8" s="9">
        <v>118.16</v>
      </c>
      <c r="D8" s="10">
        <v>82.491870000000006</v>
      </c>
      <c r="E8" s="9">
        <f t="shared" si="2"/>
        <v>69.813701760324989</v>
      </c>
      <c r="F8" s="9">
        <f t="shared" si="1"/>
        <v>-35.668129999999991</v>
      </c>
    </row>
    <row r="9" spans="1:6">
      <c r="A9" s="7">
        <v>1030224001</v>
      </c>
      <c r="B9" s="8" t="s">
        <v>288</v>
      </c>
      <c r="C9" s="9">
        <v>1.2649999999999999</v>
      </c>
      <c r="D9" s="10">
        <v>0.62587000000000004</v>
      </c>
      <c r="E9" s="9">
        <f t="shared" si="2"/>
        <v>49.475889328063246</v>
      </c>
      <c r="F9" s="9">
        <f t="shared" si="1"/>
        <v>-0.63912999999999986</v>
      </c>
    </row>
    <row r="10" spans="1:6">
      <c r="A10" s="7">
        <v>1030225001</v>
      </c>
      <c r="B10" s="8" t="s">
        <v>281</v>
      </c>
      <c r="C10" s="9">
        <v>197.36</v>
      </c>
      <c r="D10" s="10">
        <v>114.3121</v>
      </c>
      <c r="E10" s="9">
        <f t="shared" si="2"/>
        <v>57.920601945683018</v>
      </c>
      <c r="F10" s="9">
        <f t="shared" si="1"/>
        <v>-83.047900000000013</v>
      </c>
    </row>
    <row r="11" spans="1:6">
      <c r="A11" s="7">
        <v>1030226001</v>
      </c>
      <c r="B11" s="8" t="s">
        <v>290</v>
      </c>
      <c r="C11" s="9">
        <v>0</v>
      </c>
      <c r="D11" s="10">
        <v>-15.71284</v>
      </c>
      <c r="E11" s="9" t="e">
        <f t="shared" si="2"/>
        <v>#DIV/0!</v>
      </c>
      <c r="F11" s="9">
        <f t="shared" si="1"/>
        <v>-15.71284</v>
      </c>
    </row>
    <row r="12" spans="1:6" s="6" customFormat="1">
      <c r="A12" s="68">
        <v>1050000000</v>
      </c>
      <c r="B12" s="67" t="s">
        <v>6</v>
      </c>
      <c r="C12" s="5">
        <f>SUM(C13:C13)</f>
        <v>65</v>
      </c>
      <c r="D12" s="5">
        <f>SUM(D13:D13)</f>
        <v>69.128699999999995</v>
      </c>
      <c r="E12" s="5">
        <f t="shared" si="0"/>
        <v>106.35184615384614</v>
      </c>
      <c r="F12" s="5">
        <f t="shared" si="1"/>
        <v>4.1286999999999949</v>
      </c>
    </row>
    <row r="13" spans="1:6" ht="15.75" customHeight="1">
      <c r="A13" s="7">
        <v>1050300000</v>
      </c>
      <c r="B13" s="11" t="s">
        <v>229</v>
      </c>
      <c r="C13" s="12">
        <v>65</v>
      </c>
      <c r="D13" s="10">
        <v>69.128699999999995</v>
      </c>
      <c r="E13" s="9">
        <f t="shared" si="0"/>
        <v>106.35184615384614</v>
      </c>
      <c r="F13" s="9">
        <f t="shared" si="1"/>
        <v>4.1286999999999949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548</v>
      </c>
      <c r="D14" s="5">
        <f>D15+D16</f>
        <v>73.463089999999994</v>
      </c>
      <c r="E14" s="9">
        <f t="shared" si="0"/>
        <v>13.405673357664233</v>
      </c>
      <c r="F14" s="9">
        <f t="shared" si="1"/>
        <v>-474.53691000000003</v>
      </c>
    </row>
    <row r="15" spans="1:6" s="6" customFormat="1" ht="15.75" customHeight="1">
      <c r="A15" s="7">
        <v>1060100000</v>
      </c>
      <c r="B15" s="11" t="s">
        <v>8</v>
      </c>
      <c r="C15" s="205">
        <v>88</v>
      </c>
      <c r="D15" s="10">
        <v>5.1663899999999998</v>
      </c>
      <c r="E15" s="9">
        <f>SUM(D15/C15*100)</f>
        <v>5.8708977272727276</v>
      </c>
      <c r="F15" s="9">
        <f>SUM(D15-C14)</f>
        <v>-542.83361000000002</v>
      </c>
    </row>
    <row r="16" spans="1:6" ht="15.75" customHeight="1">
      <c r="A16" s="7">
        <v>1060600000</v>
      </c>
      <c r="B16" s="11" t="s">
        <v>7</v>
      </c>
      <c r="C16" s="9">
        <v>460</v>
      </c>
      <c r="D16" s="10">
        <v>68.296700000000001</v>
      </c>
      <c r="E16" s="9">
        <f t="shared" si="0"/>
        <v>14.847108695652175</v>
      </c>
      <c r="F16" s="9">
        <f t="shared" si="1"/>
        <v>-391.70330000000001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2.75</v>
      </c>
      <c r="E17" s="5">
        <f t="shared" si="0"/>
        <v>27.500000000000004</v>
      </c>
      <c r="F17" s="5">
        <f t="shared" si="1"/>
        <v>-7.25</v>
      </c>
    </row>
    <row r="18" spans="1:6" ht="18.75" customHeight="1">
      <c r="A18" s="7">
        <v>1080400001</v>
      </c>
      <c r="B18" s="8" t="s">
        <v>227</v>
      </c>
      <c r="C18" s="9">
        <v>10</v>
      </c>
      <c r="D18" s="10">
        <v>2.75</v>
      </c>
      <c r="E18" s="9">
        <f t="shared" si="0"/>
        <v>27.500000000000004</v>
      </c>
      <c r="F18" s="9">
        <f t="shared" si="1"/>
        <v>-7.25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230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55</v>
      </c>
      <c r="D25" s="5">
        <f>D26+D29+D31+D37-D34</f>
        <v>65.975179999999995</v>
      </c>
      <c r="E25" s="5">
        <f t="shared" si="0"/>
        <v>119.95487272727271</v>
      </c>
      <c r="F25" s="5">
        <f t="shared" si="1"/>
        <v>10.975179999999995</v>
      </c>
    </row>
    <row r="26" spans="1:6" s="6" customFormat="1" ht="15.75" customHeight="1">
      <c r="A26" s="68">
        <v>1110000000</v>
      </c>
      <c r="B26" s="69" t="s">
        <v>128</v>
      </c>
      <c r="C26" s="5">
        <f>C27+C28</f>
        <v>55</v>
      </c>
      <c r="D26" s="5">
        <f>D27+D28</f>
        <v>43.258000000000003</v>
      </c>
      <c r="E26" s="5">
        <f t="shared" si="0"/>
        <v>78.650909090909096</v>
      </c>
      <c r="F26" s="5">
        <f t="shared" si="1"/>
        <v>-11.741999999999997</v>
      </c>
    </row>
    <row r="27" spans="1:6" ht="15.75" customHeight="1">
      <c r="A27" s="16">
        <v>1110502510</v>
      </c>
      <c r="B27" s="17" t="s">
        <v>225</v>
      </c>
      <c r="C27" s="12">
        <v>55</v>
      </c>
      <c r="D27" s="10">
        <v>43.258000000000003</v>
      </c>
      <c r="E27" s="9">
        <f t="shared" si="0"/>
        <v>78.650909090909096</v>
      </c>
      <c r="F27" s="9">
        <f t="shared" si="1"/>
        <v>-11.741999999999997</v>
      </c>
    </row>
    <row r="28" spans="1:6" ht="17.25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130</v>
      </c>
      <c r="C29" s="5">
        <f>C30</f>
        <v>0</v>
      </c>
      <c r="D29" s="5">
        <f>D30</f>
        <v>22.717179999999999</v>
      </c>
      <c r="E29" s="5" t="e">
        <f t="shared" si="0"/>
        <v>#DIV/0!</v>
      </c>
      <c r="F29" s="5">
        <f t="shared" si="1"/>
        <v>22.717179999999999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22.717179999999999</v>
      </c>
      <c r="E30" s="9" t="e">
        <f t="shared" si="0"/>
        <v>#DIV/0!</v>
      </c>
      <c r="F30" s="9">
        <f t="shared" si="1"/>
        <v>22.717179999999999</v>
      </c>
    </row>
    <row r="31" spans="1:6" ht="22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342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18</v>
      </c>
      <c r="C40" s="127">
        <f>SUM(C4,C25)</f>
        <v>1081.2959999999998</v>
      </c>
      <c r="D40" s="127">
        <f>D4+D25</f>
        <v>445.90990999999997</v>
      </c>
      <c r="E40" s="5">
        <f t="shared" si="0"/>
        <v>41.238468467468671</v>
      </c>
      <c r="F40" s="5">
        <f t="shared" si="1"/>
        <v>-635.38608999999985</v>
      </c>
    </row>
    <row r="41" spans="1:7" s="6" customFormat="1">
      <c r="A41" s="3">
        <v>2000000000</v>
      </c>
      <c r="B41" s="4" t="s">
        <v>19</v>
      </c>
      <c r="C41" s="5">
        <f>C42+C44+C45+C46+C47+C48+C43+C50</f>
        <v>5027.6190999999999</v>
      </c>
      <c r="D41" s="5">
        <f>D42+D44+D45+D46+D47+D48+D43+D50</f>
        <v>2220.415</v>
      </c>
      <c r="E41" s="5">
        <f t="shared" si="0"/>
        <v>44.164344112703368</v>
      </c>
      <c r="F41" s="5">
        <f t="shared" si="1"/>
        <v>-2807.2040999999999</v>
      </c>
      <c r="G41" s="19"/>
    </row>
    <row r="42" spans="1:7" ht="16.5" customHeight="1">
      <c r="A42" s="16">
        <v>2021000000</v>
      </c>
      <c r="B42" s="17" t="s">
        <v>20</v>
      </c>
      <c r="C42" s="12">
        <v>1969.9</v>
      </c>
      <c r="D42" s="12">
        <v>984.94799999999998</v>
      </c>
      <c r="E42" s="9">
        <f t="shared" si="0"/>
        <v>49.99989847200365</v>
      </c>
      <c r="F42" s="9">
        <f t="shared" si="1"/>
        <v>-984.95200000000011</v>
      </c>
    </row>
    <row r="43" spans="1:7" ht="17.25" customHeight="1">
      <c r="A43" s="16">
        <v>2021500200</v>
      </c>
      <c r="B43" s="17" t="s">
        <v>231</v>
      </c>
      <c r="C43" s="12">
        <v>685</v>
      </c>
      <c r="D43" s="20">
        <v>650</v>
      </c>
      <c r="E43" s="9">
        <f t="shared" si="0"/>
        <v>94.890510948905103</v>
      </c>
      <c r="F43" s="9">
        <f t="shared" si="1"/>
        <v>-35</v>
      </c>
    </row>
    <row r="44" spans="1:7">
      <c r="A44" s="16">
        <v>2022000000</v>
      </c>
      <c r="B44" s="17" t="s">
        <v>21</v>
      </c>
      <c r="C44" s="12">
        <v>1825.30438</v>
      </c>
      <c r="D44" s="10">
        <v>211.2</v>
      </c>
      <c r="E44" s="9">
        <f>SUM(D44/C44*100)</f>
        <v>11.570672941682197</v>
      </c>
      <c r="F44" s="9">
        <f t="shared" si="1"/>
        <v>-1614.10438</v>
      </c>
    </row>
    <row r="45" spans="1:7" ht="17.25" customHeight="1">
      <c r="A45" s="16">
        <v>2023000000</v>
      </c>
      <c r="B45" s="17" t="s">
        <v>22</v>
      </c>
      <c r="C45" s="12">
        <v>92.710999999999999</v>
      </c>
      <c r="D45" s="200">
        <v>44.826000000000001</v>
      </c>
      <c r="E45" s="9">
        <f t="shared" si="0"/>
        <v>48.350249700682767</v>
      </c>
      <c r="F45" s="9">
        <f t="shared" si="1"/>
        <v>-47.884999999999998</v>
      </c>
    </row>
    <row r="46" spans="1:7" ht="18" customHeight="1">
      <c r="A46" s="16">
        <v>2020400000</v>
      </c>
      <c r="B46" s="17" t="s">
        <v>23</v>
      </c>
      <c r="C46" s="12">
        <v>125.26285</v>
      </c>
      <c r="D46" s="201">
        <v>0</v>
      </c>
      <c r="E46" s="9">
        <f t="shared" si="0"/>
        <v>0</v>
      </c>
      <c r="F46" s="9">
        <f t="shared" si="1"/>
        <v>-125.26285</v>
      </c>
    </row>
    <row r="47" spans="1:7" ht="18" hidden="1" customHeight="1">
      <c r="A47" s="16">
        <v>2020900000</v>
      </c>
      <c r="B47" s="18" t="s">
        <v>24</v>
      </c>
      <c r="C47" s="12"/>
      <c r="D47" s="201"/>
      <c r="E47" s="9" t="e">
        <f t="shared" si="0"/>
        <v>#DIV/0!</v>
      </c>
      <c r="F47" s="9">
        <f t="shared" si="1"/>
        <v>0</v>
      </c>
    </row>
    <row r="48" spans="1:7" ht="20.25" hidden="1" customHeight="1">
      <c r="A48" s="7">
        <v>2190500005</v>
      </c>
      <c r="B48" s="11" t="s">
        <v>25</v>
      </c>
      <c r="C48" s="14"/>
      <c r="D48" s="14"/>
      <c r="E48" s="5"/>
      <c r="F48" s="5">
        <f>SUM(D48-C48)</f>
        <v>0</v>
      </c>
    </row>
    <row r="49" spans="1:8" s="6" customFormat="1" ht="21.75" hidden="1" customHeight="1">
      <c r="A49" s="3">
        <v>3000000000</v>
      </c>
      <c r="B49" s="13" t="s">
        <v>26</v>
      </c>
      <c r="C49" s="20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352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27</v>
      </c>
      <c r="C51" s="93">
        <f>C40+C41</f>
        <v>6108.9151000000002</v>
      </c>
      <c r="D51" s="298">
        <f>D40+D41</f>
        <v>2666.3249099999998</v>
      </c>
      <c r="E51" s="93">
        <f t="shared" si="0"/>
        <v>43.646455489289735</v>
      </c>
      <c r="F51" s="93">
        <f t="shared" si="1"/>
        <v>-3442.5901900000003</v>
      </c>
      <c r="G51" s="213">
        <f>5983.9151-C51</f>
        <v>-125</v>
      </c>
      <c r="H51" s="213">
        <f>1166.88463-D51</f>
        <v>-1499.4402799999998</v>
      </c>
    </row>
    <row r="52" spans="1:8" s="6" customFormat="1">
      <c r="A52" s="3"/>
      <c r="B52" s="21" t="s">
        <v>320</v>
      </c>
      <c r="C52" s="93">
        <f>C51-C98</f>
        <v>-170.08352000000014</v>
      </c>
      <c r="D52" s="93">
        <f>D51-D98</f>
        <v>421.11559999999963</v>
      </c>
      <c r="E52" s="22"/>
      <c r="F52" s="22"/>
    </row>
    <row r="53" spans="1:8">
      <c r="A53" s="23"/>
      <c r="B53" s="24"/>
      <c r="C53" s="199"/>
      <c r="D53" s="199"/>
      <c r="E53" s="26"/>
      <c r="F53" s="27"/>
    </row>
    <row r="54" spans="1:8" ht="46.5" customHeight="1">
      <c r="A54" s="28" t="s">
        <v>0</v>
      </c>
      <c r="B54" s="28" t="s">
        <v>28</v>
      </c>
      <c r="C54" s="192" t="s">
        <v>411</v>
      </c>
      <c r="D54" s="193" t="s">
        <v>424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29</v>
      </c>
      <c r="B56" s="31" t="s">
        <v>30</v>
      </c>
      <c r="C56" s="195">
        <f>C57+C58+C59+C60+C61+C63+C62</f>
        <v>1308.2380000000001</v>
      </c>
      <c r="D56" s="33">
        <f>D57+D58+D59+D60+D61+D63+D62</f>
        <v>554.09888000000001</v>
      </c>
      <c r="E56" s="34">
        <f>SUM(D56/C56*100)</f>
        <v>42.354592971615254</v>
      </c>
      <c r="F56" s="34">
        <f>SUM(D56-C56)</f>
        <v>-754.13912000000005</v>
      </c>
    </row>
    <row r="57" spans="1:8" s="6" customFormat="1" ht="31.5" hidden="1">
      <c r="A57" s="35" t="s">
        <v>31</v>
      </c>
      <c r="B57" s="36" t="s">
        <v>32</v>
      </c>
      <c r="C57" s="37"/>
      <c r="D57" s="136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1280</v>
      </c>
      <c r="D58" s="37">
        <v>550.86087999999995</v>
      </c>
      <c r="E58" s="38">
        <f t="shared" ref="E58:E98" si="3">SUM(D58/C58*100)</f>
        <v>43.03600625</v>
      </c>
      <c r="F58" s="38">
        <f t="shared" ref="F58:F98" si="4">SUM(D58-C58)</f>
        <v>-729.13912000000005</v>
      </c>
    </row>
    <row r="59" spans="1:8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hidden="1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43</v>
      </c>
      <c r="B63" s="39" t="s">
        <v>44</v>
      </c>
      <c r="C63" s="37">
        <v>23.238</v>
      </c>
      <c r="D63" s="37">
        <v>3.238</v>
      </c>
      <c r="E63" s="38">
        <f t="shared" si="3"/>
        <v>13.934073500301231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89.945999999999998</v>
      </c>
      <c r="D64" s="32">
        <f>D65</f>
        <v>39.232399999999998</v>
      </c>
      <c r="E64" s="34">
        <f t="shared" si="3"/>
        <v>43.617726191270314</v>
      </c>
      <c r="F64" s="34">
        <f t="shared" si="4"/>
        <v>-50.7136</v>
      </c>
    </row>
    <row r="65" spans="1:7">
      <c r="A65" s="43" t="s">
        <v>47</v>
      </c>
      <c r="B65" s="44" t="s">
        <v>48</v>
      </c>
      <c r="C65" s="37">
        <v>89.945999999999998</v>
      </c>
      <c r="D65" s="37">
        <v>39.232399999999998</v>
      </c>
      <c r="E65" s="38">
        <f t="shared" si="3"/>
        <v>43.617726191270314</v>
      </c>
      <c r="F65" s="38">
        <f t="shared" si="4"/>
        <v>-50.7136</v>
      </c>
    </row>
    <row r="66" spans="1:7" s="6" customFormat="1" ht="18.75" customHeight="1">
      <c r="A66" s="30" t="s">
        <v>49</v>
      </c>
      <c r="B66" s="31" t="s">
        <v>50</v>
      </c>
      <c r="C66" s="32">
        <f>C69+C70+C71</f>
        <v>6.8</v>
      </c>
      <c r="D66" s="32">
        <f>D69+D70</f>
        <v>1.2</v>
      </c>
      <c r="E66" s="34">
        <f t="shared" si="3"/>
        <v>17.647058823529413</v>
      </c>
      <c r="F66" s="34">
        <f t="shared" si="4"/>
        <v>-5.6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55</v>
      </c>
      <c r="B69" s="47" t="s">
        <v>56</v>
      </c>
      <c r="C69" s="9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 ht="15.75" customHeight="1">
      <c r="A70" s="46" t="s">
        <v>218</v>
      </c>
      <c r="B70" s="47" t="s">
        <v>219</v>
      </c>
      <c r="C70" s="37">
        <v>2.4</v>
      </c>
      <c r="D70" s="37">
        <v>1.2</v>
      </c>
      <c r="E70" s="38">
        <f t="shared" si="3"/>
        <v>50</v>
      </c>
      <c r="F70" s="38">
        <f t="shared" si="4"/>
        <v>-1.2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2534.8808400000003</v>
      </c>
      <c r="D72" s="48">
        <f>SUM(D73:D76)</f>
        <v>344.08591000000001</v>
      </c>
      <c r="E72" s="34">
        <f t="shared" si="3"/>
        <v>13.574046739017524</v>
      </c>
      <c r="F72" s="34">
        <f t="shared" si="4"/>
        <v>-2190.79493</v>
      </c>
    </row>
    <row r="73" spans="1:7" ht="15.7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61</v>
      </c>
      <c r="B74" s="39" t="s">
        <v>62</v>
      </c>
      <c r="C74" s="49">
        <v>88.75</v>
      </c>
      <c r="D74" s="37">
        <v>68.218909999999994</v>
      </c>
      <c r="E74" s="38">
        <f t="shared" si="3"/>
        <v>76.866377464788727</v>
      </c>
      <c r="F74" s="38">
        <f t="shared" si="4"/>
        <v>-20.531090000000006</v>
      </c>
      <c r="G74" s="50"/>
    </row>
    <row r="75" spans="1:7">
      <c r="A75" s="35" t="s">
        <v>63</v>
      </c>
      <c r="B75" s="39" t="s">
        <v>64</v>
      </c>
      <c r="C75" s="49">
        <v>2388.3583400000002</v>
      </c>
      <c r="D75" s="37">
        <v>240</v>
      </c>
      <c r="E75" s="38">
        <f t="shared" si="3"/>
        <v>10.04874335565575</v>
      </c>
      <c r="F75" s="38">
        <f t="shared" si="4"/>
        <v>-2148.3583400000002</v>
      </c>
    </row>
    <row r="76" spans="1:7" ht="16.5" customHeight="1">
      <c r="A76" s="35" t="s">
        <v>65</v>
      </c>
      <c r="B76" s="39" t="s">
        <v>66</v>
      </c>
      <c r="C76" s="49">
        <v>51.07</v>
      </c>
      <c r="D76" s="37">
        <v>35.866999999999997</v>
      </c>
      <c r="E76" s="38">
        <f t="shared" si="3"/>
        <v>70.231055414137458</v>
      </c>
      <c r="F76" s="38">
        <f t="shared" si="4"/>
        <v>-15.203000000000003</v>
      </c>
    </row>
    <row r="77" spans="1:7" s="6" customFormat="1" ht="19.5" customHeight="1">
      <c r="A77" s="30" t="s">
        <v>67</v>
      </c>
      <c r="B77" s="31" t="s">
        <v>68</v>
      </c>
      <c r="C77" s="32">
        <f>SUM(C78:C80)</f>
        <v>687.73378000000002</v>
      </c>
      <c r="D77" s="32">
        <f>SUM(D78:D80)</f>
        <v>164.3109</v>
      </c>
      <c r="E77" s="34">
        <f t="shared" si="3"/>
        <v>23.891643071538525</v>
      </c>
      <c r="F77" s="34">
        <f t="shared" si="4"/>
        <v>-523.42288000000008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73</v>
      </c>
      <c r="B80" s="39" t="s">
        <v>74</v>
      </c>
      <c r="C80" s="37">
        <v>687.73378000000002</v>
      </c>
      <c r="D80" s="37">
        <v>164.3109</v>
      </c>
      <c r="E80" s="38">
        <f t="shared" si="3"/>
        <v>23.891643071538525</v>
      </c>
      <c r="F80" s="38">
        <f t="shared" si="4"/>
        <v>-523.42288000000008</v>
      </c>
    </row>
    <row r="81" spans="1:7" s="6" customFormat="1">
      <c r="A81" s="30" t="s">
        <v>85</v>
      </c>
      <c r="B81" s="31" t="s">
        <v>86</v>
      </c>
      <c r="C81" s="32">
        <f>C82</f>
        <v>1615.4</v>
      </c>
      <c r="D81" s="32">
        <f>SUM(D82)</f>
        <v>1135.20622</v>
      </c>
      <c r="E81" s="34">
        <f t="shared" si="3"/>
        <v>70.274001485700126</v>
      </c>
      <c r="F81" s="34">
        <f t="shared" si="4"/>
        <v>-480.19378000000006</v>
      </c>
    </row>
    <row r="82" spans="1:7" ht="17.25" customHeight="1">
      <c r="A82" s="35" t="s">
        <v>87</v>
      </c>
      <c r="B82" s="39" t="s">
        <v>233</v>
      </c>
      <c r="C82" s="37">
        <v>1615.4</v>
      </c>
      <c r="D82" s="37">
        <v>1135.20622</v>
      </c>
      <c r="E82" s="38">
        <f t="shared" si="3"/>
        <v>70.274001485700126</v>
      </c>
      <c r="F82" s="38">
        <f t="shared" si="4"/>
        <v>-480.19378000000006</v>
      </c>
    </row>
    <row r="83" spans="1:7" s="6" customFormat="1" ht="21.7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94</v>
      </c>
      <c r="B88" s="31" t="s">
        <v>95</v>
      </c>
      <c r="C88" s="32">
        <f>C89+C90+C91+C92+C93</f>
        <v>36</v>
      </c>
      <c r="D88" s="32">
        <f>D89</f>
        <v>7.0750000000000002</v>
      </c>
      <c r="E88" s="38">
        <f t="shared" si="3"/>
        <v>19.652777777777779</v>
      </c>
      <c r="F88" s="22">
        <f>F89+F90+F91+F92+F93</f>
        <v>-28.925000000000001</v>
      </c>
    </row>
    <row r="89" spans="1:7" ht="19.5" customHeight="1">
      <c r="A89" s="35" t="s">
        <v>96</v>
      </c>
      <c r="B89" s="39" t="s">
        <v>97</v>
      </c>
      <c r="C89" s="37">
        <v>36</v>
      </c>
      <c r="D89" s="37">
        <v>7.0750000000000002</v>
      </c>
      <c r="E89" s="38">
        <f t="shared" si="3"/>
        <v>19.652777777777779</v>
      </c>
      <c r="F89" s="38">
        <f>SUM(D89-C89)</f>
        <v>-28.925000000000001</v>
      </c>
      <c r="G89" s="261"/>
    </row>
    <row r="90" spans="1:7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100</v>
      </c>
      <c r="B91" s="39" t="s">
        <v>101</v>
      </c>
      <c r="C91" s="37"/>
      <c r="D91" s="37" t="s">
        <v>338</v>
      </c>
      <c r="E91" s="38" t="e">
        <f t="shared" si="3"/>
        <v>#VALUE!</v>
      </c>
      <c r="F91" s="38"/>
    </row>
    <row r="92" spans="1:7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117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118</v>
      </c>
      <c r="C98" s="326">
        <f>C56+C64+C66+C72+C77+C81+C83+C88+C94</f>
        <v>6278.9986200000003</v>
      </c>
      <c r="D98" s="301">
        <f>D56+D64+D66+D72+D77+D81+D83+D88+D94</f>
        <v>2245.2093100000002</v>
      </c>
      <c r="E98" s="34">
        <f t="shared" si="3"/>
        <v>35.757442322865174</v>
      </c>
      <c r="F98" s="34">
        <f t="shared" si="4"/>
        <v>-4033.7893100000001</v>
      </c>
      <c r="G98" s="213">
        <f>6153.99862-C98</f>
        <v>-125</v>
      </c>
      <c r="H98" s="213">
        <f>850.38803-D98</f>
        <v>-1394.8212800000001</v>
      </c>
    </row>
    <row r="99" spans="1:8">
      <c r="C99" s="126"/>
      <c r="D99" s="101"/>
    </row>
    <row r="100" spans="1:8" s="65" customFormat="1" ht="16.5" customHeight="1">
      <c r="A100" s="63" t="s">
        <v>119</v>
      </c>
      <c r="B100" s="63"/>
      <c r="C100" s="198"/>
      <c r="D100" s="198"/>
      <c r="E100" s="262"/>
    </row>
    <row r="101" spans="1:8" s="65" customFormat="1" ht="20.25" customHeight="1">
      <c r="A101" s="66" t="s">
        <v>120</v>
      </c>
      <c r="B101" s="66"/>
      <c r="C101" s="65" t="s">
        <v>121</v>
      </c>
    </row>
    <row r="102" spans="1:8" ht="13.5" customHeight="1">
      <c r="C102" s="120"/>
    </row>
    <row r="104" spans="1:8" ht="5.25" customHeight="1"/>
    <row r="142" hidden="1"/>
  </sheetData>
  <customSheetViews>
    <customSheetView guid="{B30CE22D-C12F-4E12-8BB9-3AAE0A6991CC}" scale="70" showPageBreaks="1" printArea="1" hiddenRows="1" view="pageBreakPreview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  <customSheetView guid="{61528DAC-5C4C-48F4-ADE2-8A724B05A086}" scale="70" showPageBreaks="1" hiddenRows="1" view="pageBreakPreview" topLeftCell="A40">
      <selection activeCell="C74" sqref="C7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40" zoomScale="70" zoomScaleSheetLayoutView="70" workbookViewId="0">
      <selection activeCell="C83" sqref="C83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5" t="s">
        <v>436</v>
      </c>
      <c r="B1" s="555"/>
      <c r="C1" s="555"/>
      <c r="D1" s="555"/>
      <c r="E1" s="555"/>
      <c r="F1" s="555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724.452</v>
      </c>
      <c r="D4" s="5">
        <f>D5+D12+D14+D17+D7</f>
        <v>288.50464999999997</v>
      </c>
      <c r="E4" s="5">
        <f>SUM(D4/C4*100)</f>
        <v>39.823846162340629</v>
      </c>
      <c r="F4" s="5">
        <f>SUM(D4-C4)</f>
        <v>-435.94735000000003</v>
      </c>
    </row>
    <row r="5" spans="1:6" s="6" customFormat="1">
      <c r="A5" s="68">
        <v>1010000000</v>
      </c>
      <c r="B5" s="67" t="s">
        <v>5</v>
      </c>
      <c r="C5" s="5">
        <f>C6</f>
        <v>37.046999999999997</v>
      </c>
      <c r="D5" s="5">
        <f>D6</f>
        <v>22.682030000000001</v>
      </c>
      <c r="E5" s="5">
        <f t="shared" ref="E5:E51" si="0">SUM(D5/C5*100)</f>
        <v>61.225011471914058</v>
      </c>
      <c r="F5" s="5">
        <f t="shared" ref="F5:F51" si="1">SUM(D5-C5)</f>
        <v>-14.364969999999996</v>
      </c>
    </row>
    <row r="6" spans="1:6">
      <c r="A6" s="7">
        <v>1010200001</v>
      </c>
      <c r="B6" s="8" t="s">
        <v>228</v>
      </c>
      <c r="C6" s="9">
        <v>37.046999999999997</v>
      </c>
      <c r="D6" s="10">
        <v>22.682030000000001</v>
      </c>
      <c r="E6" s="9">
        <f t="shared" ref="E6:E11" si="2">SUM(D6/C6*100)</f>
        <v>61.225011471914058</v>
      </c>
      <c r="F6" s="9">
        <f t="shared" si="1"/>
        <v>-14.364969999999996</v>
      </c>
    </row>
    <row r="7" spans="1:6" ht="31.5">
      <c r="A7" s="3">
        <v>1030000000</v>
      </c>
      <c r="B7" s="13" t="s">
        <v>280</v>
      </c>
      <c r="C7" s="5">
        <f>C8+C10+C9</f>
        <v>325.40500000000003</v>
      </c>
      <c r="D7" s="5">
        <f>D8+D10+D9+D11</f>
        <v>186.6617</v>
      </c>
      <c r="E7" s="5">
        <f t="shared" si="2"/>
        <v>57.362886249442994</v>
      </c>
      <c r="F7" s="5">
        <f t="shared" si="1"/>
        <v>-138.74330000000003</v>
      </c>
    </row>
    <row r="8" spans="1:6">
      <c r="A8" s="7">
        <v>1030223001</v>
      </c>
      <c r="B8" s="8" t="s">
        <v>282</v>
      </c>
      <c r="C8" s="9">
        <v>121.37</v>
      </c>
      <c r="D8" s="10">
        <v>84.736549999999994</v>
      </c>
      <c r="E8" s="9">
        <f t="shared" si="2"/>
        <v>69.816717475488161</v>
      </c>
      <c r="F8" s="9">
        <f t="shared" si="1"/>
        <v>-36.633450000000011</v>
      </c>
    </row>
    <row r="9" spans="1:6">
      <c r="A9" s="7">
        <v>1030224001</v>
      </c>
      <c r="B9" s="8" t="s">
        <v>288</v>
      </c>
      <c r="C9" s="9">
        <v>1.3049999999999999</v>
      </c>
      <c r="D9" s="10">
        <v>0.64292000000000005</v>
      </c>
      <c r="E9" s="9">
        <f t="shared" si="2"/>
        <v>49.265900383141769</v>
      </c>
      <c r="F9" s="9">
        <f t="shared" si="1"/>
        <v>-0.66207999999999989</v>
      </c>
    </row>
    <row r="10" spans="1:6">
      <c r="A10" s="7">
        <v>1030225001</v>
      </c>
      <c r="B10" s="8" t="s">
        <v>281</v>
      </c>
      <c r="C10" s="9">
        <v>202.73</v>
      </c>
      <c r="D10" s="10">
        <v>117.42264</v>
      </c>
      <c r="E10" s="9">
        <f t="shared" si="2"/>
        <v>57.920702412075173</v>
      </c>
      <c r="F10" s="9">
        <f t="shared" si="1"/>
        <v>-85.307359999999989</v>
      </c>
    </row>
    <row r="11" spans="1:6">
      <c r="A11" s="7">
        <v>1030226001</v>
      </c>
      <c r="B11" s="8" t="s">
        <v>290</v>
      </c>
      <c r="C11" s="9">
        <v>0</v>
      </c>
      <c r="D11" s="10">
        <v>-16.140409999999999</v>
      </c>
      <c r="E11" s="9" t="e">
        <f t="shared" si="2"/>
        <v>#DIV/0!</v>
      </c>
      <c r="F11" s="9">
        <f t="shared" si="1"/>
        <v>-16.140409999999999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41.775889999999997</v>
      </c>
      <c r="E12" s="5">
        <f t="shared" si="0"/>
        <v>417.75889999999993</v>
      </c>
      <c r="F12" s="5">
        <f t="shared" si="1"/>
        <v>31.775889999999997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41.775889999999997</v>
      </c>
      <c r="E13" s="9">
        <f t="shared" si="0"/>
        <v>417.75889999999993</v>
      </c>
      <c r="F13" s="9">
        <f t="shared" si="1"/>
        <v>31.775889999999997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347</v>
      </c>
      <c r="D14" s="5">
        <f>D15+D16</f>
        <v>35.235030000000002</v>
      </c>
      <c r="E14" s="5">
        <f t="shared" si="0"/>
        <v>10.154187319884727</v>
      </c>
      <c r="F14" s="5">
        <f t="shared" si="1"/>
        <v>-311.76497000000001</v>
      </c>
    </row>
    <row r="15" spans="1:6" s="6" customFormat="1" ht="15.75" customHeight="1">
      <c r="A15" s="7">
        <v>1060100000</v>
      </c>
      <c r="B15" s="11" t="s">
        <v>8</v>
      </c>
      <c r="C15" s="9">
        <v>42</v>
      </c>
      <c r="D15" s="10">
        <v>4.4540699999999998</v>
      </c>
      <c r="E15" s="9">
        <f t="shared" si="0"/>
        <v>10.604928571428571</v>
      </c>
      <c r="F15" s="9">
        <f>SUM(D15-C15)</f>
        <v>-37.545929999999998</v>
      </c>
    </row>
    <row r="16" spans="1:6" ht="15.75" customHeight="1">
      <c r="A16" s="7">
        <v>1060600000</v>
      </c>
      <c r="B16" s="11" t="s">
        <v>7</v>
      </c>
      <c r="C16" s="9">
        <v>305</v>
      </c>
      <c r="D16" s="10">
        <v>30.78096</v>
      </c>
      <c r="E16" s="9">
        <f t="shared" si="0"/>
        <v>10.092118032786885</v>
      </c>
      <c r="F16" s="9">
        <f t="shared" si="1"/>
        <v>-274.21904000000001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2.15</v>
      </c>
      <c r="E17" s="5">
        <f t="shared" si="0"/>
        <v>43</v>
      </c>
      <c r="F17" s="5">
        <f t="shared" si="1"/>
        <v>-2.85</v>
      </c>
    </row>
    <row r="18" spans="1:6" ht="16.5" customHeight="1">
      <c r="A18" s="7">
        <v>1080400001</v>
      </c>
      <c r="B18" s="8" t="s">
        <v>227</v>
      </c>
      <c r="C18" s="9">
        <v>5</v>
      </c>
      <c r="D18" s="10">
        <v>2.15</v>
      </c>
      <c r="E18" s="9">
        <f t="shared" si="0"/>
        <v>43</v>
      </c>
      <c r="F18" s="9">
        <f t="shared" si="1"/>
        <v>-2.85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109</v>
      </c>
      <c r="D25" s="5">
        <f>D26+D29+D31+D37+D34</f>
        <v>69.782520000000005</v>
      </c>
      <c r="E25" s="5">
        <f t="shared" si="0"/>
        <v>64.020660550458715</v>
      </c>
      <c r="F25" s="5">
        <f t="shared" si="1"/>
        <v>-39.217479999999995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79</v>
      </c>
      <c r="D26" s="5">
        <f>D27+D28</f>
        <v>65.003399999999999</v>
      </c>
      <c r="E26" s="5">
        <f t="shared" si="0"/>
        <v>82.282784810126586</v>
      </c>
      <c r="F26" s="5">
        <f t="shared" si="1"/>
        <v>-13.996600000000001</v>
      </c>
    </row>
    <row r="27" spans="1:6">
      <c r="A27" s="16">
        <v>1110502510</v>
      </c>
      <c r="B27" s="17" t="s">
        <v>225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224</v>
      </c>
      <c r="C28" s="12">
        <v>17</v>
      </c>
      <c r="D28" s="10">
        <v>13.005599999999999</v>
      </c>
      <c r="E28" s="9">
        <f t="shared" si="0"/>
        <v>76.503529411764703</v>
      </c>
      <c r="F28" s="9">
        <f t="shared" si="1"/>
        <v>-3.9944000000000006</v>
      </c>
    </row>
    <row r="29" spans="1:6" s="15" customFormat="1" ht="37.5" customHeight="1">
      <c r="A29" s="68">
        <v>1130000000</v>
      </c>
      <c r="B29" s="69" t="s">
        <v>130</v>
      </c>
      <c r="C29" s="5">
        <f>C30</f>
        <v>30</v>
      </c>
      <c r="D29" s="5">
        <f>D30</f>
        <v>4.7791199999999998</v>
      </c>
      <c r="E29" s="5">
        <f t="shared" si="0"/>
        <v>15.930400000000001</v>
      </c>
      <c r="F29" s="5">
        <f t="shared" si="1"/>
        <v>-25.220880000000001</v>
      </c>
    </row>
    <row r="30" spans="1:6">
      <c r="A30" s="7">
        <v>1130206005</v>
      </c>
      <c r="B30" s="8" t="s">
        <v>223</v>
      </c>
      <c r="C30" s="9">
        <v>30</v>
      </c>
      <c r="D30" s="10">
        <v>4.7791199999999998</v>
      </c>
      <c r="E30" s="9">
        <f t="shared" si="0"/>
        <v>15.930400000000001</v>
      </c>
      <c r="F30" s="9">
        <f t="shared" si="1"/>
        <v>-25.220880000000001</v>
      </c>
    </row>
    <row r="31" spans="1:6" ht="27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18</v>
      </c>
      <c r="C40" s="127">
        <f>SUM(C4,C25)</f>
        <v>833.452</v>
      </c>
      <c r="D40" s="127">
        <f>D4+D25</f>
        <v>358.28716999999995</v>
      </c>
      <c r="E40" s="5">
        <f t="shared" si="0"/>
        <v>42.988338860546257</v>
      </c>
      <c r="F40" s="5">
        <f t="shared" si="1"/>
        <v>-475.16483000000005</v>
      </c>
    </row>
    <row r="41" spans="1:7" s="6" customFormat="1">
      <c r="A41" s="3">
        <v>2000000000</v>
      </c>
      <c r="B41" s="4" t="s">
        <v>19</v>
      </c>
      <c r="C41" s="5">
        <f>C42+C43+C44+C45+C46+C47+C50</f>
        <v>3266.1811199999997</v>
      </c>
      <c r="D41" s="5">
        <f>D42+D43+D44+D45+D46+D47+D50</f>
        <v>1112.028</v>
      </c>
      <c r="E41" s="5">
        <f t="shared" si="0"/>
        <v>34.046734064766135</v>
      </c>
      <c r="F41" s="5">
        <f t="shared" si="1"/>
        <v>-2154.1531199999999</v>
      </c>
      <c r="G41" s="19"/>
    </row>
    <row r="42" spans="1:7" ht="16.5" customHeight="1">
      <c r="A42" s="16">
        <v>2021000000</v>
      </c>
      <c r="B42" s="17" t="s">
        <v>20</v>
      </c>
      <c r="C42" s="12">
        <v>1347.9</v>
      </c>
      <c r="D42" s="12">
        <v>673.95</v>
      </c>
      <c r="E42" s="9">
        <f t="shared" si="0"/>
        <v>50</v>
      </c>
      <c r="F42" s="9">
        <f t="shared" si="1"/>
        <v>-673.95</v>
      </c>
    </row>
    <row r="43" spans="1:7" ht="15.75" customHeight="1">
      <c r="A43" s="16">
        <v>2021500200</v>
      </c>
      <c r="B43" s="17" t="s">
        <v>231</v>
      </c>
      <c r="C43" s="12">
        <v>320</v>
      </c>
      <c r="D43" s="20">
        <v>145</v>
      </c>
      <c r="E43" s="9">
        <f t="shared" si="0"/>
        <v>45.3125</v>
      </c>
      <c r="F43" s="9">
        <f t="shared" si="1"/>
        <v>-175</v>
      </c>
    </row>
    <row r="44" spans="1:7" ht="18" customHeight="1">
      <c r="A44" s="16">
        <v>2022000000</v>
      </c>
      <c r="B44" s="17" t="s">
        <v>21</v>
      </c>
      <c r="C44" s="12">
        <v>1213.53934</v>
      </c>
      <c r="D44" s="10">
        <v>173.25200000000001</v>
      </c>
      <c r="E44" s="9">
        <f t="shared" si="0"/>
        <v>14.276587028484796</v>
      </c>
      <c r="F44" s="9">
        <f t="shared" si="1"/>
        <v>-1040.2873400000001</v>
      </c>
    </row>
    <row r="45" spans="1:7" ht="15.75" customHeight="1">
      <c r="A45" s="16">
        <v>2023000000</v>
      </c>
      <c r="B45" s="17" t="s">
        <v>22</v>
      </c>
      <c r="C45" s="12">
        <v>91.480999999999995</v>
      </c>
      <c r="D45" s="200">
        <v>44.826000000000001</v>
      </c>
      <c r="E45" s="9">
        <f t="shared" si="0"/>
        <v>49.000338868180279</v>
      </c>
      <c r="F45" s="9">
        <f t="shared" si="1"/>
        <v>-46.654999999999994</v>
      </c>
    </row>
    <row r="46" spans="1:7" ht="14.25" customHeight="1">
      <c r="A46" s="16">
        <v>2024000000</v>
      </c>
      <c r="B46" s="17" t="s">
        <v>23</v>
      </c>
      <c r="C46" s="12">
        <v>175</v>
      </c>
      <c r="D46" s="201">
        <v>75</v>
      </c>
      <c r="E46" s="9">
        <f t="shared" si="0"/>
        <v>42.857142857142854</v>
      </c>
      <c r="F46" s="9">
        <f t="shared" si="1"/>
        <v>-100</v>
      </c>
    </row>
    <row r="47" spans="1:7" ht="17.25" customHeight="1">
      <c r="A47" s="16">
        <v>2020900000</v>
      </c>
      <c r="B47" s="18" t="s">
        <v>24</v>
      </c>
      <c r="C47" s="12"/>
      <c r="D47" s="201"/>
      <c r="E47" s="9" t="e">
        <f t="shared" si="0"/>
        <v>#DIV/0!</v>
      </c>
      <c r="F47" s="9">
        <f t="shared" si="1"/>
        <v>0</v>
      </c>
    </row>
    <row r="48" spans="1:7" ht="15.75" customHeight="1">
      <c r="A48" s="16">
        <v>2080500010</v>
      </c>
      <c r="B48" s="18" t="s">
        <v>255</v>
      </c>
      <c r="C48" s="12"/>
      <c r="D48" s="201"/>
      <c r="E48" s="9"/>
      <c r="F48" s="9"/>
    </row>
    <row r="49" spans="1:8" s="6" customFormat="1" ht="15" customHeight="1">
      <c r="A49" s="3">
        <v>3000000000</v>
      </c>
      <c r="B49" s="13" t="s">
        <v>26</v>
      </c>
      <c r="C49" s="20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16">
        <v>2023000000</v>
      </c>
      <c r="B50" s="8" t="s">
        <v>352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7">
        <v>2070500010</v>
      </c>
      <c r="B51" s="4" t="s">
        <v>27</v>
      </c>
      <c r="C51" s="268">
        <f>C40+C41</f>
        <v>4099.6331199999995</v>
      </c>
      <c r="D51" s="269">
        <f>D40+D41</f>
        <v>1470.3151699999999</v>
      </c>
      <c r="E51" s="93">
        <f t="shared" si="0"/>
        <v>35.864554875095749</v>
      </c>
      <c r="F51" s="93">
        <f t="shared" si="1"/>
        <v>-2629.3179499999997</v>
      </c>
      <c r="G51" s="94"/>
      <c r="H51" s="263"/>
    </row>
    <row r="52" spans="1:8" s="6" customFormat="1" ht="16.5" customHeight="1">
      <c r="A52" s="7"/>
      <c r="B52" s="21" t="s">
        <v>321</v>
      </c>
      <c r="C52" s="268">
        <f>C51-C98</f>
        <v>-170.14937000000009</v>
      </c>
      <c r="D52" s="268">
        <f>D51-D98</f>
        <v>42.030229999999847</v>
      </c>
      <c r="E52" s="208"/>
      <c r="F52" s="208"/>
    </row>
    <row r="53" spans="1:8">
      <c r="A53" s="3"/>
      <c r="B53" s="24"/>
      <c r="C53" s="231"/>
      <c r="D53" s="231"/>
      <c r="E53" s="26"/>
      <c r="F53" s="27"/>
    </row>
    <row r="54" spans="1:8" ht="32.25" customHeight="1">
      <c r="A54" s="23"/>
      <c r="B54" s="28" t="s">
        <v>28</v>
      </c>
      <c r="C54" s="197" t="s">
        <v>411</v>
      </c>
      <c r="D54" s="73" t="s">
        <v>424</v>
      </c>
      <c r="E54" s="72" t="s">
        <v>2</v>
      </c>
      <c r="F54" s="74" t="s">
        <v>3</v>
      </c>
    </row>
    <row r="55" spans="1:8" ht="63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30</v>
      </c>
      <c r="C56" s="33">
        <f>C57+C58+C59+C60+C61+C63+C62</f>
        <v>1090.578</v>
      </c>
      <c r="D56" s="33">
        <f>D57+D58+D59+D60+D61+D63+D62</f>
        <v>462.29465999999996</v>
      </c>
      <c r="E56" s="34">
        <f>SUM(D56/C56*100)</f>
        <v>42.389875827313588</v>
      </c>
      <c r="F56" s="34">
        <f>SUM(D56-C56)</f>
        <v>-628.28333999999995</v>
      </c>
    </row>
    <row r="57" spans="1:8" s="6" customFormat="1" ht="15.75" hidden="1" customHeight="1">
      <c r="A57" s="30" t="s">
        <v>29</v>
      </c>
      <c r="B57" s="36" t="s">
        <v>32</v>
      </c>
      <c r="C57" s="209"/>
      <c r="D57" s="209"/>
      <c r="E57" s="38"/>
      <c r="F57" s="38"/>
    </row>
    <row r="58" spans="1:8" ht="17.25" customHeight="1">
      <c r="A58" s="35" t="s">
        <v>31</v>
      </c>
      <c r="B58" s="39" t="s">
        <v>34</v>
      </c>
      <c r="C58" s="209">
        <v>1078.4780000000001</v>
      </c>
      <c r="D58" s="209">
        <v>459.71665999999999</v>
      </c>
      <c r="E58" s="38">
        <f t="shared" ref="E58:E98" si="3">SUM(D58/C58*100)</f>
        <v>42.626429097301937</v>
      </c>
      <c r="F58" s="38">
        <f t="shared" ref="F58:F98" si="4">SUM(D58-C58)</f>
        <v>-618.76134000000002</v>
      </c>
    </row>
    <row r="59" spans="1:8" ht="17.25" hidden="1" customHeight="1">
      <c r="A59" s="35" t="s">
        <v>33</v>
      </c>
      <c r="B59" s="39" t="s">
        <v>36</v>
      </c>
      <c r="C59" s="209"/>
      <c r="D59" s="209"/>
      <c r="E59" s="38"/>
      <c r="F59" s="38">
        <f t="shared" si="4"/>
        <v>0</v>
      </c>
    </row>
    <row r="60" spans="1:8" ht="15.75" hidden="1" customHeight="1">
      <c r="A60" s="35" t="s">
        <v>35</v>
      </c>
      <c r="B60" s="39" t="s">
        <v>38</v>
      </c>
      <c r="C60" s="209"/>
      <c r="D60" s="20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40</v>
      </c>
      <c r="C61" s="209">
        <v>0</v>
      </c>
      <c r="D61" s="20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210">
        <v>5</v>
      </c>
      <c r="D62" s="21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43</v>
      </c>
      <c r="B63" s="39" t="s">
        <v>44</v>
      </c>
      <c r="C63" s="209">
        <v>7.1</v>
      </c>
      <c r="D63" s="209">
        <v>2.5779999999999998</v>
      </c>
      <c r="E63" s="38">
        <f t="shared" si="3"/>
        <v>36.309859154929576</v>
      </c>
      <c r="F63" s="38">
        <f t="shared" si="4"/>
        <v>-4.5220000000000002</v>
      </c>
    </row>
    <row r="64" spans="1:8" s="6" customFormat="1">
      <c r="A64" s="30" t="s">
        <v>45</v>
      </c>
      <c r="B64" s="42" t="s">
        <v>46</v>
      </c>
      <c r="C64" s="33">
        <f>C65</f>
        <v>89.944999999999993</v>
      </c>
      <c r="D64" s="33">
        <f>D65</f>
        <v>39.739049999999999</v>
      </c>
      <c r="E64" s="34">
        <f t="shared" si="3"/>
        <v>44.181499805436658</v>
      </c>
      <c r="F64" s="34">
        <f t="shared" si="4"/>
        <v>-50.205949999999994</v>
      </c>
    </row>
    <row r="65" spans="1:9">
      <c r="A65" s="507" t="s">
        <v>47</v>
      </c>
      <c r="B65" s="44" t="s">
        <v>48</v>
      </c>
      <c r="C65" s="209">
        <v>89.944999999999993</v>
      </c>
      <c r="D65" s="209">
        <v>39.739049999999999</v>
      </c>
      <c r="E65" s="38">
        <f t="shared" si="3"/>
        <v>44.181499805436658</v>
      </c>
      <c r="F65" s="38">
        <f t="shared" si="4"/>
        <v>-50.205949999999994</v>
      </c>
    </row>
    <row r="66" spans="1:9" s="6" customFormat="1" ht="18" customHeight="1">
      <c r="A66" s="43" t="s">
        <v>49</v>
      </c>
      <c r="B66" s="31" t="s">
        <v>50</v>
      </c>
      <c r="C66" s="33">
        <f>C69+C70+C71</f>
        <v>9.4</v>
      </c>
      <c r="D66" s="33">
        <f>D69+D70</f>
        <v>0</v>
      </c>
      <c r="E66" s="34">
        <f t="shared" si="3"/>
        <v>0</v>
      </c>
      <c r="F66" s="34">
        <f t="shared" si="4"/>
        <v>-9.4</v>
      </c>
    </row>
    <row r="67" spans="1:9" ht="1.5" hidden="1" customHeight="1">
      <c r="A67" s="30" t="s">
        <v>49</v>
      </c>
      <c r="B67" s="39" t="s">
        <v>52</v>
      </c>
      <c r="C67" s="20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51</v>
      </c>
      <c r="B68" s="39" t="s">
        <v>54</v>
      </c>
      <c r="C68" s="20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55</v>
      </c>
      <c r="B69" s="47" t="s">
        <v>56</v>
      </c>
      <c r="C69" s="211">
        <v>2.4</v>
      </c>
      <c r="D69" s="33">
        <v>0</v>
      </c>
      <c r="E69" s="34">
        <f t="shared" si="3"/>
        <v>0</v>
      </c>
      <c r="F69" s="34">
        <f t="shared" si="4"/>
        <v>-2.4</v>
      </c>
    </row>
    <row r="70" spans="1:9">
      <c r="A70" s="46" t="s">
        <v>218</v>
      </c>
      <c r="B70" s="47" t="s">
        <v>219</v>
      </c>
      <c r="C70" s="209">
        <v>5</v>
      </c>
      <c r="D70" s="209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357</v>
      </c>
      <c r="B71" s="47" t="s">
        <v>414</v>
      </c>
      <c r="C71" s="209">
        <v>2</v>
      </c>
      <c r="D71" s="209"/>
      <c r="E71" s="34"/>
      <c r="F71" s="34"/>
    </row>
    <row r="72" spans="1:9" s="6" customFormat="1" ht="17.25" customHeight="1">
      <c r="A72" s="508" t="s">
        <v>57</v>
      </c>
      <c r="B72" s="31" t="s">
        <v>58</v>
      </c>
      <c r="C72" s="33">
        <f>SUM(C73:C76)</f>
        <v>1891.95949</v>
      </c>
      <c r="D72" s="33">
        <f>SUM(D73:D76)</f>
        <v>251.58485999999999</v>
      </c>
      <c r="E72" s="34">
        <f t="shared" si="3"/>
        <v>13.297581757419131</v>
      </c>
      <c r="F72" s="34">
        <f t="shared" si="4"/>
        <v>-1640.37463</v>
      </c>
      <c r="I72" s="108"/>
    </row>
    <row r="73" spans="1:9" ht="15.75" customHeight="1">
      <c r="A73" s="35" t="s">
        <v>59</v>
      </c>
      <c r="B73" s="39" t="s">
        <v>60</v>
      </c>
      <c r="C73" s="209">
        <v>4.0214999999999996</v>
      </c>
      <c r="D73" s="209">
        <v>0</v>
      </c>
      <c r="E73" s="38">
        <f t="shared" si="3"/>
        <v>0</v>
      </c>
      <c r="F73" s="38">
        <f t="shared" si="4"/>
        <v>-4.0214999999999996</v>
      </c>
    </row>
    <row r="74" spans="1:9" s="6" customFormat="1" ht="19.5" customHeight="1">
      <c r="A74" s="35" t="s">
        <v>61</v>
      </c>
      <c r="B74" s="39" t="s">
        <v>62</v>
      </c>
      <c r="C74" s="209">
        <v>44.255000000000003</v>
      </c>
      <c r="D74" s="209">
        <v>6.6067600000000004</v>
      </c>
      <c r="E74" s="38">
        <f t="shared" si="3"/>
        <v>14.928844198395661</v>
      </c>
      <c r="F74" s="38">
        <f t="shared" si="4"/>
        <v>-37.648240000000001</v>
      </c>
      <c r="G74" s="50"/>
    </row>
    <row r="75" spans="1:9">
      <c r="A75" s="35" t="s">
        <v>63</v>
      </c>
      <c r="B75" s="39" t="s">
        <v>64</v>
      </c>
      <c r="C75" s="209">
        <v>1695.5829900000001</v>
      </c>
      <c r="D75" s="209">
        <v>196.87809999999999</v>
      </c>
      <c r="E75" s="38">
        <f t="shared" si="3"/>
        <v>11.611233490847887</v>
      </c>
      <c r="F75" s="38">
        <f t="shared" si="4"/>
        <v>-1498.7048900000002</v>
      </c>
    </row>
    <row r="76" spans="1:9">
      <c r="A76" s="35" t="s">
        <v>65</v>
      </c>
      <c r="B76" s="39" t="s">
        <v>66</v>
      </c>
      <c r="C76" s="209">
        <v>148.1</v>
      </c>
      <c r="D76" s="209">
        <v>48.1</v>
      </c>
      <c r="E76" s="38">
        <f t="shared" si="3"/>
        <v>32.4780553679946</v>
      </c>
      <c r="F76" s="38">
        <f t="shared" si="4"/>
        <v>-100</v>
      </c>
    </row>
    <row r="77" spans="1:9" s="6" customFormat="1" ht="18" customHeight="1">
      <c r="A77" s="30" t="s">
        <v>67</v>
      </c>
      <c r="B77" s="31" t="s">
        <v>68</v>
      </c>
      <c r="C77" s="33">
        <f>SUM(C78:C80)</f>
        <v>385.5</v>
      </c>
      <c r="D77" s="33">
        <f>SUM(D78:D80)</f>
        <v>264.46636999999998</v>
      </c>
      <c r="E77" s="34">
        <f t="shared" si="3"/>
        <v>68.603468223086892</v>
      </c>
      <c r="F77" s="34">
        <f t="shared" si="4"/>
        <v>-121.03363000000002</v>
      </c>
    </row>
    <row r="78" spans="1:9" ht="15" hidden="1" customHeight="1">
      <c r="A78" s="30" t="s">
        <v>67</v>
      </c>
      <c r="B78" s="51" t="s">
        <v>70</v>
      </c>
      <c r="C78" s="209"/>
      <c r="D78" s="209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69</v>
      </c>
      <c r="B79" s="51" t="s">
        <v>72</v>
      </c>
      <c r="C79" s="209"/>
      <c r="D79" s="209"/>
      <c r="E79" s="38" t="e">
        <f t="shared" si="3"/>
        <v>#DIV/0!</v>
      </c>
      <c r="F79" s="38">
        <f t="shared" si="4"/>
        <v>0</v>
      </c>
    </row>
    <row r="80" spans="1:9">
      <c r="A80" s="35" t="s">
        <v>73</v>
      </c>
      <c r="B80" s="39" t="s">
        <v>74</v>
      </c>
      <c r="C80" s="209">
        <v>385.5</v>
      </c>
      <c r="D80" s="209">
        <v>264.46636999999998</v>
      </c>
      <c r="E80" s="38">
        <f t="shared" si="3"/>
        <v>68.603468223086892</v>
      </c>
      <c r="F80" s="38">
        <f t="shared" si="4"/>
        <v>-121.03363000000002</v>
      </c>
    </row>
    <row r="81" spans="1:12" s="6" customFormat="1">
      <c r="A81" s="30" t="s">
        <v>85</v>
      </c>
      <c r="B81" s="31" t="s">
        <v>86</v>
      </c>
      <c r="C81" s="33">
        <f>C82</f>
        <v>801.4</v>
      </c>
      <c r="D81" s="33">
        <f>SUM(D82)</f>
        <v>410.2</v>
      </c>
      <c r="E81" s="34">
        <f t="shared" si="3"/>
        <v>51.185425505365615</v>
      </c>
      <c r="F81" s="34">
        <f t="shared" si="4"/>
        <v>-391.2</v>
      </c>
    </row>
    <row r="82" spans="1:12" ht="15.75" customHeight="1">
      <c r="A82" s="35" t="s">
        <v>87</v>
      </c>
      <c r="B82" s="39" t="s">
        <v>233</v>
      </c>
      <c r="C82" s="209">
        <v>801.4</v>
      </c>
      <c r="D82" s="209">
        <v>410.2</v>
      </c>
      <c r="E82" s="38">
        <f t="shared" si="3"/>
        <v>51.185425505365615</v>
      </c>
      <c r="F82" s="38">
        <f t="shared" si="4"/>
        <v>-391.2</v>
      </c>
      <c r="L82" s="107"/>
    </row>
    <row r="83" spans="1:12" s="6" customFormat="1">
      <c r="A83" s="35" t="s">
        <v>211</v>
      </c>
      <c r="B83" s="31" t="s">
        <v>88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89</v>
      </c>
      <c r="C84" s="209"/>
      <c r="D84" s="209"/>
      <c r="E84" s="258" t="e">
        <f>SUM(D84/C84*100)</f>
        <v>#DIV/0!</v>
      </c>
      <c r="F84" s="258">
        <f>SUM(D84-C84)</f>
        <v>0</v>
      </c>
    </row>
    <row r="85" spans="1:12" hidden="1">
      <c r="A85" s="53">
        <v>1001</v>
      </c>
      <c r="B85" s="54" t="s">
        <v>90</v>
      </c>
      <c r="C85" s="209"/>
      <c r="D85" s="209"/>
      <c r="E85" s="258" t="e">
        <f>SUM(D85/C85*100)</f>
        <v>#DIV/0!</v>
      </c>
      <c r="F85" s="258">
        <f>SUM(D85-C85)</f>
        <v>0</v>
      </c>
    </row>
    <row r="86" spans="1:12" hidden="1">
      <c r="A86" s="53">
        <v>1003</v>
      </c>
      <c r="B86" s="54" t="s">
        <v>91</v>
      </c>
      <c r="C86" s="209"/>
      <c r="D86" s="212"/>
      <c r="E86" s="258" t="e">
        <f>SUM(D86/C86*100)</f>
        <v>#DIV/0!</v>
      </c>
      <c r="F86" s="258">
        <f>SUM(D86-C86)</f>
        <v>0</v>
      </c>
    </row>
    <row r="87" spans="1:12" ht="15" customHeight="1">
      <c r="A87" s="53">
        <v>1004</v>
      </c>
      <c r="B87" s="39" t="s">
        <v>93</v>
      </c>
      <c r="C87" s="209">
        <v>0</v>
      </c>
      <c r="D87" s="209">
        <v>0</v>
      </c>
      <c r="E87" s="258" t="e">
        <f>SUM(D87/C87*100)</f>
        <v>#DIV/0!</v>
      </c>
      <c r="F87" s="258">
        <f>SUM(D87-C87)</f>
        <v>0</v>
      </c>
    </row>
    <row r="88" spans="1:12" ht="19.5" customHeight="1">
      <c r="A88" s="30" t="s">
        <v>94</v>
      </c>
      <c r="B88" s="31" t="s">
        <v>95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5" t="s">
        <v>96</v>
      </c>
      <c r="B89" s="39" t="s">
        <v>97</v>
      </c>
      <c r="C89" s="209">
        <v>1</v>
      </c>
      <c r="D89" s="209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96</v>
      </c>
      <c r="B90" s="39" t="s">
        <v>99</v>
      </c>
      <c r="C90" s="209"/>
      <c r="D90" s="20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98</v>
      </c>
      <c r="B91" s="39" t="s">
        <v>101</v>
      </c>
      <c r="C91" s="209"/>
      <c r="D91" s="209"/>
      <c r="E91" s="38" t="e">
        <f t="shared" si="3"/>
        <v>#DIV/0!</v>
      </c>
      <c r="F91" s="38"/>
    </row>
    <row r="92" spans="1:12" ht="3" hidden="1" customHeight="1">
      <c r="A92" s="35" t="s">
        <v>100</v>
      </c>
      <c r="B92" s="39" t="s">
        <v>103</v>
      </c>
      <c r="C92" s="209"/>
      <c r="D92" s="209"/>
      <c r="E92" s="38" t="e">
        <f t="shared" si="3"/>
        <v>#DIV/0!</v>
      </c>
      <c r="F92" s="38"/>
    </row>
    <row r="93" spans="1:12" ht="15" hidden="1" customHeight="1">
      <c r="A93" s="35" t="s">
        <v>102</v>
      </c>
      <c r="B93" s="39" t="s">
        <v>105</v>
      </c>
      <c r="C93" s="209"/>
      <c r="D93" s="209"/>
      <c r="E93" s="38" t="e">
        <f t="shared" si="3"/>
        <v>#DIV/0!</v>
      </c>
      <c r="F93" s="38"/>
    </row>
    <row r="94" spans="1:12" s="6" customFormat="1" ht="12" hidden="1" customHeight="1">
      <c r="A94" s="35" t="s">
        <v>104</v>
      </c>
      <c r="B94" s="56" t="s">
        <v>114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115</v>
      </c>
      <c r="C95" s="209"/>
      <c r="D95" s="20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116</v>
      </c>
      <c r="C96" s="209"/>
      <c r="D96" s="20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117</v>
      </c>
      <c r="C97" s="209"/>
      <c r="D97" s="20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118</v>
      </c>
      <c r="C98" s="270">
        <f>C56+C64+C66+C72+C77+C81+C88+C83</f>
        <v>4269.7824899999996</v>
      </c>
      <c r="D98" s="270">
        <f>D56+D64+D66+D72+D77+D81+D88+D83</f>
        <v>1428.28494</v>
      </c>
      <c r="E98" s="34">
        <f t="shared" si="3"/>
        <v>33.450999982905458</v>
      </c>
      <c r="F98" s="34">
        <f t="shared" si="4"/>
        <v>-2841.4975499999996</v>
      </c>
      <c r="G98" s="151">
        <f>4064.78249-C98</f>
        <v>-204.99999999999955</v>
      </c>
      <c r="H98" s="300">
        <f>566.80169-D98</f>
        <v>-861.48325</v>
      </c>
    </row>
    <row r="99" spans="1:8" ht="20.25" customHeight="1">
      <c r="A99" s="52"/>
      <c r="C99" s="126"/>
      <c r="D99" s="101"/>
    </row>
    <row r="100" spans="1:8" s="65" customFormat="1" ht="13.5" customHeight="1">
      <c r="A100" s="58"/>
      <c r="B100" s="63"/>
      <c r="C100" s="116"/>
      <c r="D100" s="64"/>
      <c r="E100" s="64"/>
    </row>
    <row r="101" spans="1:8" s="65" customFormat="1" ht="12.75">
      <c r="A101" s="63" t="s">
        <v>119</v>
      </c>
      <c r="B101" s="66"/>
      <c r="C101" s="134" t="s">
        <v>121</v>
      </c>
      <c r="D101" s="134"/>
    </row>
    <row r="102" spans="1:8">
      <c r="A102" s="66" t="s">
        <v>120</v>
      </c>
      <c r="C102" s="120"/>
    </row>
    <row r="104" spans="1:8" ht="5.25" customHeight="1"/>
    <row r="142" hidden="1"/>
  </sheetData>
  <customSheetViews>
    <customSheetView guid="{B30CE22D-C12F-4E12-8BB9-3AAE0A6991CC}" scale="70" showPageBreaks="1" printArea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B31C8DB7-3E78-4144-A6B5-8DE36DE63F0E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  <customSheetView guid="{61528DAC-5C4C-48F4-ADE2-8A724B05A086}" scale="70" showPageBreaks="1" hiddenRows="1" view="pageBreakPreview" topLeftCell="A27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31" zoomScale="70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4" t="s">
        <v>437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2613.5920000000001</v>
      </c>
      <c r="D4" s="5">
        <f>D5+D12+D14+D17+D7</f>
        <v>892.58123999999998</v>
      </c>
      <c r="E4" s="5">
        <f>SUM(D4/C4*100)</f>
        <v>34.151514084830374</v>
      </c>
      <c r="F4" s="5">
        <f>SUM(D4-C4)</f>
        <v>-1721.0107600000001</v>
      </c>
    </row>
    <row r="5" spans="1:6" s="6" customFormat="1">
      <c r="A5" s="68">
        <v>1010000000</v>
      </c>
      <c r="B5" s="67" t="s">
        <v>5</v>
      </c>
      <c r="C5" s="5">
        <f>C6</f>
        <v>132.63200000000001</v>
      </c>
      <c r="D5" s="5">
        <f>D6</f>
        <v>56.827190000000002</v>
      </c>
      <c r="E5" s="5">
        <f t="shared" ref="E5:E50" si="0">SUM(D5/C5*100)</f>
        <v>42.845761203932689</v>
      </c>
      <c r="F5" s="5">
        <f t="shared" ref="F5:F50" si="1">SUM(D5-C5)</f>
        <v>-75.804810000000003</v>
      </c>
    </row>
    <row r="6" spans="1:6">
      <c r="A6" s="7">
        <v>1010200001</v>
      </c>
      <c r="B6" s="8" t="s">
        <v>228</v>
      </c>
      <c r="C6" s="9">
        <v>132.63200000000001</v>
      </c>
      <c r="D6" s="10">
        <v>56.827190000000002</v>
      </c>
      <c r="E6" s="9">
        <f t="shared" ref="E6:E11" si="2">SUM(D6/C6*100)</f>
        <v>42.845761203932689</v>
      </c>
      <c r="F6" s="9">
        <f t="shared" si="1"/>
        <v>-75.804810000000003</v>
      </c>
    </row>
    <row r="7" spans="1:6" ht="31.5">
      <c r="A7" s="3">
        <v>1030000000</v>
      </c>
      <c r="B7" s="13" t="s">
        <v>280</v>
      </c>
      <c r="C7" s="5">
        <f>C8+C10+C9</f>
        <v>499.96000000000004</v>
      </c>
      <c r="D7" s="5">
        <f>D8+D10+D9+D11</f>
        <v>286.79145999999997</v>
      </c>
      <c r="E7" s="5">
        <f t="shared" si="2"/>
        <v>57.362881030482427</v>
      </c>
      <c r="F7" s="5">
        <f t="shared" si="1"/>
        <v>-213.16854000000006</v>
      </c>
    </row>
    <row r="8" spans="1:6">
      <c r="A8" s="7">
        <v>1030223001</v>
      </c>
      <c r="B8" s="8" t="s">
        <v>282</v>
      </c>
      <c r="C8" s="9">
        <v>186.49</v>
      </c>
      <c r="D8" s="10">
        <v>130.19126</v>
      </c>
      <c r="E8" s="9">
        <f t="shared" si="2"/>
        <v>69.811389350635423</v>
      </c>
      <c r="F8" s="9">
        <f t="shared" si="1"/>
        <v>-56.298740000000009</v>
      </c>
    </row>
    <row r="9" spans="1:6">
      <c r="A9" s="7">
        <v>1030224001</v>
      </c>
      <c r="B9" s="8" t="s">
        <v>288</v>
      </c>
      <c r="C9" s="9">
        <v>2</v>
      </c>
      <c r="D9" s="10">
        <v>0.98775999999999997</v>
      </c>
      <c r="E9" s="9">
        <f t="shared" si="2"/>
        <v>49.387999999999998</v>
      </c>
      <c r="F9" s="9">
        <f t="shared" si="1"/>
        <v>-1.01224</v>
      </c>
    </row>
    <row r="10" spans="1:6">
      <c r="A10" s="7">
        <v>1030225001</v>
      </c>
      <c r="B10" s="8" t="s">
        <v>281</v>
      </c>
      <c r="C10" s="9">
        <v>311.47000000000003</v>
      </c>
      <c r="D10" s="10">
        <v>180.41093000000001</v>
      </c>
      <c r="E10" s="9">
        <f t="shared" si="2"/>
        <v>57.92240986290814</v>
      </c>
      <c r="F10" s="9">
        <f t="shared" si="1"/>
        <v>-131.05907000000002</v>
      </c>
    </row>
    <row r="11" spans="1:6">
      <c r="A11" s="7">
        <v>1030226001</v>
      </c>
      <c r="B11" s="8" t="s">
        <v>290</v>
      </c>
      <c r="C11" s="9">
        <v>0</v>
      </c>
      <c r="D11" s="10">
        <v>-24.798490000000001</v>
      </c>
      <c r="E11" s="9" t="e">
        <f t="shared" si="2"/>
        <v>#DIV/0!</v>
      </c>
      <c r="F11" s="9">
        <f t="shared" si="1"/>
        <v>-24.798490000000001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13.89498</v>
      </c>
      <c r="E12" s="5">
        <f t="shared" si="0"/>
        <v>34.737450000000003</v>
      </c>
      <c r="F12" s="5">
        <f t="shared" si="1"/>
        <v>-26.10502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13.89498</v>
      </c>
      <c r="E13" s="9">
        <f t="shared" si="0"/>
        <v>34.737450000000003</v>
      </c>
      <c r="F13" s="9">
        <f t="shared" si="1"/>
        <v>-26.10502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1929</v>
      </c>
      <c r="D14" s="5">
        <f>D15+D16</f>
        <v>529.66760999999997</v>
      </c>
      <c r="E14" s="5">
        <f t="shared" si="0"/>
        <v>27.458144634525659</v>
      </c>
      <c r="F14" s="5">
        <f t="shared" si="1"/>
        <v>-1399.33239</v>
      </c>
    </row>
    <row r="15" spans="1:6" s="6" customFormat="1" ht="15.75" customHeight="1">
      <c r="A15" s="7">
        <v>1060100000</v>
      </c>
      <c r="B15" s="11" t="s">
        <v>8</v>
      </c>
      <c r="C15" s="9">
        <v>229</v>
      </c>
      <c r="D15" s="10">
        <v>18.115760000000002</v>
      </c>
      <c r="E15" s="9">
        <f t="shared" si="0"/>
        <v>7.9108122270742358</v>
      </c>
      <c r="F15" s="9">
        <f>SUM(D15-C15)</f>
        <v>-210.88424000000001</v>
      </c>
    </row>
    <row r="16" spans="1:6" ht="15.75" customHeight="1">
      <c r="A16" s="7">
        <v>1060600000</v>
      </c>
      <c r="B16" s="11" t="s">
        <v>7</v>
      </c>
      <c r="C16" s="9">
        <v>1700</v>
      </c>
      <c r="D16" s="10">
        <v>511.55185</v>
      </c>
      <c r="E16" s="9">
        <f t="shared" si="0"/>
        <v>30.091285294117647</v>
      </c>
      <c r="F16" s="9">
        <f t="shared" si="1"/>
        <v>-1188.4481499999999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5.4</v>
      </c>
      <c r="E17" s="5">
        <f t="shared" si="0"/>
        <v>45</v>
      </c>
      <c r="F17" s="5">
        <f t="shared" si="1"/>
        <v>-6.6</v>
      </c>
    </row>
    <row r="18" spans="1:6" ht="15" customHeight="1">
      <c r="A18" s="7">
        <v>1080400001</v>
      </c>
      <c r="B18" s="8" t="s">
        <v>227</v>
      </c>
      <c r="C18" s="9">
        <v>12</v>
      </c>
      <c r="D18" s="10">
        <v>5.4</v>
      </c>
      <c r="E18" s="9">
        <f t="shared" si="0"/>
        <v>45</v>
      </c>
      <c r="F18" s="9">
        <f t="shared" si="1"/>
        <v>-6.6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315.10000000000002</v>
      </c>
      <c r="D25" s="5">
        <f>D26+D29+D31+D36+D34</f>
        <v>205.27814000000001</v>
      </c>
      <c r="E25" s="5">
        <f t="shared" si="0"/>
        <v>65.146981910504593</v>
      </c>
      <c r="F25" s="5">
        <f t="shared" si="1"/>
        <v>-109.82186000000002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275.10000000000002</v>
      </c>
      <c r="D26" s="5">
        <f>D27+D28</f>
        <v>143.68583000000001</v>
      </c>
      <c r="E26" s="5">
        <f t="shared" si="0"/>
        <v>52.230399854598332</v>
      </c>
      <c r="F26" s="5">
        <f t="shared" si="1"/>
        <v>-131.41417000000001</v>
      </c>
    </row>
    <row r="27" spans="1:6">
      <c r="A27" s="16">
        <v>1110502510</v>
      </c>
      <c r="B27" s="17" t="s">
        <v>225</v>
      </c>
      <c r="C27" s="12">
        <v>224.4</v>
      </c>
      <c r="D27" s="10">
        <v>108.77233</v>
      </c>
      <c r="E27" s="9">
        <f t="shared" si="0"/>
        <v>48.47251782531194</v>
      </c>
      <c r="F27" s="9">
        <f t="shared" si="1"/>
        <v>-115.62767000000001</v>
      </c>
    </row>
    <row r="28" spans="1:6">
      <c r="A28" s="7">
        <v>1110503510</v>
      </c>
      <c r="B28" s="11" t="s">
        <v>224</v>
      </c>
      <c r="C28" s="12">
        <v>50.7</v>
      </c>
      <c r="D28" s="10">
        <v>34.913499999999999</v>
      </c>
      <c r="E28" s="9">
        <f t="shared" si="0"/>
        <v>68.862919132149898</v>
      </c>
      <c r="F28" s="9">
        <f t="shared" si="1"/>
        <v>-15.786500000000004</v>
      </c>
    </row>
    <row r="29" spans="1:6" s="15" customFormat="1" ht="19.5" customHeight="1">
      <c r="A29" s="68">
        <v>1130000000</v>
      </c>
      <c r="B29" s="69" t="s">
        <v>130</v>
      </c>
      <c r="C29" s="5">
        <f>C30</f>
        <v>40</v>
      </c>
      <c r="D29" s="5">
        <f>D30</f>
        <v>61.592309999999998</v>
      </c>
      <c r="E29" s="5">
        <f t="shared" si="0"/>
        <v>153.98077499999999</v>
      </c>
      <c r="F29" s="5">
        <f t="shared" si="1"/>
        <v>21.592309999999998</v>
      </c>
    </row>
    <row r="30" spans="1:6" ht="21" customHeight="1">
      <c r="A30" s="7">
        <v>1130206510</v>
      </c>
      <c r="B30" s="8" t="s">
        <v>14</v>
      </c>
      <c r="C30" s="9">
        <v>40</v>
      </c>
      <c r="D30" s="10">
        <v>61.592309999999998</v>
      </c>
      <c r="E30" s="9">
        <f t="shared" si="0"/>
        <v>153.98077499999999</v>
      </c>
      <c r="F30" s="9">
        <f t="shared" si="1"/>
        <v>21.592309999999998</v>
      </c>
    </row>
    <row r="31" spans="1:6" ht="25.5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18</v>
      </c>
      <c r="C39" s="127">
        <f>SUM(C4,C25)</f>
        <v>2928.692</v>
      </c>
      <c r="D39" s="127">
        <f>SUM(D4,D25)</f>
        <v>1097.8593799999999</v>
      </c>
      <c r="E39" s="5">
        <f t="shared" si="0"/>
        <v>37.486337928331146</v>
      </c>
      <c r="F39" s="5">
        <f t="shared" si="1"/>
        <v>-1830.8326200000001</v>
      </c>
    </row>
    <row r="40" spans="1:7" s="6" customFormat="1">
      <c r="A40" s="3">
        <v>2000000000</v>
      </c>
      <c r="B40" s="4" t="s">
        <v>19</v>
      </c>
      <c r="C40" s="5">
        <f>C41+C43+C44+C45+C46+C47+C48+C42</f>
        <v>3643.8406199999995</v>
      </c>
      <c r="D40" s="5">
        <f>SUM(D41:D48)</f>
        <v>702.77800000000002</v>
      </c>
      <c r="E40" s="5">
        <f t="shared" si="0"/>
        <v>19.286738177917346</v>
      </c>
      <c r="F40" s="5">
        <f t="shared" si="1"/>
        <v>-2941.0626199999997</v>
      </c>
      <c r="G40" s="19"/>
    </row>
    <row r="41" spans="1:7" ht="15" customHeight="1">
      <c r="A41" s="16">
        <v>2021000000</v>
      </c>
      <c r="B41" s="17" t="s">
        <v>20</v>
      </c>
      <c r="C41" s="12">
        <v>767.8</v>
      </c>
      <c r="D41" s="291">
        <v>383.89800000000002</v>
      </c>
      <c r="E41" s="9">
        <f t="shared" si="0"/>
        <v>49.999739515498838</v>
      </c>
      <c r="F41" s="9">
        <f t="shared" si="1"/>
        <v>-383.90199999999993</v>
      </c>
    </row>
    <row r="42" spans="1:7" ht="15" customHeight="1">
      <c r="A42" s="16">
        <v>2021500200</v>
      </c>
      <c r="B42" s="17" t="s">
        <v>231</v>
      </c>
      <c r="C42" s="12">
        <v>830</v>
      </c>
      <c r="D42" s="20">
        <v>0</v>
      </c>
      <c r="E42" s="9">
        <f>SUM(D42/C42*100)</f>
        <v>0</v>
      </c>
      <c r="F42" s="9">
        <f>SUM(D42-C42)</f>
        <v>-830</v>
      </c>
    </row>
    <row r="43" spans="1:7">
      <c r="A43" s="16">
        <v>2022000000</v>
      </c>
      <c r="B43" s="17" t="s">
        <v>21</v>
      </c>
      <c r="C43" s="12">
        <v>1855.8026199999999</v>
      </c>
      <c r="D43" s="10">
        <v>274.05399999999997</v>
      </c>
      <c r="E43" s="9">
        <f t="shared" si="0"/>
        <v>14.767410986842986</v>
      </c>
      <c r="F43" s="9">
        <f t="shared" si="1"/>
        <v>-1581.7486199999998</v>
      </c>
    </row>
    <row r="44" spans="1:7" ht="18.75" customHeight="1">
      <c r="A44" s="16">
        <v>2023000000</v>
      </c>
      <c r="B44" s="17" t="s">
        <v>22</v>
      </c>
      <c r="C44" s="12">
        <v>91.736000000000004</v>
      </c>
      <c r="D44" s="200">
        <v>44.826000000000001</v>
      </c>
      <c r="E44" s="9">
        <f t="shared" si="0"/>
        <v>48.864131856632071</v>
      </c>
      <c r="F44" s="9">
        <f t="shared" si="1"/>
        <v>-46.910000000000004</v>
      </c>
    </row>
    <row r="45" spans="1:7" ht="17.25" customHeight="1">
      <c r="A45" s="16">
        <v>2024000000</v>
      </c>
      <c r="B45" s="17" t="s">
        <v>23</v>
      </c>
      <c r="C45" s="12">
        <v>98.501999999999995</v>
      </c>
      <c r="D45" s="201">
        <v>0</v>
      </c>
      <c r="E45" s="9">
        <f t="shared" si="0"/>
        <v>0</v>
      </c>
      <c r="F45" s="9">
        <f t="shared" si="1"/>
        <v>-98.501999999999995</v>
      </c>
    </row>
    <row r="46" spans="1:7" ht="16.5" hidden="1" customHeight="1">
      <c r="A46" s="16">
        <v>2020900000</v>
      </c>
      <c r="B46" s="18" t="s">
        <v>24</v>
      </c>
      <c r="C46" s="12"/>
      <c r="D46" s="20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25</v>
      </c>
      <c r="C47" s="10">
        <v>0</v>
      </c>
      <c r="D47" s="293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302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8" s="6" customFormat="1">
      <c r="A49" s="259">
        <v>2190000010</v>
      </c>
      <c r="B49" s="260" t="s">
        <v>25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27</v>
      </c>
      <c r="C50" s="264">
        <f>C39+C40</f>
        <v>6572.53262</v>
      </c>
      <c r="D50" s="265">
        <f>D39+D40</f>
        <v>1800.6373799999999</v>
      </c>
      <c r="E50" s="5">
        <f t="shared" si="0"/>
        <v>27.396400810864289</v>
      </c>
      <c r="F50" s="5">
        <f t="shared" si="1"/>
        <v>-4771.8952399999998</v>
      </c>
      <c r="G50" s="94">
        <f>5774.03062-C50</f>
        <v>-798.5019999999995</v>
      </c>
      <c r="H50" s="299"/>
    </row>
    <row r="51" spans="1:8" s="6" customFormat="1">
      <c r="A51" s="3"/>
      <c r="B51" s="21" t="s">
        <v>320</v>
      </c>
      <c r="C51" s="93">
        <f>C50-C97</f>
        <v>-182.90051999999832</v>
      </c>
      <c r="D51" s="93">
        <f>D50-D97</f>
        <v>56.124579999999469</v>
      </c>
      <c r="E51" s="22"/>
      <c r="F51" s="22"/>
    </row>
    <row r="52" spans="1:8">
      <c r="A52" s="23"/>
      <c r="B52" s="24"/>
      <c r="C52" s="256"/>
      <c r="D52" s="256" t="s">
        <v>336</v>
      </c>
      <c r="E52" s="26"/>
      <c r="F52" s="92"/>
    </row>
    <row r="53" spans="1:8" ht="50.25" customHeight="1">
      <c r="A53" s="28" t="s">
        <v>0</v>
      </c>
      <c r="B53" s="28" t="s">
        <v>28</v>
      </c>
      <c r="C53" s="192" t="s">
        <v>411</v>
      </c>
      <c r="D53" s="193" t="s">
        <v>424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30.75" customHeight="1">
      <c r="A55" s="30" t="s">
        <v>29</v>
      </c>
      <c r="B55" s="31" t="s">
        <v>30</v>
      </c>
      <c r="C55" s="195">
        <f>C56+C57+C58+C59+C60+C62+C61</f>
        <v>1454.2819999999999</v>
      </c>
      <c r="D55" s="32">
        <f>D56+D57+D58+D59+D60+D62+D61</f>
        <v>625.45965000000001</v>
      </c>
      <c r="E55" s="34">
        <f>SUM(D55/C55*100)</f>
        <v>43.008140787000052</v>
      </c>
      <c r="F55" s="34">
        <f>SUM(D55-C55)</f>
        <v>-828.82234999999991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33</v>
      </c>
      <c r="B57" s="39" t="s">
        <v>34</v>
      </c>
      <c r="C57" s="37">
        <v>1425.6</v>
      </c>
      <c r="D57" s="37">
        <v>621.77764999999999</v>
      </c>
      <c r="E57" s="34">
        <f>SUM(D57/C57*100)</f>
        <v>43.615155022446686</v>
      </c>
      <c r="F57" s="38">
        <f t="shared" ref="F57:F97" si="3">SUM(D57-C57)</f>
        <v>-803.82234999999991</v>
      </c>
    </row>
    <row r="58" spans="1:8" ht="16.5" hidden="1" customHeight="1">
      <c r="A58" s="35" t="s">
        <v>35</v>
      </c>
      <c r="B58" s="39" t="s">
        <v>36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idden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41</v>
      </c>
      <c r="B61" s="39" t="s">
        <v>42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43</v>
      </c>
      <c r="B62" s="39" t="s">
        <v>44</v>
      </c>
      <c r="C62" s="37">
        <v>23.681999999999999</v>
      </c>
      <c r="D62" s="37">
        <v>3.6819999999999999</v>
      </c>
      <c r="E62" s="38">
        <f t="shared" si="4"/>
        <v>15.547673338400472</v>
      </c>
      <c r="F62" s="38">
        <f t="shared" si="3"/>
        <v>-20</v>
      </c>
    </row>
    <row r="63" spans="1:8" s="6" customFormat="1">
      <c r="A63" s="41" t="s">
        <v>45</v>
      </c>
      <c r="B63" s="42" t="s">
        <v>46</v>
      </c>
      <c r="C63" s="32">
        <f>C64</f>
        <v>89.945999999999998</v>
      </c>
      <c r="D63" s="32">
        <f>D64</f>
        <v>44.44341</v>
      </c>
      <c r="E63" s="34">
        <f t="shared" si="4"/>
        <v>49.411213394703488</v>
      </c>
      <c r="F63" s="34">
        <f t="shared" si="3"/>
        <v>-45.502589999999998</v>
      </c>
    </row>
    <row r="64" spans="1:8">
      <c r="A64" s="43" t="s">
        <v>47</v>
      </c>
      <c r="B64" s="44" t="s">
        <v>48</v>
      </c>
      <c r="C64" s="37">
        <v>89.945999999999998</v>
      </c>
      <c r="D64" s="37">
        <v>44.44341</v>
      </c>
      <c r="E64" s="38">
        <f t="shared" si="4"/>
        <v>49.411213394703488</v>
      </c>
      <c r="F64" s="38">
        <f t="shared" si="3"/>
        <v>-45.502589999999998</v>
      </c>
    </row>
    <row r="65" spans="1:7" s="6" customFormat="1" ht="21" customHeight="1">
      <c r="A65" s="30" t="s">
        <v>49</v>
      </c>
      <c r="B65" s="31" t="s">
        <v>50</v>
      </c>
      <c r="C65" s="32">
        <f>C68+C69+C70</f>
        <v>24.314999999999998</v>
      </c>
      <c r="D65" s="32">
        <f>D68+D69</f>
        <v>8.8130000000000006</v>
      </c>
      <c r="E65" s="34">
        <f t="shared" si="4"/>
        <v>36.245116183425871</v>
      </c>
      <c r="F65" s="34">
        <f t="shared" si="3"/>
        <v>-15.501999999999997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4"/>
        <v>0</v>
      </c>
      <c r="F68" s="34">
        <f t="shared" si="3"/>
        <v>-2.4</v>
      </c>
    </row>
    <row r="69" spans="1:7">
      <c r="A69" s="46" t="s">
        <v>218</v>
      </c>
      <c r="B69" s="47" t="s">
        <v>219</v>
      </c>
      <c r="C69" s="37">
        <v>19.914999999999999</v>
      </c>
      <c r="D69" s="37">
        <v>8.8130000000000006</v>
      </c>
      <c r="E69" s="34">
        <f t="shared" si="4"/>
        <v>44.253075571177511</v>
      </c>
      <c r="F69" s="34">
        <f t="shared" si="3"/>
        <v>-11.101999999999999</v>
      </c>
    </row>
    <row r="70" spans="1:7">
      <c r="A70" s="46" t="s">
        <v>357</v>
      </c>
      <c r="B70" s="47" t="s">
        <v>414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57</v>
      </c>
      <c r="B71" s="31" t="s">
        <v>58</v>
      </c>
      <c r="C71" s="48">
        <f>SUM(C72:C75)</f>
        <v>3106.1230399999999</v>
      </c>
      <c r="D71" s="48">
        <f>SUM(D72:D75)</f>
        <v>540.78216000000009</v>
      </c>
      <c r="E71" s="34">
        <f t="shared" si="4"/>
        <v>17.410197633381582</v>
      </c>
      <c r="F71" s="34">
        <f t="shared" si="3"/>
        <v>-2565.3408799999997</v>
      </c>
    </row>
    <row r="72" spans="1:7">
      <c r="A72" s="35" t="s">
        <v>59</v>
      </c>
      <c r="B72" s="39" t="s">
        <v>60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61</v>
      </c>
      <c r="B73" s="39" t="s">
        <v>62</v>
      </c>
      <c r="C73" s="49">
        <v>1048.1858199999999</v>
      </c>
      <c r="D73" s="37">
        <v>136.68016</v>
      </c>
      <c r="E73" s="38">
        <f t="shared" si="4"/>
        <v>13.039687943880027</v>
      </c>
      <c r="F73" s="38">
        <f t="shared" si="3"/>
        <v>-911.50565999999992</v>
      </c>
      <c r="G73" s="50"/>
    </row>
    <row r="74" spans="1:7">
      <c r="A74" s="35" t="s">
        <v>63</v>
      </c>
      <c r="B74" s="39" t="s">
        <v>64</v>
      </c>
      <c r="C74" s="49">
        <v>1975.41372</v>
      </c>
      <c r="D74" s="37">
        <v>381.8</v>
      </c>
      <c r="E74" s="38">
        <f t="shared" si="4"/>
        <v>19.327596853989654</v>
      </c>
      <c r="F74" s="38">
        <f t="shared" si="3"/>
        <v>-1593.6137200000001</v>
      </c>
    </row>
    <row r="75" spans="1:7">
      <c r="A75" s="35" t="s">
        <v>65</v>
      </c>
      <c r="B75" s="39" t="s">
        <v>66</v>
      </c>
      <c r="C75" s="49">
        <v>78.501999999999995</v>
      </c>
      <c r="D75" s="37">
        <v>22.302</v>
      </c>
      <c r="E75" s="38">
        <f t="shared" si="4"/>
        <v>28.40946727471912</v>
      </c>
      <c r="F75" s="38">
        <f t="shared" si="3"/>
        <v>-56.199999999999996</v>
      </c>
    </row>
    <row r="76" spans="1:7" s="6" customFormat="1" ht="16.5" customHeight="1">
      <c r="A76" s="30" t="s">
        <v>67</v>
      </c>
      <c r="B76" s="31" t="s">
        <v>68</v>
      </c>
      <c r="C76" s="32">
        <f>SUM(C77:C79)</f>
        <v>379.23410000000001</v>
      </c>
      <c r="D76" s="32">
        <f>SUM(D77:D79)</f>
        <v>86.791579999999996</v>
      </c>
      <c r="E76" s="34">
        <f t="shared" si="4"/>
        <v>22.886016842894662</v>
      </c>
      <c r="F76" s="34">
        <f t="shared" si="3"/>
        <v>-292.44252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73</v>
      </c>
      <c r="B79" s="39" t="s">
        <v>74</v>
      </c>
      <c r="C79" s="37">
        <v>379.23410000000001</v>
      </c>
      <c r="D79" s="37">
        <v>86.791579999999996</v>
      </c>
      <c r="E79" s="38">
        <f t="shared" si="4"/>
        <v>22.886016842894662</v>
      </c>
      <c r="F79" s="38">
        <f t="shared" si="3"/>
        <v>-292.44252</v>
      </c>
    </row>
    <row r="80" spans="1:7" s="6" customFormat="1">
      <c r="A80" s="30" t="s">
        <v>85</v>
      </c>
      <c r="B80" s="31" t="s">
        <v>86</v>
      </c>
      <c r="C80" s="32">
        <f>C81</f>
        <v>1681.2</v>
      </c>
      <c r="D80" s="32">
        <f>SUM(D81)</f>
        <v>426.39</v>
      </c>
      <c r="E80" s="34">
        <f t="shared" si="4"/>
        <v>25.362241256245539</v>
      </c>
      <c r="F80" s="34">
        <f t="shared" si="3"/>
        <v>-1254.81</v>
      </c>
    </row>
    <row r="81" spans="1:6" ht="15.75" customHeight="1">
      <c r="A81" s="35" t="s">
        <v>87</v>
      </c>
      <c r="B81" s="39" t="s">
        <v>233</v>
      </c>
      <c r="C81" s="37">
        <v>1681.2</v>
      </c>
      <c r="D81" s="37">
        <v>426.39</v>
      </c>
      <c r="E81" s="38">
        <f t="shared" si="4"/>
        <v>25.362241256245539</v>
      </c>
      <c r="F81" s="38">
        <f t="shared" si="3"/>
        <v>-1254.81</v>
      </c>
    </row>
    <row r="82" spans="1:6" s="6" customFormat="1" ht="0.7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89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91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92</v>
      </c>
      <c r="B86" s="39" t="s">
        <v>93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94</v>
      </c>
      <c r="B87" s="31" t="s">
        <v>95</v>
      </c>
      <c r="C87" s="32">
        <f>C88+C89+C90+C91+C92</f>
        <v>20.332999999999998</v>
      </c>
      <c r="D87" s="32">
        <f>D88+D89+D90+D91+D92</f>
        <v>11.833</v>
      </c>
      <c r="E87" s="38">
        <f t="shared" si="4"/>
        <v>58.196036000590176</v>
      </c>
      <c r="F87" s="22">
        <f>F88+F89+F90+F91+F92</f>
        <v>-8.4999999999999982</v>
      </c>
    </row>
    <row r="88" spans="1:6" ht="17.25" customHeight="1">
      <c r="A88" s="35" t="s">
        <v>96</v>
      </c>
      <c r="B88" s="39" t="s">
        <v>97</v>
      </c>
      <c r="C88" s="37">
        <v>20.332999999999998</v>
      </c>
      <c r="D88" s="37">
        <v>11.833</v>
      </c>
      <c r="E88" s="38">
        <f t="shared" si="4"/>
        <v>58.196036000590176</v>
      </c>
      <c r="F88" s="38">
        <f>SUM(D88-C88)</f>
        <v>-8.4999999999999982</v>
      </c>
    </row>
    <row r="89" spans="1:6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104</v>
      </c>
      <c r="B92" s="39" t="s">
        <v>105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115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116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117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118</v>
      </c>
      <c r="C97" s="267">
        <f>C55+C63+C71+C76+C80+C82+C87+C65+C93</f>
        <v>6755.4331399999983</v>
      </c>
      <c r="D97" s="267">
        <f>D55+D63+D71+D76+D80+D82+D87+D65+D93</f>
        <v>1744.5128000000004</v>
      </c>
      <c r="E97" s="34">
        <f t="shared" si="4"/>
        <v>25.823848209975786</v>
      </c>
      <c r="F97" s="34">
        <f t="shared" si="3"/>
        <v>-5010.9203399999979</v>
      </c>
      <c r="G97" s="213">
        <f>5956.93114-C97</f>
        <v>-798.50199999999859</v>
      </c>
      <c r="H97" s="213">
        <f>D97-1303.11985</f>
        <v>441.39295000000038</v>
      </c>
    </row>
    <row r="98" spans="1:8">
      <c r="C98" s="126"/>
      <c r="D98" s="101"/>
    </row>
    <row r="99" spans="1:8" s="65" customFormat="1" ht="16.5" customHeight="1">
      <c r="A99" s="63" t="s">
        <v>119</v>
      </c>
      <c r="B99" s="63"/>
      <c r="C99" s="198"/>
      <c r="D99" s="198"/>
      <c r="E99" s="64"/>
    </row>
    <row r="100" spans="1:8" s="65" customFormat="1" ht="20.25" customHeight="1">
      <c r="A100" s="66" t="s">
        <v>120</v>
      </c>
      <c r="B100" s="66"/>
      <c r="C100" s="65" t="s">
        <v>121</v>
      </c>
    </row>
    <row r="101" spans="1:8" ht="13.5" customHeight="1">
      <c r="C101" s="120"/>
    </row>
    <row r="103" spans="1:8" ht="5.25" customHeight="1"/>
    <row r="142" hidden="1"/>
  </sheetData>
  <customSheetViews>
    <customSheetView guid="{B30CE22D-C12F-4E12-8BB9-3AAE0A6991CC}" scale="70" showPageBreaks="1" printArea="1" hiddenRows="1" view="pageBreakPreview" topLeftCell="A31">
      <selection activeCell="D75" sqref="D75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8"/>
    </customSheetView>
    <customSheetView guid="{61528DAC-5C4C-48F4-ADE2-8A724B05A086}" scale="70" showPageBreaks="1" printArea="1" hiddenRows="1" view="pageBreakPreview" topLeftCell="A16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2"/>
  <sheetViews>
    <sheetView view="pageBreakPreview" topLeftCell="A37" zoomScale="7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438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1272.8040000000001</v>
      </c>
      <c r="D4" s="5">
        <f>D5+D12+D14+D17+D7</f>
        <v>490.41149999999993</v>
      </c>
      <c r="E4" s="5">
        <f>SUM(D4/C4*100)</f>
        <v>38.530009333723015</v>
      </c>
      <c r="F4" s="5">
        <f>SUM(D4-C4)</f>
        <v>-782.39250000000015</v>
      </c>
    </row>
    <row r="5" spans="1:6" s="6" customFormat="1">
      <c r="A5" s="68">
        <v>1010000000</v>
      </c>
      <c r="B5" s="67" t="s">
        <v>5</v>
      </c>
      <c r="C5" s="5">
        <f>C6</f>
        <v>132.44399999999999</v>
      </c>
      <c r="D5" s="5">
        <f>D6</f>
        <v>70.763189999999994</v>
      </c>
      <c r="E5" s="5">
        <f t="shared" ref="E5:E52" si="0">SUM(D5/C5*100)</f>
        <v>53.428762344840088</v>
      </c>
      <c r="F5" s="5">
        <f t="shared" ref="F5:F52" si="1">SUM(D5-C5)</f>
        <v>-61.680809999999994</v>
      </c>
    </row>
    <row r="6" spans="1:6">
      <c r="A6" s="7">
        <v>1010200001</v>
      </c>
      <c r="B6" s="8" t="s">
        <v>228</v>
      </c>
      <c r="C6" s="9">
        <v>132.44399999999999</v>
      </c>
      <c r="D6" s="10">
        <v>70.763189999999994</v>
      </c>
      <c r="E6" s="9">
        <f t="shared" ref="E6:E11" si="2">SUM(D6/C6*100)</f>
        <v>53.428762344840088</v>
      </c>
      <c r="F6" s="9">
        <f t="shared" si="1"/>
        <v>-61.680809999999994</v>
      </c>
    </row>
    <row r="7" spans="1:6" ht="31.5">
      <c r="A7" s="3">
        <v>1030000000</v>
      </c>
      <c r="B7" s="13" t="s">
        <v>280</v>
      </c>
      <c r="C7" s="5">
        <f>C8+C10+C9</f>
        <v>672.36</v>
      </c>
      <c r="D7" s="248">
        <f>D8+D10+D9+D11</f>
        <v>385.68509999999998</v>
      </c>
      <c r="E7" s="5">
        <f t="shared" si="2"/>
        <v>57.362885953953239</v>
      </c>
      <c r="F7" s="5">
        <f t="shared" si="1"/>
        <v>-286.67490000000004</v>
      </c>
    </row>
    <row r="8" spans="1:6">
      <c r="A8" s="7">
        <v>1030223001</v>
      </c>
      <c r="B8" s="8" t="s">
        <v>282</v>
      </c>
      <c r="C8" s="9">
        <v>250.79</v>
      </c>
      <c r="D8" s="10">
        <v>175.08482000000001</v>
      </c>
      <c r="E8" s="9">
        <f t="shared" si="2"/>
        <v>69.813317915387387</v>
      </c>
      <c r="F8" s="9">
        <f t="shared" si="1"/>
        <v>-75.705179999999984</v>
      </c>
    </row>
    <row r="9" spans="1:6">
      <c r="A9" s="7">
        <v>1030224001</v>
      </c>
      <c r="B9" s="8" t="s">
        <v>288</v>
      </c>
      <c r="C9" s="9">
        <v>2.69</v>
      </c>
      <c r="D9" s="10">
        <v>1.3283799999999999</v>
      </c>
      <c r="E9" s="9">
        <f t="shared" si="2"/>
        <v>49.382156133828992</v>
      </c>
      <c r="F9" s="9">
        <f t="shared" si="1"/>
        <v>-1.3616200000000001</v>
      </c>
    </row>
    <row r="10" spans="1:6">
      <c r="A10" s="7">
        <v>1030225001</v>
      </c>
      <c r="B10" s="8" t="s">
        <v>281</v>
      </c>
      <c r="C10" s="9">
        <v>418.88</v>
      </c>
      <c r="D10" s="10">
        <v>242.62161</v>
      </c>
      <c r="E10" s="9">
        <f t="shared" si="2"/>
        <v>57.921507352941184</v>
      </c>
      <c r="F10" s="9">
        <f t="shared" si="1"/>
        <v>-176.25838999999999</v>
      </c>
    </row>
    <row r="11" spans="1:6">
      <c r="A11" s="7">
        <v>1030226001</v>
      </c>
      <c r="B11" s="8" t="s">
        <v>290</v>
      </c>
      <c r="C11" s="9">
        <v>0</v>
      </c>
      <c r="D11" s="10">
        <v>-33.349710000000002</v>
      </c>
      <c r="E11" s="9" t="e">
        <f t="shared" si="2"/>
        <v>#DIV/0!</v>
      </c>
      <c r="F11" s="9">
        <f t="shared" si="1"/>
        <v>-33.349710000000002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0.31428</v>
      </c>
      <c r="E12" s="5">
        <f t="shared" si="0"/>
        <v>3.1427999999999998</v>
      </c>
      <c r="F12" s="5">
        <f t="shared" si="1"/>
        <v>-9.6857199999999999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0.31428</v>
      </c>
      <c r="E13" s="9">
        <f t="shared" si="0"/>
        <v>3.1427999999999998</v>
      </c>
      <c r="F13" s="9">
        <f t="shared" si="1"/>
        <v>-9.6857199999999999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453</v>
      </c>
      <c r="D14" s="5">
        <f>D15+D16</f>
        <v>31.14893</v>
      </c>
      <c r="E14" s="5">
        <f t="shared" si="0"/>
        <v>6.8761434878587195</v>
      </c>
      <c r="F14" s="5">
        <f t="shared" si="1"/>
        <v>-421.85106999999999</v>
      </c>
    </row>
    <row r="15" spans="1:6" s="6" customFormat="1" ht="15.75" customHeight="1">
      <c r="A15" s="7">
        <v>1060100000</v>
      </c>
      <c r="B15" s="11" t="s">
        <v>8</v>
      </c>
      <c r="C15" s="9">
        <v>128</v>
      </c>
      <c r="D15" s="10">
        <v>5.4459200000000001</v>
      </c>
      <c r="E15" s="9">
        <f t="shared" si="0"/>
        <v>4.2546249999999999</v>
      </c>
      <c r="F15" s="9">
        <f>SUM(D15-C15)</f>
        <v>-122.55408</v>
      </c>
    </row>
    <row r="16" spans="1:6" ht="15.75" customHeight="1">
      <c r="A16" s="7">
        <v>1060600000</v>
      </c>
      <c r="B16" s="11" t="s">
        <v>7</v>
      </c>
      <c r="C16" s="9">
        <v>325</v>
      </c>
      <c r="D16" s="10">
        <v>25.703009999999999</v>
      </c>
      <c r="E16" s="9">
        <f t="shared" si="0"/>
        <v>7.9086184615384605</v>
      </c>
      <c r="F16" s="9">
        <f t="shared" si="1"/>
        <v>-299.29698999999999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2.5</v>
      </c>
      <c r="E17" s="5">
        <f t="shared" si="0"/>
        <v>50</v>
      </c>
      <c r="F17" s="5">
        <f t="shared" si="1"/>
        <v>-2.5</v>
      </c>
    </row>
    <row r="18" spans="1:6" ht="17.25" customHeight="1">
      <c r="A18" s="7">
        <v>1080400001</v>
      </c>
      <c r="B18" s="8" t="s">
        <v>271</v>
      </c>
      <c r="C18" s="9">
        <v>5</v>
      </c>
      <c r="D18" s="10">
        <v>2.5</v>
      </c>
      <c r="E18" s="9">
        <f t="shared" si="0"/>
        <v>50</v>
      </c>
      <c r="F18" s="9">
        <f t="shared" si="1"/>
        <v>-2.5</v>
      </c>
    </row>
    <row r="19" spans="1:6" ht="49.5" hidden="1" customHeight="1">
      <c r="A19" s="7">
        <v>1080714001</v>
      </c>
      <c r="B19" s="8" t="s">
        <v>226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250</v>
      </c>
      <c r="D25" s="5">
        <f>D26+D29+D31+D34</f>
        <v>225.86507</v>
      </c>
      <c r="E25" s="5">
        <f t="shared" si="0"/>
        <v>90.346028000000004</v>
      </c>
      <c r="F25" s="5">
        <f t="shared" si="1"/>
        <v>-24.134929999999997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50</v>
      </c>
      <c r="D26" s="5">
        <f>D27+D28</f>
        <v>12</v>
      </c>
      <c r="E26" s="5">
        <f t="shared" si="0"/>
        <v>24</v>
      </c>
      <c r="F26" s="5">
        <f t="shared" si="1"/>
        <v>-38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50</v>
      </c>
      <c r="D28" s="10">
        <v>12</v>
      </c>
      <c r="E28" s="9">
        <f t="shared" si="0"/>
        <v>24</v>
      </c>
      <c r="F28" s="9">
        <f t="shared" si="1"/>
        <v>-38</v>
      </c>
    </row>
    <row r="29" spans="1:6" s="15" customFormat="1" ht="27.75" customHeight="1">
      <c r="A29" s="68">
        <v>1130000000</v>
      </c>
      <c r="B29" s="69" t="s">
        <v>130</v>
      </c>
      <c r="C29" s="5">
        <f>C30</f>
        <v>200</v>
      </c>
      <c r="D29" s="5">
        <f>D30</f>
        <v>213.86507</v>
      </c>
      <c r="E29" s="5">
        <f t="shared" si="0"/>
        <v>106.932535</v>
      </c>
      <c r="F29" s="5">
        <f t="shared" si="1"/>
        <v>13.865070000000003</v>
      </c>
    </row>
    <row r="30" spans="1:6" ht="15.75" customHeight="1">
      <c r="A30" s="7">
        <v>1130206005</v>
      </c>
      <c r="B30" s="8" t="s">
        <v>14</v>
      </c>
      <c r="C30" s="9">
        <v>200</v>
      </c>
      <c r="D30" s="10">
        <v>213.86507</v>
      </c>
      <c r="E30" s="9">
        <f t="shared" si="0"/>
        <v>106.932535</v>
      </c>
      <c r="F30" s="9">
        <f t="shared" si="1"/>
        <v>13.865070000000003</v>
      </c>
    </row>
    <row r="31" spans="1:6" ht="20.2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18</v>
      </c>
      <c r="C37" s="127">
        <f>SUM(C4,C25)</f>
        <v>1522.8040000000001</v>
      </c>
      <c r="D37" s="127">
        <f>D4+D25</f>
        <v>716.27656999999999</v>
      </c>
      <c r="E37" s="5">
        <f t="shared" si="0"/>
        <v>47.036688240902961</v>
      </c>
      <c r="F37" s="5">
        <f t="shared" si="1"/>
        <v>-806.52743000000009</v>
      </c>
    </row>
    <row r="38" spans="1:7" s="6" customFormat="1">
      <c r="A38" s="3">
        <v>2000000000</v>
      </c>
      <c r="B38" s="4" t="s">
        <v>19</v>
      </c>
      <c r="C38" s="5">
        <f>C39+C41+C42+C43+C50+C51</f>
        <v>5246.2040000000006</v>
      </c>
      <c r="D38" s="5">
        <f>D39+D41+D42+D43+D50+D51</f>
        <v>2512.8709999999996</v>
      </c>
      <c r="E38" s="5">
        <f t="shared" si="0"/>
        <v>47.898842667955712</v>
      </c>
      <c r="F38" s="5">
        <f t="shared" si="1"/>
        <v>-2733.333000000001</v>
      </c>
      <c r="G38" s="19"/>
    </row>
    <row r="39" spans="1:7" ht="16.5" customHeight="1">
      <c r="A39" s="16">
        <v>2021000000</v>
      </c>
      <c r="B39" s="17" t="s">
        <v>20</v>
      </c>
      <c r="C39" s="12">
        <v>3029</v>
      </c>
      <c r="D39" s="20">
        <v>1514.502</v>
      </c>
      <c r="E39" s="9">
        <v>0</v>
      </c>
      <c r="F39" s="9">
        <f t="shared" si="1"/>
        <v>-1514.498</v>
      </c>
    </row>
    <row r="40" spans="1:7" ht="14.25" customHeight="1">
      <c r="A40" s="16">
        <v>2020100310</v>
      </c>
      <c r="B40" s="17" t="s">
        <v>231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231</v>
      </c>
      <c r="C41" s="12">
        <v>712.5</v>
      </c>
      <c r="D41" s="20">
        <v>650</v>
      </c>
      <c r="E41" s="9">
        <f t="shared" si="0"/>
        <v>91.228070175438589</v>
      </c>
      <c r="F41" s="9">
        <f t="shared" si="1"/>
        <v>-62.5</v>
      </c>
    </row>
    <row r="42" spans="1:7">
      <c r="A42" s="16">
        <v>2022000000</v>
      </c>
      <c r="B42" s="17" t="s">
        <v>21</v>
      </c>
      <c r="C42" s="12">
        <v>1262.047</v>
      </c>
      <c r="D42" s="10">
        <v>258.72000000000003</v>
      </c>
      <c r="E42" s="9">
        <f t="shared" si="0"/>
        <v>20.500028921268385</v>
      </c>
      <c r="F42" s="9">
        <f t="shared" si="1"/>
        <v>-1003.327</v>
      </c>
    </row>
    <row r="43" spans="1:7" ht="17.25" customHeight="1">
      <c r="A43" s="16">
        <v>2023000000</v>
      </c>
      <c r="B43" s="17" t="s">
        <v>22</v>
      </c>
      <c r="C43" s="12">
        <v>182.65700000000001</v>
      </c>
      <c r="D43" s="200">
        <v>89.649000000000001</v>
      </c>
      <c r="E43" s="9">
        <f t="shared" si="0"/>
        <v>49.080517034660595</v>
      </c>
      <c r="F43" s="9">
        <f t="shared" si="1"/>
        <v>-93.00800000000001</v>
      </c>
    </row>
    <row r="44" spans="1:7" ht="18" hidden="1" customHeight="1">
      <c r="A44" s="16">
        <v>2020400000</v>
      </c>
      <c r="B44" s="17" t="s">
        <v>23</v>
      </c>
      <c r="C44" s="12"/>
      <c r="D44" s="201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24</v>
      </c>
      <c r="C45" s="12"/>
      <c r="D45" s="201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301</v>
      </c>
      <c r="C46" s="204">
        <f>C47</f>
        <v>0</v>
      </c>
      <c r="D46" s="257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300</v>
      </c>
      <c r="C47" s="12">
        <v>0</v>
      </c>
      <c r="D47" s="201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7">
        <v>2190500005</v>
      </c>
      <c r="B48" s="11" t="s">
        <v>25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35.25" customHeight="1">
      <c r="A49" s="3">
        <v>3000000000</v>
      </c>
      <c r="B49" s="13" t="s">
        <v>26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2020400000</v>
      </c>
      <c r="B50" s="8" t="s">
        <v>23</v>
      </c>
      <c r="C50" s="12">
        <v>60</v>
      </c>
      <c r="D50" s="10">
        <v>0</v>
      </c>
      <c r="E50" s="9">
        <f t="shared" si="0"/>
        <v>0</v>
      </c>
      <c r="F50" s="9">
        <f t="shared" si="1"/>
        <v>-60</v>
      </c>
    </row>
    <row r="51" spans="1:8" s="6" customFormat="1" ht="15" customHeight="1">
      <c r="A51" s="7">
        <v>2070500010</v>
      </c>
      <c r="B51" s="11" t="s">
        <v>302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27</v>
      </c>
      <c r="C52" s="93">
        <f>C37+C38</f>
        <v>6769.0080000000007</v>
      </c>
      <c r="D52" s="93">
        <f>D37+D38</f>
        <v>3229.1475699999996</v>
      </c>
      <c r="E52" s="5">
        <f t="shared" si="0"/>
        <v>47.704886299440027</v>
      </c>
      <c r="F52" s="5">
        <f t="shared" si="1"/>
        <v>-3539.8604300000011</v>
      </c>
      <c r="G52" s="94">
        <f>7298.59564-C52</f>
        <v>529.58763999999883</v>
      </c>
      <c r="H52" s="213">
        <f>1233.90439-D52</f>
        <v>-1995.2431799999997</v>
      </c>
    </row>
    <row r="53" spans="1:8" s="6" customFormat="1">
      <c r="A53" s="3"/>
      <c r="B53" s="21" t="s">
        <v>320</v>
      </c>
      <c r="C53" s="93">
        <f>C52-C99</f>
        <v>-260.56954999999925</v>
      </c>
      <c r="D53" s="93">
        <f>D52-D99</f>
        <v>-93.206900000000587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439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29</v>
      </c>
      <c r="B57" s="31" t="s">
        <v>30</v>
      </c>
      <c r="C57" s="32">
        <f>C58+C59+C60+C61+C62+C64+C63</f>
        <v>1284.7919999999999</v>
      </c>
      <c r="D57" s="33">
        <f>D58+D59+D60+D61+D62+D64+D63</f>
        <v>590.13846000000001</v>
      </c>
      <c r="E57" s="34">
        <f>SUM(D57/C57*100)</f>
        <v>45.932606990080885</v>
      </c>
      <c r="F57" s="34">
        <f>SUM(D57-C57)</f>
        <v>-694.65353999999991</v>
      </c>
    </row>
    <row r="58" spans="1:8" s="6" customFormat="1" ht="15" hidden="1" customHeight="1">
      <c r="A58" s="35" t="s">
        <v>31</v>
      </c>
      <c r="B58" s="36" t="s">
        <v>32</v>
      </c>
      <c r="C58" s="37"/>
      <c r="D58" s="37"/>
      <c r="E58" s="38"/>
      <c r="F58" s="38"/>
    </row>
    <row r="59" spans="1:8" ht="15" customHeight="1">
      <c r="A59" s="35" t="s">
        <v>33</v>
      </c>
      <c r="B59" s="39" t="s">
        <v>34</v>
      </c>
      <c r="C59" s="37">
        <v>1225.2919999999999</v>
      </c>
      <c r="D59" s="37">
        <v>535.94646</v>
      </c>
      <c r="E59" s="38">
        <f t="shared" ref="E59:E99" si="3">SUM(D59/C59*100)</f>
        <v>43.740305168074222</v>
      </c>
      <c r="F59" s="38">
        <f t="shared" ref="F59:F99" si="4">SUM(D59-C59)</f>
        <v>-689.34553999999991</v>
      </c>
    </row>
    <row r="60" spans="1:8" ht="1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1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37">
        <v>54.5</v>
      </c>
      <c r="D64" s="37">
        <v>54.192</v>
      </c>
      <c r="E64" s="38">
        <f t="shared" si="3"/>
        <v>99.434862385321097</v>
      </c>
      <c r="F64" s="38">
        <f t="shared" si="4"/>
        <v>-0.30799999999999983</v>
      </c>
    </row>
    <row r="65" spans="1:7" s="6" customFormat="1" ht="15" customHeight="1">
      <c r="A65" s="41" t="s">
        <v>45</v>
      </c>
      <c r="B65" s="42" t="s">
        <v>46</v>
      </c>
      <c r="C65" s="32">
        <f>C66</f>
        <v>179.892</v>
      </c>
      <c r="D65" s="32">
        <f>D66</f>
        <v>77.644999999999996</v>
      </c>
      <c r="E65" s="34">
        <f t="shared" si="3"/>
        <v>43.162008316100767</v>
      </c>
      <c r="F65" s="34">
        <f t="shared" si="4"/>
        <v>-102.247</v>
      </c>
    </row>
    <row r="66" spans="1:7">
      <c r="A66" s="43" t="s">
        <v>47</v>
      </c>
      <c r="B66" s="44" t="s">
        <v>48</v>
      </c>
      <c r="C66" s="37">
        <v>179.892</v>
      </c>
      <c r="D66" s="37">
        <v>77.644999999999996</v>
      </c>
      <c r="E66" s="38">
        <f t="shared" si="3"/>
        <v>43.162008316100767</v>
      </c>
      <c r="F66" s="38">
        <f t="shared" si="4"/>
        <v>-102.247</v>
      </c>
    </row>
    <row r="67" spans="1:7" s="6" customFormat="1" ht="16.5" customHeight="1">
      <c r="A67" s="30" t="s">
        <v>49</v>
      </c>
      <c r="B67" s="31" t="s">
        <v>50</v>
      </c>
      <c r="C67" s="32">
        <f>C70+C71+C72</f>
        <v>18.399999999999999</v>
      </c>
      <c r="D67" s="32">
        <f>SUM(D68:D71)</f>
        <v>3.5</v>
      </c>
      <c r="E67" s="34">
        <f t="shared" si="3"/>
        <v>19.021739130434785</v>
      </c>
      <c r="F67" s="34">
        <f t="shared" si="4"/>
        <v>-14.899999999999999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6">
        <v>2.4</v>
      </c>
      <c r="D70" s="37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218</v>
      </c>
      <c r="B71" s="47" t="s">
        <v>219</v>
      </c>
      <c r="C71" s="37">
        <v>14</v>
      </c>
      <c r="D71" s="37">
        <v>3.5</v>
      </c>
      <c r="E71" s="34">
        <f t="shared" si="3"/>
        <v>25</v>
      </c>
      <c r="F71" s="34">
        <f t="shared" si="4"/>
        <v>-10.5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57</v>
      </c>
      <c r="B73" s="31" t="s">
        <v>58</v>
      </c>
      <c r="C73" s="48">
        <f>SUM(C74:C77)</f>
        <v>2317.6485499999999</v>
      </c>
      <c r="D73" s="48">
        <f>SUM(D74:D77)</f>
        <v>529.471</v>
      </c>
      <c r="E73" s="34">
        <f t="shared" si="3"/>
        <v>22.845180732859603</v>
      </c>
      <c r="F73" s="34">
        <f t="shared" si="4"/>
        <v>-1788.1775499999999</v>
      </c>
    </row>
    <row r="74" spans="1:7" ht="17.25" customHeight="1">
      <c r="A74" s="35" t="s">
        <v>59</v>
      </c>
      <c r="B74" s="39" t="s">
        <v>60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61</v>
      </c>
      <c r="B75" s="39" t="s">
        <v>62</v>
      </c>
      <c r="C75" s="49">
        <v>333.6</v>
      </c>
      <c r="D75" s="37">
        <v>191.41900000000001</v>
      </c>
      <c r="E75" s="38">
        <f t="shared" si="3"/>
        <v>57.379796163069543</v>
      </c>
      <c r="F75" s="38">
        <f t="shared" si="4"/>
        <v>-142.18100000000001</v>
      </c>
      <c r="G75" s="50"/>
    </row>
    <row r="76" spans="1:7">
      <c r="A76" s="35" t="s">
        <v>63</v>
      </c>
      <c r="B76" s="39" t="s">
        <v>64</v>
      </c>
      <c r="C76" s="49">
        <v>1977.3460500000001</v>
      </c>
      <c r="D76" s="37">
        <v>338.05200000000002</v>
      </c>
      <c r="E76" s="38">
        <f t="shared" si="3"/>
        <v>17.096248782553765</v>
      </c>
      <c r="F76" s="38">
        <f t="shared" si="4"/>
        <v>-1639.29405</v>
      </c>
    </row>
    <row r="77" spans="1:7">
      <c r="A77" s="35" t="s">
        <v>65</v>
      </c>
      <c r="B77" s="39" t="s">
        <v>66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67</v>
      </c>
      <c r="B78" s="31" t="s">
        <v>68</v>
      </c>
      <c r="C78" s="32">
        <f>SUM(C79:C81)</f>
        <v>504.66699999999997</v>
      </c>
      <c r="D78" s="32">
        <f>SUM(D79:D81)</f>
        <v>356.97426999999999</v>
      </c>
      <c r="E78" s="34">
        <f t="shared" si="3"/>
        <v>70.734617084136673</v>
      </c>
      <c r="F78" s="34">
        <f t="shared" si="4"/>
        <v>-147.69272999999998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504.66699999999997</v>
      </c>
      <c r="D81" s="37">
        <v>356.97426999999999</v>
      </c>
      <c r="E81" s="38">
        <f t="shared" si="3"/>
        <v>70.734617084136673</v>
      </c>
      <c r="F81" s="38">
        <f t="shared" si="4"/>
        <v>-147.69272999999998</v>
      </c>
    </row>
    <row r="82" spans="1:6" s="6" customFormat="1">
      <c r="A82" s="30" t="s">
        <v>85</v>
      </c>
      <c r="B82" s="31" t="s">
        <v>86</v>
      </c>
      <c r="C82" s="32">
        <f>C83</f>
        <v>2697.1779999999999</v>
      </c>
      <c r="D82" s="32">
        <f>SUM(D83)</f>
        <v>1764.62574</v>
      </c>
      <c r="E82" s="34">
        <f t="shared" si="3"/>
        <v>65.424890014674602</v>
      </c>
      <c r="F82" s="34">
        <f t="shared" si="4"/>
        <v>-932.55225999999993</v>
      </c>
    </row>
    <row r="83" spans="1:6" ht="15" customHeight="1">
      <c r="A83" s="35" t="s">
        <v>87</v>
      </c>
      <c r="B83" s="39" t="s">
        <v>233</v>
      </c>
      <c r="C83" s="37">
        <v>2697.1779999999999</v>
      </c>
      <c r="D83" s="37">
        <v>1764.62574</v>
      </c>
      <c r="E83" s="38">
        <f t="shared" si="3"/>
        <v>65.424890014674602</v>
      </c>
      <c r="F83" s="38">
        <f t="shared" si="4"/>
        <v>-932.55225999999993</v>
      </c>
    </row>
    <row r="84" spans="1:6" s="6" customFormat="1" ht="15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</f>
        <v>27</v>
      </c>
      <c r="D89" s="32">
        <f>D90+D91+D92+D93+D94</f>
        <v>0</v>
      </c>
      <c r="E89" s="38"/>
      <c r="F89" s="22">
        <f>F90+F91+F92+F93+F94</f>
        <v>-27</v>
      </c>
    </row>
    <row r="90" spans="1:6" ht="16.5" customHeight="1">
      <c r="A90" s="35" t="s">
        <v>96</v>
      </c>
      <c r="B90" s="39" t="s">
        <v>97</v>
      </c>
      <c r="C90" s="37">
        <v>27</v>
      </c>
      <c r="D90" s="37">
        <v>0</v>
      </c>
      <c r="E90" s="38"/>
      <c r="F90" s="38">
        <f>SUM(D90-C90)</f>
        <v>-27</v>
      </c>
    </row>
    <row r="91" spans="1:6" ht="1.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114</v>
      </c>
      <c r="C95" s="48">
        <f>C96+C97+C98</f>
        <v>0</v>
      </c>
      <c r="D95" s="190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117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118</v>
      </c>
      <c r="C99" s="301">
        <f>C57+C65+C67+C73+C78+C82+C89+C84</f>
        <v>7029.57755</v>
      </c>
      <c r="D99" s="301">
        <f>D57+D65+D67+D73+D78+D82+D89+D84</f>
        <v>3322.3544700000002</v>
      </c>
      <c r="E99" s="34">
        <f t="shared" si="3"/>
        <v>47.26250541186505</v>
      </c>
      <c r="F99" s="34">
        <f t="shared" si="4"/>
        <v>-3707.2230799999998</v>
      </c>
    </row>
    <row r="100" spans="1:6">
      <c r="D100" s="194"/>
    </row>
    <row r="101" spans="1:6" s="65" customFormat="1" ht="18" customHeight="1">
      <c r="A101" s="63" t="s">
        <v>119</v>
      </c>
      <c r="B101" s="63"/>
      <c r="C101" s="131"/>
      <c r="D101" s="64"/>
      <c r="E101" s="64"/>
    </row>
    <row r="102" spans="1:6" s="65" customFormat="1" ht="12.75">
      <c r="A102" s="66" t="s">
        <v>120</v>
      </c>
      <c r="B102" s="66"/>
      <c r="C102" s="65" t="s">
        <v>121</v>
      </c>
    </row>
    <row r="103" spans="1:6">
      <c r="C103" s="120"/>
    </row>
    <row r="142" hidden="1"/>
  </sheetData>
  <customSheetViews>
    <customSheetView guid="{B30CE22D-C12F-4E12-8BB9-3AAE0A6991CC}" scale="70" showPageBreaks="1" printArea="1" hiddenRows="1" view="pageBreakPreview" topLeftCell="A16">
      <selection activeCell="D53" sqref="C52:D5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2">
      <selection activeCell="D43" sqref="D43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8"/>
    </customSheetView>
    <customSheetView guid="{61528DAC-5C4C-48F4-ADE2-8A724B05A086}" scale="70" showPageBreaks="1" hiddenRows="1" view="pageBreakPreview">
      <selection activeCell="A72" sqref="A72:XFD72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2" zoomScale="70" zoomScaleSheetLayoutView="70" workbookViewId="0">
      <selection activeCell="D65" sqref="D65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54" t="s">
        <v>440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2602.7242899999997</v>
      </c>
      <c r="D4" s="5">
        <f>D5+D12+D14+D17+D7</f>
        <v>680.74540999999999</v>
      </c>
      <c r="E4" s="5">
        <f>SUM(D4/C4*100)</f>
        <v>26.155110344015736</v>
      </c>
      <c r="F4" s="5">
        <f>SUM(D4-C4)</f>
        <v>-1921.9788799999997</v>
      </c>
    </row>
    <row r="5" spans="1:6" s="6" customFormat="1">
      <c r="A5" s="68">
        <v>1010000000</v>
      </c>
      <c r="B5" s="67" t="s">
        <v>5</v>
      </c>
      <c r="C5" s="5">
        <f>C6</f>
        <v>137.33699999999999</v>
      </c>
      <c r="D5" s="5">
        <f>D6</f>
        <v>61.02807</v>
      </c>
      <c r="E5" s="5">
        <f t="shared" ref="E5:E52" si="0">SUM(D5/C5*100)</f>
        <v>44.436728631031698</v>
      </c>
      <c r="F5" s="5">
        <f t="shared" ref="F5:F52" si="1">SUM(D5-C5)</f>
        <v>-76.308929999999989</v>
      </c>
    </row>
    <row r="6" spans="1:6">
      <c r="A6" s="7">
        <v>1010200001</v>
      </c>
      <c r="B6" s="8" t="s">
        <v>228</v>
      </c>
      <c r="C6" s="9">
        <v>137.33699999999999</v>
      </c>
      <c r="D6" s="10">
        <v>61.02807</v>
      </c>
      <c r="E6" s="9">
        <f t="shared" ref="E6:E11" si="2">SUM(D6/C6*100)</f>
        <v>44.436728631031698</v>
      </c>
      <c r="F6" s="9">
        <f t="shared" si="1"/>
        <v>-76.308929999999989</v>
      </c>
    </row>
    <row r="7" spans="1:6" ht="31.5">
      <c r="A7" s="3">
        <v>1030000000</v>
      </c>
      <c r="B7" s="13" t="s">
        <v>280</v>
      </c>
      <c r="C7" s="5">
        <f>C8+C10+C9</f>
        <v>737.00999999999988</v>
      </c>
      <c r="D7" s="5">
        <f>D8+D10+D9+D11</f>
        <v>422.77016000000003</v>
      </c>
      <c r="E7" s="5">
        <f t="shared" si="2"/>
        <v>57.362879743829808</v>
      </c>
      <c r="F7" s="5">
        <f t="shared" si="1"/>
        <v>-314.23983999999984</v>
      </c>
    </row>
    <row r="8" spans="1:6">
      <c r="A8" s="7">
        <v>1030223001</v>
      </c>
      <c r="B8" s="8" t="s">
        <v>282</v>
      </c>
      <c r="C8" s="9">
        <v>274.90499999999997</v>
      </c>
      <c r="D8" s="10">
        <v>191.91990000000001</v>
      </c>
      <c r="E8" s="9">
        <f t="shared" si="2"/>
        <v>69.813171822993411</v>
      </c>
      <c r="F8" s="9">
        <f t="shared" si="1"/>
        <v>-82.98509999999996</v>
      </c>
    </row>
    <row r="9" spans="1:6">
      <c r="A9" s="7">
        <v>1030224001</v>
      </c>
      <c r="B9" s="8" t="s">
        <v>288</v>
      </c>
      <c r="C9" s="9">
        <v>2.948</v>
      </c>
      <c r="D9" s="10">
        <v>1.4561200000000001</v>
      </c>
      <c r="E9" s="9">
        <f t="shared" si="2"/>
        <v>49.393487109905024</v>
      </c>
      <c r="F9" s="9">
        <f t="shared" si="1"/>
        <v>-1.4918799999999999</v>
      </c>
    </row>
    <row r="10" spans="1:6">
      <c r="A10" s="7">
        <v>1030225001</v>
      </c>
      <c r="B10" s="8" t="s">
        <v>281</v>
      </c>
      <c r="C10" s="9">
        <v>459.15699999999998</v>
      </c>
      <c r="D10" s="10">
        <v>265.95058</v>
      </c>
      <c r="E10" s="9">
        <f t="shared" si="2"/>
        <v>57.921490906160642</v>
      </c>
      <c r="F10" s="9">
        <f>SUM(D10-C10)</f>
        <v>-193.20641999999998</v>
      </c>
    </row>
    <row r="11" spans="1:6">
      <c r="A11" s="7">
        <v>1030226001</v>
      </c>
      <c r="B11" s="8" t="s">
        <v>290</v>
      </c>
      <c r="C11" s="9">
        <v>0</v>
      </c>
      <c r="D11" s="10">
        <v>-36.556440000000002</v>
      </c>
      <c r="E11" s="9" t="e">
        <f t="shared" si="2"/>
        <v>#DIV/0!</v>
      </c>
      <c r="F11" s="9">
        <f>SUM(D11-C11)</f>
        <v>-36.556440000000002</v>
      </c>
    </row>
    <row r="12" spans="1:6" s="6" customFormat="1">
      <c r="A12" s="68">
        <v>1050000000</v>
      </c>
      <c r="B12" s="67" t="s">
        <v>6</v>
      </c>
      <c r="C12" s="5">
        <f>SUM(C13:C13)</f>
        <v>21</v>
      </c>
      <c r="D12" s="5">
        <f>SUM(D13:D13)</f>
        <v>18.549779999999998</v>
      </c>
      <c r="E12" s="5">
        <f t="shared" si="0"/>
        <v>88.332285714285703</v>
      </c>
      <c r="F12" s="5">
        <f t="shared" si="1"/>
        <v>-2.4502200000000016</v>
      </c>
    </row>
    <row r="13" spans="1:6" ht="15.75" customHeight="1">
      <c r="A13" s="7">
        <v>1050300000</v>
      </c>
      <c r="B13" s="11" t="s">
        <v>229</v>
      </c>
      <c r="C13" s="12">
        <v>21</v>
      </c>
      <c r="D13" s="10">
        <v>18.549779999999998</v>
      </c>
      <c r="E13" s="9">
        <f t="shared" si="0"/>
        <v>88.332285714285703</v>
      </c>
      <c r="F13" s="9">
        <f t="shared" si="1"/>
        <v>-2.4502200000000016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1695.3772899999999</v>
      </c>
      <c r="D14" s="5">
        <f>D15+D16</f>
        <v>174.12739999999999</v>
      </c>
      <c r="E14" s="5">
        <f t="shared" si="0"/>
        <v>10.270716791304903</v>
      </c>
      <c r="F14" s="5">
        <f t="shared" si="1"/>
        <v>-1521.2498899999998</v>
      </c>
    </row>
    <row r="15" spans="1:6" s="6" customFormat="1" ht="15.75" customHeight="1">
      <c r="A15" s="7">
        <v>1060100000</v>
      </c>
      <c r="B15" s="11" t="s">
        <v>8</v>
      </c>
      <c r="C15" s="9">
        <v>201</v>
      </c>
      <c r="D15" s="10">
        <v>37.95158</v>
      </c>
      <c r="E15" s="9">
        <f t="shared" si="0"/>
        <v>18.881383084577113</v>
      </c>
      <c r="F15" s="9">
        <f>SUM(D15-C15)</f>
        <v>-163.04841999999999</v>
      </c>
    </row>
    <row r="16" spans="1:6" ht="15.75" customHeight="1">
      <c r="A16" s="7">
        <v>1060600000</v>
      </c>
      <c r="B16" s="11" t="s">
        <v>7</v>
      </c>
      <c r="C16" s="9">
        <v>1494.3772899999999</v>
      </c>
      <c r="D16" s="10">
        <v>136.17581999999999</v>
      </c>
      <c r="E16" s="9">
        <f t="shared" si="0"/>
        <v>9.1125461361902786</v>
      </c>
      <c r="F16" s="9">
        <f t="shared" si="1"/>
        <v>-1358.20147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4.2699999999999996</v>
      </c>
      <c r="E17" s="5">
        <f t="shared" si="0"/>
        <v>35.583333333333329</v>
      </c>
      <c r="F17" s="5">
        <f t="shared" si="1"/>
        <v>-7.73</v>
      </c>
    </row>
    <row r="18" spans="1:6" ht="18" customHeight="1">
      <c r="A18" s="7">
        <v>1080400001</v>
      </c>
      <c r="B18" s="8" t="s">
        <v>227</v>
      </c>
      <c r="C18" s="9">
        <v>12</v>
      </c>
      <c r="D18" s="10">
        <v>4.2699999999999996</v>
      </c>
      <c r="E18" s="9">
        <f t="shared" si="0"/>
        <v>35.583333333333329</v>
      </c>
      <c r="F18" s="9">
        <f t="shared" si="1"/>
        <v>-7.73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440.58499999999998</v>
      </c>
      <c r="D25" s="5">
        <f>D30+D37+D26+D35</f>
        <v>117.04304999999999</v>
      </c>
      <c r="E25" s="5">
        <f t="shared" si="0"/>
        <v>26.565373310484926</v>
      </c>
      <c r="F25" s="5">
        <f t="shared" si="1"/>
        <v>-323.54194999999999</v>
      </c>
    </row>
    <row r="26" spans="1:6" s="6" customFormat="1" ht="30.75" customHeight="1">
      <c r="A26" s="68">
        <v>1110000000</v>
      </c>
      <c r="B26" s="69" t="s">
        <v>128</v>
      </c>
      <c r="C26" s="5">
        <f>C27+C28</f>
        <v>10</v>
      </c>
      <c r="D26" s="5">
        <f>D27+D28</f>
        <v>15.84501</v>
      </c>
      <c r="E26" s="5">
        <f t="shared" si="0"/>
        <v>158.45009999999999</v>
      </c>
      <c r="F26" s="5">
        <f t="shared" si="1"/>
        <v>5.8450100000000003</v>
      </c>
    </row>
    <row r="27" spans="1:6" ht="15.75" customHeight="1">
      <c r="A27" s="16">
        <v>1110502510</v>
      </c>
      <c r="B27" s="17" t="s">
        <v>225</v>
      </c>
      <c r="C27" s="12">
        <v>10</v>
      </c>
      <c r="D27" s="10">
        <v>15.84501</v>
      </c>
      <c r="E27" s="9">
        <f t="shared" si="0"/>
        <v>158.45009999999999</v>
      </c>
      <c r="F27" s="9">
        <f t="shared" si="1"/>
        <v>5.8450100000000003</v>
      </c>
    </row>
    <row r="28" spans="1:6" ht="15.75" customHeight="1">
      <c r="A28" s="7">
        <v>1110503510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359</v>
      </c>
      <c r="C29" s="12">
        <v>0</v>
      </c>
      <c r="D29" s="194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130</v>
      </c>
      <c r="C30" s="5">
        <f>C31</f>
        <v>0</v>
      </c>
      <c r="D30" s="5">
        <f>D31</f>
        <v>62.318449999999999</v>
      </c>
      <c r="E30" s="5" t="e">
        <f t="shared" si="0"/>
        <v>#DIV/0!</v>
      </c>
      <c r="F30" s="5">
        <f t="shared" si="1"/>
        <v>62.318449999999999</v>
      </c>
    </row>
    <row r="31" spans="1:6" ht="17.25" customHeight="1">
      <c r="A31" s="7">
        <v>1130206005</v>
      </c>
      <c r="B31" s="8" t="s">
        <v>223</v>
      </c>
      <c r="C31" s="9">
        <v>0</v>
      </c>
      <c r="D31" s="10">
        <v>62.318449999999999</v>
      </c>
      <c r="E31" s="9" t="e">
        <f t="shared" si="0"/>
        <v>#DIV/0!</v>
      </c>
      <c r="F31" s="9">
        <f t="shared" si="1"/>
        <v>62.318449999999999</v>
      </c>
    </row>
    <row r="32" spans="1:6" ht="35.25" customHeight="1">
      <c r="A32" s="70">
        <v>1140000000</v>
      </c>
      <c r="B32" s="71" t="s">
        <v>131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221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222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251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267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18</v>
      </c>
      <c r="C40" s="127">
        <f>SUM(C4,C25)</f>
        <v>3043.3092899999997</v>
      </c>
      <c r="D40" s="127">
        <f>D4+D25</f>
        <v>797.78845999999999</v>
      </c>
      <c r="E40" s="5">
        <f t="shared" si="0"/>
        <v>26.214504803092165</v>
      </c>
      <c r="F40" s="5">
        <f t="shared" si="1"/>
        <v>-2245.5208299999995</v>
      </c>
    </row>
    <row r="41" spans="1:7" s="6" customFormat="1">
      <c r="A41" s="3">
        <v>2000000000</v>
      </c>
      <c r="B41" s="4" t="s">
        <v>19</v>
      </c>
      <c r="C41" s="5">
        <f>C42+C44+C45+C47+C48+C49+C43+C51</f>
        <v>10146.139289999999</v>
      </c>
      <c r="D41" s="5">
        <f>D42+D44+D45+D47+D48+D49+D43+D51</f>
        <v>1619.8743999999999</v>
      </c>
      <c r="E41" s="5">
        <f t="shared" si="0"/>
        <v>15.965426392248949</v>
      </c>
      <c r="F41" s="5">
        <f t="shared" si="1"/>
        <v>-8526.2648899999986</v>
      </c>
      <c r="G41" s="19"/>
    </row>
    <row r="42" spans="1:7" ht="17.25" customHeight="1">
      <c r="A42" s="16">
        <v>2021000000</v>
      </c>
      <c r="B42" s="17" t="s">
        <v>20</v>
      </c>
      <c r="C42" s="12">
        <v>1852.8</v>
      </c>
      <c r="D42" s="291">
        <v>926.4</v>
      </c>
      <c r="E42" s="9">
        <f t="shared" si="0"/>
        <v>50</v>
      </c>
      <c r="F42" s="9">
        <f t="shared" si="1"/>
        <v>-926.4</v>
      </c>
    </row>
    <row r="43" spans="1:7" ht="17.25" customHeight="1">
      <c r="A43" s="16">
        <v>2021500200</v>
      </c>
      <c r="B43" s="17" t="s">
        <v>231</v>
      </c>
      <c r="C43" s="292">
        <v>494</v>
      </c>
      <c r="D43" s="20">
        <v>200</v>
      </c>
      <c r="E43" s="9">
        <f t="shared" si="0"/>
        <v>40.48582995951417</v>
      </c>
      <c r="F43" s="9">
        <f t="shared" si="1"/>
        <v>-294</v>
      </c>
    </row>
    <row r="44" spans="1:7">
      <c r="A44" s="16">
        <v>2022000000</v>
      </c>
      <c r="B44" s="17" t="s">
        <v>21</v>
      </c>
      <c r="C44" s="12">
        <v>4723.53629</v>
      </c>
      <c r="D44" s="10">
        <v>403.22800000000001</v>
      </c>
      <c r="E44" s="9">
        <f t="shared" si="0"/>
        <v>8.5365703837960769</v>
      </c>
      <c r="F44" s="9">
        <f t="shared" si="1"/>
        <v>-4320.3082899999999</v>
      </c>
    </row>
    <row r="45" spans="1:7" ht="15.75" customHeight="1">
      <c r="A45" s="16">
        <v>2023000000</v>
      </c>
      <c r="B45" s="17" t="s">
        <v>22</v>
      </c>
      <c r="C45" s="12">
        <v>182.04300000000001</v>
      </c>
      <c r="D45" s="200">
        <v>90.246399999999994</v>
      </c>
      <c r="E45" s="9">
        <f t="shared" si="0"/>
        <v>49.574221475145983</v>
      </c>
      <c r="F45" s="9">
        <f t="shared" si="1"/>
        <v>-91.796600000000012</v>
      </c>
    </row>
    <row r="46" spans="1:7" ht="15" hidden="1" customHeight="1">
      <c r="A46" s="16">
        <v>2070503010</v>
      </c>
      <c r="B46" s="17" t="s">
        <v>270</v>
      </c>
      <c r="C46" s="12">
        <v>0</v>
      </c>
      <c r="D46" s="200">
        <v>0</v>
      </c>
      <c r="E46" s="9" t="e">
        <f t="shared" si="0"/>
        <v>#DIV/0!</v>
      </c>
      <c r="F46" s="9">
        <f t="shared" si="1"/>
        <v>0</v>
      </c>
    </row>
    <row r="47" spans="1:7" ht="23.25" customHeight="1">
      <c r="A47" s="16">
        <v>2020400000</v>
      </c>
      <c r="B47" s="17" t="s">
        <v>23</v>
      </c>
      <c r="C47" s="12">
        <v>2893.76</v>
      </c>
      <c r="D47" s="201">
        <v>0</v>
      </c>
      <c r="E47" s="9">
        <f t="shared" si="0"/>
        <v>0</v>
      </c>
      <c r="F47" s="9">
        <f t="shared" si="1"/>
        <v>-2893.76</v>
      </c>
    </row>
    <row r="48" spans="1:7" ht="23.25" customHeight="1">
      <c r="A48" s="16">
        <v>2020900000</v>
      </c>
      <c r="B48" s="18" t="s">
        <v>24</v>
      </c>
      <c r="C48" s="12"/>
      <c r="D48" s="201"/>
      <c r="E48" s="9" t="e">
        <f t="shared" si="0"/>
        <v>#DIV/0!</v>
      </c>
      <c r="F48" s="9">
        <f t="shared" si="1"/>
        <v>0</v>
      </c>
    </row>
    <row r="49" spans="1:8" ht="21.75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8" s="6" customFormat="1" ht="19.5" customHeight="1">
      <c r="A50" s="3">
        <v>3000000000</v>
      </c>
      <c r="B50" s="13" t="s">
        <v>26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302</v>
      </c>
      <c r="C51" s="232">
        <v>0</v>
      </c>
      <c r="D51" s="23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27</v>
      </c>
      <c r="C52" s="93">
        <f>SUM(C40,C41,C50)</f>
        <v>13189.448579999998</v>
      </c>
      <c r="D52" s="298">
        <f>D40+D41</f>
        <v>2417.6628599999999</v>
      </c>
      <c r="E52" s="5">
        <f t="shared" si="0"/>
        <v>18.33028003662</v>
      </c>
      <c r="F52" s="5">
        <f t="shared" si="1"/>
        <v>-10771.785719999998</v>
      </c>
      <c r="G52" s="94"/>
      <c r="H52" s="213"/>
    </row>
    <row r="53" spans="1:8" s="6" customFormat="1">
      <c r="A53" s="3"/>
      <c r="B53" s="21" t="s">
        <v>320</v>
      </c>
      <c r="C53" s="325">
        <f>C52-C99</f>
        <v>-1214.8990599999997</v>
      </c>
      <c r="D53" s="325">
        <f>D52-D99</f>
        <v>-253.75681999999961</v>
      </c>
      <c r="E53" s="22"/>
      <c r="F53" s="22"/>
    </row>
    <row r="54" spans="1:8" ht="32.25" customHeight="1">
      <c r="A54" s="23"/>
      <c r="B54" s="24"/>
      <c r="C54" s="196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424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29</v>
      </c>
      <c r="B57" s="31" t="s">
        <v>30</v>
      </c>
      <c r="C57" s="32">
        <f>C58+C59+C60+C61+C62+C64+C63</f>
        <v>1320</v>
      </c>
      <c r="D57" s="33">
        <f>D58+D59+D60+D61+D62+D64+D63</f>
        <v>668.74072999999999</v>
      </c>
      <c r="E57" s="34">
        <f>SUM(D57/C57*100)</f>
        <v>50.662176515151515</v>
      </c>
      <c r="F57" s="34">
        <f>SUM(D57-C57)</f>
        <v>-651.25927000000001</v>
      </c>
    </row>
    <row r="58" spans="1:8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8" ht="18.75" customHeight="1">
      <c r="A59" s="35" t="s">
        <v>33</v>
      </c>
      <c r="B59" s="39" t="s">
        <v>34</v>
      </c>
      <c r="C59" s="37">
        <v>1267.0999999999999</v>
      </c>
      <c r="D59" s="37">
        <v>660.97122999999999</v>
      </c>
      <c r="E59" s="38">
        <f t="shared" ref="E59:E99" si="3">SUM(D59/C59*100)</f>
        <v>52.164093599558051</v>
      </c>
      <c r="F59" s="38">
        <f t="shared" ref="F59:F99" si="4">SUM(D59-C59)</f>
        <v>-606.12876999999992</v>
      </c>
    </row>
    <row r="60" spans="1:8" ht="16.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21.75" customHeight="1">
      <c r="A62" s="35" t="s">
        <v>39</v>
      </c>
      <c r="B62" s="39" t="s">
        <v>40</v>
      </c>
      <c r="C62" s="37">
        <v>20.13</v>
      </c>
      <c r="D62" s="37">
        <v>0</v>
      </c>
      <c r="E62" s="38">
        <f t="shared" si="3"/>
        <v>0</v>
      </c>
      <c r="F62" s="38">
        <f t="shared" si="4"/>
        <v>-20.13</v>
      </c>
    </row>
    <row r="63" spans="1:8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43</v>
      </c>
      <c r="B64" s="39" t="s">
        <v>44</v>
      </c>
      <c r="C64" s="37">
        <v>27.77</v>
      </c>
      <c r="D64" s="37">
        <v>7.7694999999999999</v>
      </c>
      <c r="E64" s="38">
        <f t="shared" si="3"/>
        <v>27.97803384947785</v>
      </c>
      <c r="F64" s="38">
        <f t="shared" si="4"/>
        <v>-20.000499999999999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77.930790000000002</v>
      </c>
      <c r="E65" s="34">
        <f t="shared" si="3"/>
        <v>43.320875858848645</v>
      </c>
      <c r="F65" s="34">
        <f t="shared" si="4"/>
        <v>-101.96120999999999</v>
      </c>
    </row>
    <row r="66" spans="1:7">
      <c r="A66" s="43" t="s">
        <v>47</v>
      </c>
      <c r="B66" s="44" t="s">
        <v>48</v>
      </c>
      <c r="C66" s="37">
        <v>179.892</v>
      </c>
      <c r="D66" s="37">
        <v>77.930790000000002</v>
      </c>
      <c r="E66" s="38">
        <f t="shared" si="3"/>
        <v>43.320875858848645</v>
      </c>
      <c r="F66" s="38">
        <f t="shared" si="4"/>
        <v>-101.96120999999999</v>
      </c>
    </row>
    <row r="67" spans="1:7" s="6" customFormat="1" ht="16.5" customHeight="1">
      <c r="A67" s="30" t="s">
        <v>49</v>
      </c>
      <c r="B67" s="31" t="s">
        <v>50</v>
      </c>
      <c r="C67" s="32">
        <f>C71+C70+C72</f>
        <v>12.175000000000001</v>
      </c>
      <c r="D67" s="32">
        <f>D71+D70+D72</f>
        <v>1.175</v>
      </c>
      <c r="E67" s="34">
        <f t="shared" si="3"/>
        <v>9.6509240246406574</v>
      </c>
      <c r="F67" s="34">
        <f t="shared" si="4"/>
        <v>-11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218</v>
      </c>
      <c r="B71" s="47" t="s">
        <v>219</v>
      </c>
      <c r="C71" s="37">
        <v>9.1750000000000007</v>
      </c>
      <c r="D71" s="37">
        <v>1.175</v>
      </c>
      <c r="E71" s="34">
        <f t="shared" si="3"/>
        <v>12.806539509536785</v>
      </c>
      <c r="F71" s="34">
        <f t="shared" si="4"/>
        <v>-8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57</v>
      </c>
      <c r="B73" s="31" t="s">
        <v>58</v>
      </c>
      <c r="C73" s="48">
        <f>C74+C75+C76+C77</f>
        <v>5523.0478000000003</v>
      </c>
      <c r="D73" s="48">
        <f>SUM(D74:D77)</f>
        <v>561.05334000000005</v>
      </c>
      <c r="E73" s="34">
        <f t="shared" si="3"/>
        <v>10.158400946665717</v>
      </c>
      <c r="F73" s="34">
        <f t="shared" si="4"/>
        <v>-4961.9944599999999</v>
      </c>
    </row>
    <row r="74" spans="1:7" ht="16.5" customHeight="1">
      <c r="A74" s="35" t="s">
        <v>59</v>
      </c>
      <c r="B74" s="39" t="s">
        <v>60</v>
      </c>
      <c r="C74" s="49">
        <v>5.3620000000000001</v>
      </c>
      <c r="D74" s="37">
        <v>1.3405</v>
      </c>
      <c r="E74" s="38">
        <f t="shared" si="3"/>
        <v>25</v>
      </c>
      <c r="F74" s="38">
        <f t="shared" si="4"/>
        <v>-4.0214999999999996</v>
      </c>
    </row>
    <row r="75" spans="1:7" s="6" customFormat="1" ht="17.25" customHeight="1">
      <c r="A75" s="35" t="s">
        <v>61</v>
      </c>
      <c r="B75" s="39" t="s">
        <v>62</v>
      </c>
      <c r="C75" s="49">
        <v>220</v>
      </c>
      <c r="D75" s="37">
        <v>62.49776</v>
      </c>
      <c r="E75" s="38">
        <f t="shared" si="3"/>
        <v>28.408072727272724</v>
      </c>
      <c r="F75" s="38">
        <f t="shared" si="4"/>
        <v>-157.50224</v>
      </c>
      <c r="G75" s="50"/>
    </row>
    <row r="76" spans="1:7" ht="18" customHeight="1">
      <c r="A76" s="35" t="s">
        <v>63</v>
      </c>
      <c r="B76" s="39" t="s">
        <v>64</v>
      </c>
      <c r="C76" s="49">
        <v>5137.6858000000002</v>
      </c>
      <c r="D76" s="37">
        <v>458.21508</v>
      </c>
      <c r="E76" s="38">
        <f t="shared" si="3"/>
        <v>8.9187057721591305</v>
      </c>
      <c r="F76" s="38">
        <f t="shared" si="4"/>
        <v>-4679.4707200000003</v>
      </c>
    </row>
    <row r="77" spans="1:7">
      <c r="A77" s="35" t="s">
        <v>65</v>
      </c>
      <c r="B77" s="39" t="s">
        <v>66</v>
      </c>
      <c r="C77" s="49">
        <v>160</v>
      </c>
      <c r="D77" s="37">
        <v>39</v>
      </c>
      <c r="E77" s="38">
        <f t="shared" si="3"/>
        <v>24.375</v>
      </c>
      <c r="F77" s="38">
        <f t="shared" si="4"/>
        <v>-121</v>
      </c>
    </row>
    <row r="78" spans="1:7" s="6" customFormat="1" ht="15.75" customHeight="1">
      <c r="A78" s="30" t="s">
        <v>67</v>
      </c>
      <c r="B78" s="31" t="s">
        <v>68</v>
      </c>
      <c r="C78" s="32">
        <f>SUM(C79:C81)</f>
        <v>770.34400000000005</v>
      </c>
      <c r="D78" s="32">
        <f>SUM(D79:D81)</f>
        <v>204.07909000000001</v>
      </c>
      <c r="E78" s="34">
        <f t="shared" si="3"/>
        <v>26.491942560726116</v>
      </c>
      <c r="F78" s="34">
        <f t="shared" si="4"/>
        <v>-566.2649100000001</v>
      </c>
    </row>
    <row r="79" spans="1:7" hidden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770.34400000000005</v>
      </c>
      <c r="D81" s="37">
        <v>204.07909000000001</v>
      </c>
      <c r="E81" s="38">
        <f>SUM(D81/C81*100)</f>
        <v>26.491942560726116</v>
      </c>
      <c r="F81" s="38">
        <f t="shared" si="4"/>
        <v>-566.2649100000001</v>
      </c>
    </row>
    <row r="82" spans="1:6" s="6" customFormat="1">
      <c r="A82" s="30" t="s">
        <v>85</v>
      </c>
      <c r="B82" s="31" t="s">
        <v>86</v>
      </c>
      <c r="C82" s="32">
        <f>C83</f>
        <v>6565.6698399999996</v>
      </c>
      <c r="D82" s="32">
        <f>SUM(D83)</f>
        <v>1132.67173</v>
      </c>
      <c r="E82" s="34">
        <f t="shared" si="3"/>
        <v>17.251426855176746</v>
      </c>
      <c r="F82" s="34">
        <f t="shared" si="4"/>
        <v>-5432.9981099999995</v>
      </c>
    </row>
    <row r="83" spans="1:6" ht="18.75" customHeight="1">
      <c r="A83" s="35" t="s">
        <v>87</v>
      </c>
      <c r="B83" s="39" t="s">
        <v>233</v>
      </c>
      <c r="C83" s="37">
        <v>6565.6698399999996</v>
      </c>
      <c r="D83" s="37">
        <v>1132.67173</v>
      </c>
      <c r="E83" s="38">
        <f t="shared" si="3"/>
        <v>17.251426855176746</v>
      </c>
      <c r="F83" s="38">
        <f t="shared" si="4"/>
        <v>-5432.9981099999995</v>
      </c>
    </row>
    <row r="84" spans="1:6" s="6" customFormat="1" ht="0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92</v>
      </c>
      <c r="B88" s="39" t="s">
        <v>93</v>
      </c>
      <c r="C88" s="37"/>
      <c r="D88" s="37"/>
      <c r="E88" s="38"/>
      <c r="F88" s="38">
        <f t="shared" si="4"/>
        <v>0</v>
      </c>
    </row>
    <row r="89" spans="1:6">
      <c r="A89" s="30" t="s">
        <v>94</v>
      </c>
      <c r="B89" s="31" t="s">
        <v>95</v>
      </c>
      <c r="C89" s="32">
        <f>C90+C91+C92+C93+C94</f>
        <v>33.219000000000001</v>
      </c>
      <c r="D89" s="32">
        <f>D90+D91+D92+D93+D94</f>
        <v>25.768999999999998</v>
      </c>
      <c r="E89" s="38">
        <f t="shared" si="3"/>
        <v>77.573075649477701</v>
      </c>
      <c r="F89" s="22">
        <f>F90+F91+F92+F93+F94</f>
        <v>-7.4500000000000028</v>
      </c>
    </row>
    <row r="90" spans="1:6" ht="17.25" customHeight="1">
      <c r="A90" s="35" t="s">
        <v>96</v>
      </c>
      <c r="B90" s="39" t="s">
        <v>97</v>
      </c>
      <c r="C90" s="37">
        <v>33.219000000000001</v>
      </c>
      <c r="D90" s="37">
        <v>25.768999999999998</v>
      </c>
      <c r="E90" s="38">
        <f t="shared" si="3"/>
        <v>77.573075649477701</v>
      </c>
      <c r="F90" s="38">
        <f>SUM(D90-C90)</f>
        <v>-7.4500000000000028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118</v>
      </c>
      <c r="C99" s="33">
        <f>C57+C65+C67+C73+C78+C82+C84+C89+C95</f>
        <v>14404.347639999998</v>
      </c>
      <c r="D99" s="33">
        <f>D57+D65+D67+D73+D78+D82+D84+D89+D95</f>
        <v>2671.4196799999995</v>
      </c>
      <c r="E99" s="34">
        <f t="shared" si="3"/>
        <v>18.545926179826633</v>
      </c>
      <c r="F99" s="34">
        <f t="shared" si="4"/>
        <v>-11732.927959999999</v>
      </c>
      <c r="G99" s="213">
        <f>13760.58764-C99</f>
        <v>-643.7599999999984</v>
      </c>
      <c r="H99" s="151">
        <f>D99-2015.50722</f>
        <v>655.91245999999956</v>
      </c>
    </row>
    <row r="100" spans="1:8" ht="13.5" customHeight="1">
      <c r="C100" s="117"/>
      <c r="D100" s="61"/>
    </row>
    <row r="101" spans="1:8" s="65" customFormat="1" ht="12.75">
      <c r="A101" s="63" t="s">
        <v>119</v>
      </c>
      <c r="B101" s="63"/>
      <c r="C101" s="134"/>
      <c r="D101" s="134"/>
    </row>
    <row r="102" spans="1:8" s="65" customFormat="1" ht="12.75">
      <c r="A102" s="66" t="s">
        <v>120</v>
      </c>
      <c r="B102" s="66"/>
      <c r="C102" s="119" t="s">
        <v>121</v>
      </c>
    </row>
    <row r="104" spans="1:8" ht="5.25" customHeight="1"/>
    <row r="143" hidden="1"/>
  </sheetData>
  <customSheetViews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B31C8DB7-3E78-4144-A6B5-8DE36DE63F0E}" showPageBreaks="1" printArea="1" hiddenRows="1" topLeftCell="A30">
      <selection activeCell="D43" sqref="D43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8"/>
    </customSheetView>
    <customSheetView guid="{61528DAC-5C4C-48F4-ADE2-8A724B05A086}" scale="70" showPageBreaks="1" printArea="1" hiddenRows="1" view="pageBreakPreview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topLeftCell="A35" zoomScale="70" zoomScaleSheetLayoutView="70" workbookViewId="0">
      <selection activeCell="A34" sqref="A3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54" t="s">
        <v>441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1798.069</v>
      </c>
      <c r="D4" s="5">
        <f>D5+D12+D14+D17+D7</f>
        <v>480.24689000000001</v>
      </c>
      <c r="E4" s="5">
        <f>SUM(D4/C4*100)</f>
        <v>26.709035637675754</v>
      </c>
      <c r="F4" s="5">
        <f>SUM(D4-C4)</f>
        <v>-1317.8221100000001</v>
      </c>
    </row>
    <row r="5" spans="1:6" s="6" customFormat="1">
      <c r="A5" s="3">
        <v>1010000000</v>
      </c>
      <c r="B5" s="4" t="s">
        <v>5</v>
      </c>
      <c r="C5" s="5">
        <f>C6</f>
        <v>109.68899999999999</v>
      </c>
      <c r="D5" s="5">
        <f>D6</f>
        <v>51.848599999999998</v>
      </c>
      <c r="E5" s="5">
        <f t="shared" ref="E5:E48" si="0">SUM(D5/C5*100)</f>
        <v>47.268732507361719</v>
      </c>
      <c r="F5" s="5">
        <f t="shared" ref="F5:F48" si="1">SUM(D5-C5)</f>
        <v>-57.840399999999995</v>
      </c>
    </row>
    <row r="6" spans="1:6">
      <c r="A6" s="7">
        <v>1010200001</v>
      </c>
      <c r="B6" s="8" t="s">
        <v>228</v>
      </c>
      <c r="C6" s="9">
        <v>109.68899999999999</v>
      </c>
      <c r="D6" s="10">
        <v>51.848599999999998</v>
      </c>
      <c r="E6" s="9">
        <f t="shared" ref="E6:E11" si="2">SUM(D6/C6*100)</f>
        <v>47.268732507361719</v>
      </c>
      <c r="F6" s="9">
        <f t="shared" si="1"/>
        <v>-57.840399999999995</v>
      </c>
    </row>
    <row r="7" spans="1:6" ht="31.5">
      <c r="A7" s="3">
        <v>1030000000</v>
      </c>
      <c r="B7" s="13" t="s">
        <v>280</v>
      </c>
      <c r="C7" s="5">
        <f>C8+C10+C9</f>
        <v>422.38</v>
      </c>
      <c r="D7" s="5">
        <f>D8+D10+D9+D11</f>
        <v>242.28935000000004</v>
      </c>
      <c r="E7" s="5">
        <f t="shared" si="2"/>
        <v>57.362884132771455</v>
      </c>
      <c r="F7" s="5">
        <f t="shared" si="1"/>
        <v>-180.09064999999995</v>
      </c>
    </row>
    <row r="8" spans="1:6">
      <c r="A8" s="7">
        <v>1030223001</v>
      </c>
      <c r="B8" s="8" t="s">
        <v>282</v>
      </c>
      <c r="C8" s="9">
        <v>157.55000000000001</v>
      </c>
      <c r="D8" s="10">
        <v>109.98918999999999</v>
      </c>
      <c r="E8" s="9">
        <f t="shared" si="2"/>
        <v>69.812243732148517</v>
      </c>
      <c r="F8" s="9">
        <f t="shared" si="1"/>
        <v>-47.560810000000018</v>
      </c>
    </row>
    <row r="9" spans="1:6">
      <c r="A9" s="7">
        <v>1030224001</v>
      </c>
      <c r="B9" s="8" t="s">
        <v>288</v>
      </c>
      <c r="C9" s="9">
        <v>1.69</v>
      </c>
      <c r="D9" s="10">
        <v>0.83450999999999997</v>
      </c>
      <c r="E9" s="9">
        <f t="shared" si="2"/>
        <v>49.3792899408284</v>
      </c>
      <c r="F9" s="9">
        <f t="shared" si="1"/>
        <v>-0.85548999999999997</v>
      </c>
    </row>
    <row r="10" spans="1:6">
      <c r="A10" s="7">
        <v>1030225001</v>
      </c>
      <c r="B10" s="8" t="s">
        <v>281</v>
      </c>
      <c r="C10" s="9">
        <v>263.14</v>
      </c>
      <c r="D10" s="10">
        <v>152.41613000000001</v>
      </c>
      <c r="E10" s="9">
        <f t="shared" si="2"/>
        <v>57.922068100630852</v>
      </c>
      <c r="F10" s="9">
        <f t="shared" si="1"/>
        <v>-110.72386999999998</v>
      </c>
    </row>
    <row r="11" spans="1:6">
      <c r="A11" s="7">
        <v>1030226001</v>
      </c>
      <c r="B11" s="8" t="s">
        <v>290</v>
      </c>
      <c r="C11" s="9">
        <v>0</v>
      </c>
      <c r="D11" s="10">
        <v>-20.950479999999999</v>
      </c>
      <c r="E11" s="9" t="e">
        <f t="shared" si="2"/>
        <v>#DIV/0!</v>
      </c>
      <c r="F11" s="9">
        <f t="shared" si="1"/>
        <v>-20.950479999999999</v>
      </c>
    </row>
    <row r="12" spans="1:6" s="6" customFormat="1">
      <c r="A12" s="3">
        <v>1050000000</v>
      </c>
      <c r="B12" s="4" t="s">
        <v>6</v>
      </c>
      <c r="C12" s="5">
        <f>SUM(C13:C13)</f>
        <v>5</v>
      </c>
      <c r="D12" s="5">
        <f>SUM(D13:D13)</f>
        <v>0.77749999999999997</v>
      </c>
      <c r="E12" s="5">
        <f t="shared" si="0"/>
        <v>15.55</v>
      </c>
      <c r="F12" s="5">
        <f t="shared" si="1"/>
        <v>-4.2225000000000001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0.77749999999999997</v>
      </c>
      <c r="E13" s="9">
        <f t="shared" si="0"/>
        <v>15.55</v>
      </c>
      <c r="F13" s="9">
        <f t="shared" si="1"/>
        <v>-4.2225000000000001</v>
      </c>
    </row>
    <row r="14" spans="1:6" s="6" customFormat="1" ht="15.75" customHeight="1">
      <c r="A14" s="3">
        <v>1060000000</v>
      </c>
      <c r="B14" s="4" t="s">
        <v>135</v>
      </c>
      <c r="C14" s="5">
        <f>C15+C16</f>
        <v>1256</v>
      </c>
      <c r="D14" s="5">
        <f>D15+D16</f>
        <v>182.38144</v>
      </c>
      <c r="E14" s="5">
        <f t="shared" si="0"/>
        <v>14.520815286624202</v>
      </c>
      <c r="F14" s="5">
        <f t="shared" si="1"/>
        <v>-1073.6185599999999</v>
      </c>
    </row>
    <row r="15" spans="1:6" s="6" customFormat="1" ht="15.75" customHeight="1">
      <c r="A15" s="7">
        <v>1060100000</v>
      </c>
      <c r="B15" s="11" t="s">
        <v>8</v>
      </c>
      <c r="C15" s="9">
        <v>228</v>
      </c>
      <c r="D15" s="10">
        <v>94.759990000000002</v>
      </c>
      <c r="E15" s="9">
        <f t="shared" si="0"/>
        <v>41.561399122807018</v>
      </c>
      <c r="F15" s="9">
        <f>SUM(D15-C15)</f>
        <v>-133.24000999999998</v>
      </c>
    </row>
    <row r="16" spans="1:6" ht="15.75" customHeight="1">
      <c r="A16" s="7">
        <v>1060600000</v>
      </c>
      <c r="B16" s="11" t="s">
        <v>7</v>
      </c>
      <c r="C16" s="9">
        <v>1028</v>
      </c>
      <c r="D16" s="10">
        <v>87.621449999999996</v>
      </c>
      <c r="E16" s="9">
        <f t="shared" si="0"/>
        <v>8.5234873540856029</v>
      </c>
      <c r="F16" s="9">
        <f t="shared" si="1"/>
        <v>-940.37855000000002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2.95</v>
      </c>
      <c r="E17" s="5">
        <f t="shared" si="0"/>
        <v>59.000000000000007</v>
      </c>
      <c r="F17" s="5">
        <f t="shared" si="1"/>
        <v>-2.0499999999999998</v>
      </c>
    </row>
    <row r="18" spans="1:6">
      <c r="A18" s="7">
        <v>1080400001</v>
      </c>
      <c r="B18" s="8" t="s">
        <v>227</v>
      </c>
      <c r="C18" s="9">
        <v>5</v>
      </c>
      <c r="D18" s="10">
        <v>2.95</v>
      </c>
      <c r="E18" s="9">
        <f t="shared" si="0"/>
        <v>59.000000000000007</v>
      </c>
      <c r="F18" s="9">
        <f t="shared" si="1"/>
        <v>-2.0499999999999998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317.59127999999998</v>
      </c>
      <c r="D25" s="5">
        <f>D26+D29+D31+D34</f>
        <v>117.30139</v>
      </c>
      <c r="E25" s="5">
        <f t="shared" si="0"/>
        <v>36.934701103884215</v>
      </c>
      <c r="F25" s="5">
        <f t="shared" si="1"/>
        <v>-200.28988999999999</v>
      </c>
    </row>
    <row r="26" spans="1:6" s="6" customFormat="1" ht="32.25" customHeight="1">
      <c r="A26" s="3">
        <v>1110000000</v>
      </c>
      <c r="B26" s="13" t="s">
        <v>128</v>
      </c>
      <c r="C26" s="5">
        <f>C27+C28</f>
        <v>300</v>
      </c>
      <c r="D26" s="5">
        <f>D27</f>
        <v>102.7928</v>
      </c>
      <c r="E26" s="5">
        <f t="shared" si="0"/>
        <v>34.264266666666664</v>
      </c>
      <c r="F26" s="5">
        <f t="shared" si="1"/>
        <v>-197.2072</v>
      </c>
    </row>
    <row r="27" spans="1:6" ht="15" customHeight="1">
      <c r="A27" s="16">
        <v>1110502510</v>
      </c>
      <c r="B27" s="17" t="s">
        <v>225</v>
      </c>
      <c r="C27" s="12">
        <v>300</v>
      </c>
      <c r="D27" s="10">
        <v>102.7928</v>
      </c>
      <c r="E27" s="5">
        <f t="shared" si="0"/>
        <v>34.264266666666664</v>
      </c>
      <c r="F27" s="9">
        <f t="shared" si="1"/>
        <v>-197.2072</v>
      </c>
    </row>
    <row r="28" spans="1:6" ht="19.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customHeight="1">
      <c r="A29" s="3">
        <v>1130000000</v>
      </c>
      <c r="B29" s="13" t="s">
        <v>130</v>
      </c>
      <c r="C29" s="5">
        <f>C30</f>
        <v>0</v>
      </c>
      <c r="D29" s="5">
        <f>D30</f>
        <v>5.4325999999999999</v>
      </c>
      <c r="E29" s="5" t="e">
        <f t="shared" si="0"/>
        <v>#DIV/0!</v>
      </c>
      <c r="F29" s="5">
        <f t="shared" si="1"/>
        <v>5.4325999999999999</v>
      </c>
    </row>
    <row r="30" spans="1:6" ht="50.25" customHeight="1">
      <c r="A30" s="7">
        <v>1130305005</v>
      </c>
      <c r="B30" s="8" t="s">
        <v>223</v>
      </c>
      <c r="C30" s="9">
        <v>0</v>
      </c>
      <c r="D30" s="10">
        <v>5.4325999999999999</v>
      </c>
      <c r="E30" s="9" t="e">
        <f t="shared" si="0"/>
        <v>#DIV/0!</v>
      </c>
      <c r="F30" s="9">
        <f t="shared" si="1"/>
        <v>5.4325999999999999</v>
      </c>
    </row>
    <row r="31" spans="1:6" ht="33" customHeight="1">
      <c r="A31" s="109">
        <v>1140000000</v>
      </c>
      <c r="B31" s="110" t="s">
        <v>131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27" customHeight="1">
      <c r="A32" s="16">
        <v>1140200000</v>
      </c>
      <c r="B32" s="18" t="s">
        <v>221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222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27" customHeight="1">
      <c r="A34" s="3">
        <v>1160000000</v>
      </c>
      <c r="B34" s="13" t="s">
        <v>251</v>
      </c>
      <c r="C34" s="5">
        <f>C35+C36</f>
        <v>0</v>
      </c>
      <c r="D34" s="5">
        <f>D35+D36</f>
        <v>2.67699</v>
      </c>
      <c r="E34" s="5" t="e">
        <f t="shared" si="0"/>
        <v>#DIV/0!</v>
      </c>
      <c r="F34" s="5">
        <f t="shared" si="1"/>
        <v>2.67699</v>
      </c>
    </row>
    <row r="35" spans="1:8" ht="31.5" customHeight="1">
      <c r="A35" s="7">
        <v>1163305010</v>
      </c>
      <c r="B35" s="8" t="s">
        <v>267</v>
      </c>
      <c r="C35" s="9">
        <v>0</v>
      </c>
      <c r="D35" s="9">
        <v>2.67699</v>
      </c>
      <c r="E35" s="9" t="e">
        <f t="shared" si="0"/>
        <v>#DIV/0!</v>
      </c>
      <c r="F35" s="9">
        <f t="shared" si="1"/>
        <v>2.67699</v>
      </c>
    </row>
    <row r="36" spans="1:8" ht="32.2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18</v>
      </c>
      <c r="C37" s="309">
        <f>SUM(C4,C25)</f>
        <v>2115.6602800000001</v>
      </c>
      <c r="D37" s="309">
        <f>D4+D25</f>
        <v>597.54827999999998</v>
      </c>
      <c r="E37" s="5">
        <f t="shared" si="0"/>
        <v>28.244056271643004</v>
      </c>
      <c r="F37" s="5">
        <f t="shared" si="1"/>
        <v>-1518.1120000000001</v>
      </c>
    </row>
    <row r="38" spans="1:8" s="6" customFormat="1">
      <c r="A38" s="3">
        <v>2000000000</v>
      </c>
      <c r="B38" s="4" t="s">
        <v>19</v>
      </c>
      <c r="C38" s="310">
        <f>C39+C41+C42+C44+C45+C46+C40</f>
        <v>10259.70217</v>
      </c>
      <c r="D38" s="310">
        <f>D39+D41+D42+D44+D45+D46+D40</f>
        <v>3550.2184200000002</v>
      </c>
      <c r="E38" s="5">
        <f t="shared" si="0"/>
        <v>34.603523193695203</v>
      </c>
      <c r="F38" s="5">
        <f t="shared" si="1"/>
        <v>-6709.4837500000003</v>
      </c>
      <c r="G38" s="19"/>
    </row>
    <row r="39" spans="1:8">
      <c r="A39" s="16">
        <v>2021000000</v>
      </c>
      <c r="B39" s="17" t="s">
        <v>20</v>
      </c>
      <c r="C39" s="12">
        <v>550.70000000000005</v>
      </c>
      <c r="D39" s="291">
        <v>275.35199999999998</v>
      </c>
      <c r="E39" s="9">
        <f t="shared" si="0"/>
        <v>50.000363174141995</v>
      </c>
      <c r="F39" s="9">
        <f t="shared" si="1"/>
        <v>-275.34800000000007</v>
      </c>
    </row>
    <row r="40" spans="1:8" ht="15.75" customHeight="1">
      <c r="A40" s="16">
        <v>2021500200</v>
      </c>
      <c r="B40" s="17" t="s">
        <v>231</v>
      </c>
      <c r="C40" s="12">
        <v>3415</v>
      </c>
      <c r="D40" s="20">
        <v>1525.04556</v>
      </c>
      <c r="E40" s="9">
        <f t="shared" si="0"/>
        <v>44.65726383601757</v>
      </c>
      <c r="F40" s="9">
        <f t="shared" si="1"/>
        <v>-1889.95444</v>
      </c>
    </row>
    <row r="41" spans="1:8">
      <c r="A41" s="16">
        <v>2022000000</v>
      </c>
      <c r="B41" s="17" t="s">
        <v>21</v>
      </c>
      <c r="C41" s="12">
        <v>1841.14267</v>
      </c>
      <c r="D41" s="10">
        <v>269.904</v>
      </c>
      <c r="E41" s="9">
        <f t="shared" si="0"/>
        <v>14.659591806646901</v>
      </c>
      <c r="F41" s="9">
        <f t="shared" si="1"/>
        <v>-1571.23867</v>
      </c>
    </row>
    <row r="42" spans="1:8" ht="13.5" customHeight="1">
      <c r="A42" s="16">
        <v>2023000000</v>
      </c>
      <c r="B42" s="17" t="s">
        <v>22</v>
      </c>
      <c r="C42" s="12">
        <v>93.018000000000001</v>
      </c>
      <c r="D42" s="200">
        <v>44.829000000000001</v>
      </c>
      <c r="E42" s="9">
        <f t="shared" si="0"/>
        <v>48.193897955234469</v>
      </c>
      <c r="F42" s="9">
        <f t="shared" si="1"/>
        <v>-48.189</v>
      </c>
    </row>
    <row r="43" spans="1:8" hidden="1">
      <c r="A43" s="16">
        <v>2070503010</v>
      </c>
      <c r="B43" s="17" t="s">
        <v>270</v>
      </c>
      <c r="C43" s="12">
        <v>0</v>
      </c>
      <c r="D43" s="20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23</v>
      </c>
      <c r="C44" s="12">
        <v>4119.3578200000002</v>
      </c>
      <c r="D44" s="201">
        <v>1194.60418</v>
      </c>
      <c r="E44" s="9">
        <f t="shared" si="0"/>
        <v>28.999767250129295</v>
      </c>
      <c r="F44" s="9">
        <f t="shared" si="1"/>
        <v>-2924.7536399999999</v>
      </c>
    </row>
    <row r="45" spans="1:8" ht="19.5" customHeight="1">
      <c r="A45" s="16">
        <v>2070000000</v>
      </c>
      <c r="B45" s="18" t="s">
        <v>297</v>
      </c>
      <c r="C45" s="12">
        <v>240.48367999999999</v>
      </c>
      <c r="D45" s="201">
        <v>240.48367999999999</v>
      </c>
      <c r="E45" s="9">
        <v>922</v>
      </c>
      <c r="F45" s="9">
        <f t="shared" si="1"/>
        <v>0</v>
      </c>
      <c r="G45" s="261"/>
      <c r="H45" s="261"/>
    </row>
    <row r="46" spans="1:8" ht="30.75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26</v>
      </c>
      <c r="C47" s="20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27</v>
      </c>
      <c r="C48" s="311">
        <f>SUM(C37,C38,C47)</f>
        <v>12375.362450000001</v>
      </c>
      <c r="D48" s="312">
        <f>D37+D38</f>
        <v>4147.7667000000001</v>
      </c>
      <c r="E48" s="5">
        <f t="shared" si="0"/>
        <v>33.516325010747458</v>
      </c>
      <c r="F48" s="5">
        <f t="shared" si="1"/>
        <v>-8227.5957500000004</v>
      </c>
      <c r="G48" s="213"/>
      <c r="H48" s="213"/>
    </row>
    <row r="49" spans="1:6" s="6" customFormat="1">
      <c r="A49" s="3"/>
      <c r="B49" s="21" t="s">
        <v>320</v>
      </c>
      <c r="C49" s="93">
        <f>C48-C95</f>
        <v>-52.274429999997665</v>
      </c>
      <c r="D49" s="93">
        <f>D48-D95</f>
        <v>73.937380000000303</v>
      </c>
      <c r="E49" s="22"/>
      <c r="F49" s="22"/>
    </row>
    <row r="50" spans="1:6" ht="23.25" customHeight="1">
      <c r="A50" s="23"/>
      <c r="B50" s="24"/>
      <c r="C50" s="231"/>
      <c r="D50" s="231"/>
      <c r="E50" s="26"/>
      <c r="F50" s="27"/>
    </row>
    <row r="51" spans="1:6" ht="63">
      <c r="A51" s="28" t="s">
        <v>0</v>
      </c>
      <c r="B51" s="28" t="s">
        <v>28</v>
      </c>
      <c r="C51" s="72" t="s">
        <v>411</v>
      </c>
      <c r="D51" s="73" t="s">
        <v>424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29</v>
      </c>
      <c r="B53" s="31" t="s">
        <v>30</v>
      </c>
      <c r="C53" s="32">
        <f>C54+C55+C56+C57+C58+C60+C59</f>
        <v>1294.6619999999998</v>
      </c>
      <c r="D53" s="32">
        <f>D54+D55+D56+D57+D58+D60+D59</f>
        <v>559.76155000000006</v>
      </c>
      <c r="E53" s="34">
        <f>SUM(D53/C53*100)</f>
        <v>43.236114908756122</v>
      </c>
      <c r="F53" s="34">
        <f>SUM(D53-C53)</f>
        <v>-734.90044999999975</v>
      </c>
    </row>
    <row r="54" spans="1:6" s="6" customFormat="1" ht="31.5" hidden="1">
      <c r="A54" s="35" t="s">
        <v>31</v>
      </c>
      <c r="B54" s="36" t="s">
        <v>32</v>
      </c>
      <c r="C54" s="37"/>
      <c r="D54" s="37"/>
      <c r="E54" s="38"/>
      <c r="F54" s="38"/>
    </row>
    <row r="55" spans="1:6" ht="20.25" customHeight="1">
      <c r="A55" s="35" t="s">
        <v>33</v>
      </c>
      <c r="B55" s="39" t="s">
        <v>34</v>
      </c>
      <c r="C55" s="37">
        <v>1286.5719999999999</v>
      </c>
      <c r="D55" s="37">
        <v>556.67205000000001</v>
      </c>
      <c r="E55" s="38">
        <f t="shared" ref="E55:E95" si="3">SUM(D55/C55*100)</f>
        <v>43.267850536153439</v>
      </c>
      <c r="F55" s="38">
        <f t="shared" ref="F55:F95" si="4">SUM(D55-C55)</f>
        <v>-729.89994999999988</v>
      </c>
    </row>
    <row r="56" spans="1:6" ht="16.5" hidden="1" customHeight="1">
      <c r="A56" s="35" t="s">
        <v>35</v>
      </c>
      <c r="B56" s="39" t="s">
        <v>36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37</v>
      </c>
      <c r="B57" s="39" t="s">
        <v>38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39</v>
      </c>
      <c r="B58" s="39" t="s">
        <v>40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41</v>
      </c>
      <c r="B59" s="39" t="s">
        <v>42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43</v>
      </c>
      <c r="B60" s="39" t="s">
        <v>44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45</v>
      </c>
      <c r="B61" s="42" t="s">
        <v>46</v>
      </c>
      <c r="C61" s="32">
        <f>C62</f>
        <v>89.944999999999993</v>
      </c>
      <c r="D61" s="32">
        <f>D62</f>
        <v>24.889849999999999</v>
      </c>
      <c r="E61" s="34">
        <f t="shared" si="3"/>
        <v>27.672299738729222</v>
      </c>
      <c r="F61" s="34">
        <f t="shared" si="4"/>
        <v>-65.055149999999998</v>
      </c>
    </row>
    <row r="62" spans="1:6">
      <c r="A62" s="43" t="s">
        <v>47</v>
      </c>
      <c r="B62" s="44" t="s">
        <v>48</v>
      </c>
      <c r="C62" s="37">
        <v>89.944999999999993</v>
      </c>
      <c r="D62" s="37">
        <v>24.889849999999999</v>
      </c>
      <c r="E62" s="38">
        <f t="shared" si="3"/>
        <v>27.672299738729222</v>
      </c>
      <c r="F62" s="38">
        <f t="shared" si="4"/>
        <v>-65.055149999999998</v>
      </c>
    </row>
    <row r="63" spans="1:6" s="6" customFormat="1" ht="16.5" customHeight="1">
      <c r="A63" s="30" t="s">
        <v>49</v>
      </c>
      <c r="B63" s="31" t="s">
        <v>50</v>
      </c>
      <c r="C63" s="32">
        <f>C67+C66+C68</f>
        <v>18.399999999999999</v>
      </c>
      <c r="D63" s="32">
        <f>D67+D66</f>
        <v>4.6354300000000004</v>
      </c>
      <c r="E63" s="34">
        <f t="shared" si="3"/>
        <v>25.192554347826089</v>
      </c>
      <c r="F63" s="34">
        <f t="shared" si="4"/>
        <v>-13.764569999999999</v>
      </c>
    </row>
    <row r="64" spans="1:6" hidden="1">
      <c r="A64" s="35" t="s">
        <v>51</v>
      </c>
      <c r="B64" s="39" t="s">
        <v>52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53</v>
      </c>
      <c r="B65" s="39" t="s">
        <v>54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55</v>
      </c>
      <c r="B66" s="47" t="s">
        <v>56</v>
      </c>
      <c r="C66" s="96">
        <v>2.4</v>
      </c>
      <c r="D66" s="37">
        <v>0</v>
      </c>
      <c r="E66" s="34">
        <f t="shared" si="3"/>
        <v>0</v>
      </c>
      <c r="F66" s="34">
        <f t="shared" si="4"/>
        <v>-2.4</v>
      </c>
    </row>
    <row r="67" spans="1:7" ht="15.75" customHeight="1">
      <c r="A67" s="46" t="s">
        <v>218</v>
      </c>
      <c r="B67" s="47" t="s">
        <v>219</v>
      </c>
      <c r="C67" s="37">
        <v>14</v>
      </c>
      <c r="D67" s="37">
        <v>4.6354300000000004</v>
      </c>
      <c r="E67" s="34">
        <f t="shared" si="3"/>
        <v>33.110214285714292</v>
      </c>
      <c r="F67" s="34">
        <f t="shared" si="4"/>
        <v>-9.3645700000000005</v>
      </c>
    </row>
    <row r="68" spans="1:7" ht="15.75" customHeight="1">
      <c r="A68" s="46" t="s">
        <v>357</v>
      </c>
      <c r="B68" s="47" t="s">
        <v>358</v>
      </c>
      <c r="C68" s="37">
        <v>2</v>
      </c>
      <c r="D68" s="37"/>
      <c r="E68" s="34"/>
      <c r="F68" s="34"/>
    </row>
    <row r="69" spans="1:7" s="6" customFormat="1">
      <c r="A69" s="30" t="s">
        <v>57</v>
      </c>
      <c r="B69" s="31" t="s">
        <v>58</v>
      </c>
      <c r="C69" s="48">
        <f>SUM(C70:C73)</f>
        <v>4188.95093</v>
      </c>
      <c r="D69" s="48">
        <f>SUM(D70:D73)</f>
        <v>1615.8894</v>
      </c>
      <c r="E69" s="34">
        <f t="shared" si="3"/>
        <v>38.575037688493524</v>
      </c>
      <c r="F69" s="34">
        <f t="shared" si="4"/>
        <v>-2573.0615299999999</v>
      </c>
    </row>
    <row r="70" spans="1:7" ht="15" customHeight="1">
      <c r="A70" s="35" t="s">
        <v>59</v>
      </c>
      <c r="B70" s="39" t="s">
        <v>60</v>
      </c>
      <c r="C70" s="49">
        <v>8.0429999999999993</v>
      </c>
      <c r="D70" s="37">
        <v>0</v>
      </c>
      <c r="E70" s="38">
        <f t="shared" si="3"/>
        <v>0</v>
      </c>
      <c r="F70" s="38">
        <f t="shared" si="4"/>
        <v>-8.0429999999999993</v>
      </c>
    </row>
    <row r="71" spans="1:7" s="6" customFormat="1" ht="18" customHeight="1">
      <c r="A71" s="35" t="s">
        <v>61</v>
      </c>
      <c r="B71" s="39" t="s">
        <v>62</v>
      </c>
      <c r="C71" s="49">
        <v>1231.0358699999999</v>
      </c>
      <c r="D71" s="37">
        <v>1229.20525</v>
      </c>
      <c r="E71" s="38">
        <f t="shared" si="3"/>
        <v>99.851294341244497</v>
      </c>
      <c r="F71" s="38">
        <f t="shared" si="4"/>
        <v>-1.8306199999999535</v>
      </c>
      <c r="G71" s="50"/>
    </row>
    <row r="72" spans="1:7">
      <c r="A72" s="35" t="s">
        <v>63</v>
      </c>
      <c r="B72" s="39" t="s">
        <v>64</v>
      </c>
      <c r="C72" s="49">
        <v>2723.8720600000001</v>
      </c>
      <c r="D72" s="37">
        <v>326.72953000000001</v>
      </c>
      <c r="E72" s="38">
        <f t="shared" si="3"/>
        <v>11.995039517384674</v>
      </c>
      <c r="F72" s="38">
        <f t="shared" si="4"/>
        <v>-2397.1425300000001</v>
      </c>
    </row>
    <row r="73" spans="1:7">
      <c r="A73" s="35" t="s">
        <v>65</v>
      </c>
      <c r="B73" s="39" t="s">
        <v>66</v>
      </c>
      <c r="C73" s="49">
        <v>226</v>
      </c>
      <c r="D73" s="37">
        <v>59.954619999999998</v>
      </c>
      <c r="E73" s="38">
        <f t="shared" si="3"/>
        <v>26.528592920353983</v>
      </c>
      <c r="F73" s="38">
        <f t="shared" si="4"/>
        <v>-166.04537999999999</v>
      </c>
    </row>
    <row r="74" spans="1:7" s="6" customFormat="1" ht="16.5" customHeight="1">
      <c r="A74" s="30" t="s">
        <v>67</v>
      </c>
      <c r="B74" s="31" t="s">
        <v>68</v>
      </c>
      <c r="C74" s="32">
        <f>SUM(C75:C77)</f>
        <v>448.59332999999998</v>
      </c>
      <c r="D74" s="32">
        <f>SUM(D76:D77)</f>
        <v>147.71834999999999</v>
      </c>
      <c r="E74" s="34">
        <f t="shared" si="3"/>
        <v>32.929234592052445</v>
      </c>
      <c r="F74" s="34">
        <f t="shared" si="4"/>
        <v>-300.87497999999999</v>
      </c>
    </row>
    <row r="75" spans="1:7" hidden="1">
      <c r="A75" s="35" t="s">
        <v>69</v>
      </c>
      <c r="B75" s="51" t="s">
        <v>70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71</v>
      </c>
      <c r="B76" s="51" t="s">
        <v>72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73</v>
      </c>
      <c r="B77" s="39" t="s">
        <v>74</v>
      </c>
      <c r="C77" s="37">
        <v>448.59332999999998</v>
      </c>
      <c r="D77" s="37">
        <v>147.71834999999999</v>
      </c>
      <c r="E77" s="38">
        <f>SUM(D77/C77*100)</f>
        <v>32.929234592052445</v>
      </c>
      <c r="F77" s="38">
        <f t="shared" si="4"/>
        <v>-300.87497999999999</v>
      </c>
    </row>
    <row r="78" spans="1:7" s="6" customFormat="1">
      <c r="A78" s="30" t="s">
        <v>85</v>
      </c>
      <c r="B78" s="31" t="s">
        <v>86</v>
      </c>
      <c r="C78" s="32">
        <f>C79</f>
        <v>6384.80062</v>
      </c>
      <c r="D78" s="32">
        <f>SUM(D79)</f>
        <v>1719.6497400000001</v>
      </c>
      <c r="E78" s="34">
        <f t="shared" si="3"/>
        <v>26.933491620917682</v>
      </c>
      <c r="F78" s="34">
        <f t="shared" si="4"/>
        <v>-4665.1508800000001</v>
      </c>
    </row>
    <row r="79" spans="1:7" ht="20.25" customHeight="1">
      <c r="A79" s="35" t="s">
        <v>87</v>
      </c>
      <c r="B79" s="39" t="s">
        <v>233</v>
      </c>
      <c r="C79" s="37">
        <v>6384.80062</v>
      </c>
      <c r="D79" s="37">
        <v>1719.6497400000001</v>
      </c>
      <c r="E79" s="38">
        <f t="shared" si="3"/>
        <v>26.933491620917682</v>
      </c>
      <c r="F79" s="38">
        <f t="shared" si="4"/>
        <v>-4665.1508800000001</v>
      </c>
    </row>
    <row r="80" spans="1:7" s="6" customFormat="1" ht="0.75" hidden="1" customHeight="1">
      <c r="A80" s="52">
        <v>1000</v>
      </c>
      <c r="B80" s="31" t="s">
        <v>88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hidden="1" customHeight="1">
      <c r="A81" s="53">
        <v>1001</v>
      </c>
      <c r="B81" s="54" t="s">
        <v>89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91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92</v>
      </c>
      <c r="B84" s="39" t="s">
        <v>93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94</v>
      </c>
      <c r="B85" s="31" t="s">
        <v>95</v>
      </c>
      <c r="C85" s="32">
        <f>C86+C87+C88+C89+C90</f>
        <v>2.2850000000000001</v>
      </c>
      <c r="D85" s="32">
        <f>D86+D87+D88+D89+D90</f>
        <v>1.2849999999999999</v>
      </c>
      <c r="E85" s="38">
        <f t="shared" si="3"/>
        <v>56.236323851203494</v>
      </c>
      <c r="F85" s="22">
        <f>F86+F87+F88+F89+F90</f>
        <v>-1.0000000000000002</v>
      </c>
    </row>
    <row r="86" spans="1:6" ht="15" customHeight="1">
      <c r="A86" s="35" t="s">
        <v>96</v>
      </c>
      <c r="B86" s="39" t="s">
        <v>97</v>
      </c>
      <c r="C86" s="251">
        <v>2.2850000000000001</v>
      </c>
      <c r="D86" s="251">
        <v>1.2849999999999999</v>
      </c>
      <c r="E86" s="38">
        <f t="shared" si="3"/>
        <v>56.236323851203494</v>
      </c>
      <c r="F86" s="38">
        <f>SUM(D86-C86)</f>
        <v>-1.0000000000000002</v>
      </c>
    </row>
    <row r="87" spans="1:6" ht="15.75" hidden="1" customHeight="1">
      <c r="A87" s="35" t="s">
        <v>98</v>
      </c>
      <c r="B87" s="39" t="s">
        <v>99</v>
      </c>
      <c r="C87" s="251"/>
      <c r="D87" s="251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100</v>
      </c>
      <c r="B88" s="39" t="s">
        <v>101</v>
      </c>
      <c r="C88" s="251"/>
      <c r="D88" s="251"/>
      <c r="E88" s="38" t="e">
        <f t="shared" si="3"/>
        <v>#DIV/0!</v>
      </c>
      <c r="F88" s="38"/>
    </row>
    <row r="89" spans="1:6" ht="15.75" hidden="1" customHeight="1">
      <c r="A89" s="35" t="s">
        <v>102</v>
      </c>
      <c r="B89" s="39" t="s">
        <v>103</v>
      </c>
      <c r="C89" s="251"/>
      <c r="D89" s="251"/>
      <c r="E89" s="38" t="e">
        <f t="shared" si="3"/>
        <v>#DIV/0!</v>
      </c>
      <c r="F89" s="38"/>
    </row>
    <row r="90" spans="1:6" ht="15.75" hidden="1" customHeight="1">
      <c r="A90" s="35" t="s">
        <v>104</v>
      </c>
      <c r="B90" s="39" t="s">
        <v>105</v>
      </c>
      <c r="C90" s="251"/>
      <c r="D90" s="251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114</v>
      </c>
      <c r="C91" s="252">
        <f>C92+C93+C94</f>
        <v>0</v>
      </c>
      <c r="D91" s="252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115</v>
      </c>
      <c r="C92" s="253"/>
      <c r="D92" s="251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116</v>
      </c>
      <c r="C93" s="253"/>
      <c r="D93" s="251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117</v>
      </c>
      <c r="C94" s="254">
        <v>0</v>
      </c>
      <c r="D94" s="255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118</v>
      </c>
      <c r="C95" s="312">
        <f>C53+C61+C63+C69+C74+C78+C85</f>
        <v>12427.636879999998</v>
      </c>
      <c r="D95" s="312">
        <f>D53+D61+D63+D69+D74+D78+D85</f>
        <v>4073.8293199999998</v>
      </c>
      <c r="E95" s="34">
        <f t="shared" si="3"/>
        <v>32.780401932696321</v>
      </c>
      <c r="F95" s="34">
        <f t="shared" si="4"/>
        <v>-8353.8075599999975</v>
      </c>
    </row>
    <row r="96" spans="1:6" ht="16.5" customHeight="1">
      <c r="C96" s="126"/>
      <c r="D96" s="101"/>
    </row>
    <row r="97" spans="1:4" s="113" customFormat="1" ht="20.25" customHeight="1">
      <c r="A97" s="111" t="s">
        <v>119</v>
      </c>
      <c r="B97" s="111"/>
      <c r="C97" s="129"/>
      <c r="D97" s="112"/>
    </row>
    <row r="98" spans="1:4" s="113" customFormat="1" ht="13.5" customHeight="1">
      <c r="A98" s="114" t="s">
        <v>120</v>
      </c>
      <c r="B98" s="114"/>
      <c r="C98" s="118" t="s">
        <v>121</v>
      </c>
    </row>
    <row r="100" spans="1:4" ht="5.25" customHeight="1"/>
  </sheetData>
  <customSheetViews>
    <customSheetView guid="{B30CE22D-C12F-4E12-8BB9-3AAE0A6991CC}" scale="70" showPageBreaks="1" hiddenRows="1" view="pageBreakPreview" topLeftCell="A40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51" orientation="portrait" r:id="rId1"/>
    </customSheetView>
    <customSheetView guid="{B31C8DB7-3E78-4144-A6B5-8DE36DE63F0E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N35"/>
  <sheetViews>
    <sheetView view="pageBreakPreview" topLeftCell="EB4" zoomScale="75" zoomScaleSheetLayoutView="75" workbookViewId="0">
      <selection activeCell="CA17" sqref="CA17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710937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8.140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0" style="153" customWidth="1"/>
    <col min="21" max="21" width="13.5703125" style="153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2.140625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5" style="153" customWidth="1"/>
    <col min="67" max="67" width="15.42578125" style="153" customWidth="1"/>
    <col min="68" max="68" width="19.42578125" style="153" customWidth="1"/>
    <col min="69" max="69" width="15.28515625" style="153" customWidth="1"/>
    <col min="70" max="70" width="15" style="153" customWidth="1"/>
    <col min="71" max="71" width="12.42578125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2.140625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17.57031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4.285156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34" t="s">
        <v>136</v>
      </c>
      <c r="Y1" s="534"/>
      <c r="Z1" s="534"/>
      <c r="AA1" s="156"/>
      <c r="AB1" s="156"/>
      <c r="AC1" s="156"/>
      <c r="AD1" s="529"/>
      <c r="AE1" s="529"/>
      <c r="AF1" s="529"/>
      <c r="AG1" s="157"/>
      <c r="AH1" s="157"/>
      <c r="AI1" s="157"/>
      <c r="AJ1" s="157"/>
      <c r="AK1" s="157"/>
      <c r="AL1" s="157"/>
    </row>
    <row r="2" spans="1:159" ht="19.5" customHeight="1">
      <c r="X2" s="157" t="s">
        <v>137</v>
      </c>
      <c r="Y2" s="157"/>
      <c r="Z2" s="157"/>
      <c r="AA2" s="155"/>
      <c r="AB2" s="155"/>
      <c r="AC2" s="155"/>
      <c r="AD2" s="529"/>
      <c r="AE2" s="529"/>
      <c r="AF2" s="529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416"/>
      <c r="C3" s="416"/>
      <c r="D3" s="417"/>
      <c r="E3" s="416"/>
      <c r="F3" s="416"/>
      <c r="G3" s="416"/>
      <c r="H3" s="416"/>
      <c r="I3" s="416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539" t="s">
        <v>138</v>
      </c>
      <c r="Y3" s="539"/>
      <c r="Z3" s="539"/>
      <c r="AA3" s="158"/>
      <c r="AB3" s="158"/>
      <c r="AC3" s="158"/>
      <c r="AD3" s="533"/>
      <c r="AE3" s="533"/>
      <c r="AF3" s="533"/>
      <c r="AG3" s="159"/>
      <c r="AH3" s="159"/>
      <c r="AI3" s="159"/>
      <c r="AJ3" s="159"/>
      <c r="AK3" s="159"/>
      <c r="AL3" s="159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37" t="s">
        <v>139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160"/>
      <c r="AB4" s="160"/>
      <c r="AC4" s="160"/>
      <c r="AD4" s="160"/>
      <c r="AE4" s="160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35" t="s">
        <v>420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161"/>
      <c r="AB5" s="161"/>
      <c r="AC5" s="161"/>
      <c r="AD5" s="161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419"/>
      <c r="C6" s="420"/>
      <c r="D6" s="421"/>
      <c r="E6" s="419"/>
      <c r="F6" s="419"/>
      <c r="G6" s="422"/>
      <c r="H6" s="422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419"/>
      <c r="Z6" s="422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2" customFormat="1" ht="15" customHeight="1">
      <c r="A7" s="528" t="s">
        <v>140</v>
      </c>
      <c r="B7" s="528" t="s">
        <v>141</v>
      </c>
      <c r="C7" s="519" t="s">
        <v>142</v>
      </c>
      <c r="D7" s="520"/>
      <c r="E7" s="521"/>
      <c r="F7" s="340" t="s">
        <v>143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2"/>
      <c r="DD7" s="341"/>
      <c r="DE7" s="341"/>
      <c r="DF7" s="342"/>
      <c r="DG7" s="519" t="s">
        <v>144</v>
      </c>
      <c r="DH7" s="520"/>
      <c r="DI7" s="521"/>
      <c r="DJ7" s="519"/>
      <c r="DK7" s="520"/>
      <c r="DL7" s="520"/>
      <c r="DM7" s="520"/>
      <c r="DN7" s="520"/>
      <c r="DO7" s="520"/>
      <c r="DP7" s="520"/>
      <c r="DQ7" s="520"/>
      <c r="DR7" s="520"/>
      <c r="DS7" s="520"/>
      <c r="DT7" s="520"/>
      <c r="DU7" s="520"/>
      <c r="DV7" s="520"/>
      <c r="DW7" s="520"/>
      <c r="DX7" s="520"/>
      <c r="DY7" s="520"/>
      <c r="DZ7" s="520"/>
      <c r="EA7" s="520"/>
      <c r="EB7" s="520"/>
      <c r="EC7" s="520"/>
      <c r="ED7" s="520"/>
      <c r="EE7" s="520"/>
      <c r="EF7" s="520"/>
      <c r="EG7" s="520"/>
      <c r="EH7" s="520"/>
      <c r="EI7" s="520"/>
      <c r="EJ7" s="520"/>
      <c r="EK7" s="520"/>
      <c r="EL7" s="520"/>
      <c r="EM7" s="520"/>
      <c r="EN7" s="520"/>
      <c r="EO7" s="520"/>
      <c r="EP7" s="520"/>
      <c r="EQ7" s="520"/>
      <c r="ER7" s="520"/>
      <c r="ES7" s="520"/>
      <c r="ET7" s="520"/>
      <c r="EU7" s="520"/>
      <c r="EV7" s="521"/>
      <c r="EW7" s="519" t="s">
        <v>145</v>
      </c>
      <c r="EX7" s="520"/>
      <c r="EY7" s="521"/>
    </row>
    <row r="8" spans="1:159" s="162" customFormat="1" ht="15" customHeight="1">
      <c r="A8" s="528"/>
      <c r="B8" s="528"/>
      <c r="C8" s="522"/>
      <c r="D8" s="523"/>
      <c r="E8" s="524"/>
      <c r="F8" s="522" t="s">
        <v>146</v>
      </c>
      <c r="G8" s="523"/>
      <c r="H8" s="524"/>
      <c r="I8" s="530" t="s">
        <v>147</v>
      </c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31"/>
      <c r="AE8" s="531"/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31"/>
      <c r="AQ8" s="531"/>
      <c r="AR8" s="531"/>
      <c r="AS8" s="531"/>
      <c r="AT8" s="531"/>
      <c r="AU8" s="531"/>
      <c r="AV8" s="531"/>
      <c r="AW8" s="531"/>
      <c r="AX8" s="532"/>
      <c r="AY8" s="343"/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3"/>
      <c r="BP8" s="343"/>
      <c r="BQ8" s="343"/>
      <c r="BR8" s="343"/>
      <c r="BS8" s="344"/>
      <c r="BT8" s="345"/>
      <c r="BU8" s="345"/>
      <c r="BV8" s="345"/>
      <c r="BW8" s="346"/>
      <c r="BX8" s="346"/>
      <c r="BY8" s="346"/>
      <c r="BZ8" s="528" t="s">
        <v>148</v>
      </c>
      <c r="CA8" s="528"/>
      <c r="CB8" s="528"/>
      <c r="CC8" s="525" t="s">
        <v>147</v>
      </c>
      <c r="CD8" s="526"/>
      <c r="CE8" s="526"/>
      <c r="CF8" s="526"/>
      <c r="CG8" s="526"/>
      <c r="CH8" s="526"/>
      <c r="CI8" s="526"/>
      <c r="CJ8" s="526"/>
      <c r="CK8" s="526"/>
      <c r="CL8" s="526"/>
      <c r="CM8" s="526"/>
      <c r="CN8" s="526"/>
      <c r="CO8" s="347"/>
      <c r="CP8" s="347"/>
      <c r="CQ8" s="347"/>
      <c r="CR8" s="347"/>
      <c r="CS8" s="347"/>
      <c r="CT8" s="347"/>
      <c r="CU8" s="348"/>
      <c r="CV8" s="348"/>
      <c r="CW8" s="349"/>
      <c r="CX8" s="522" t="s">
        <v>149</v>
      </c>
      <c r="CY8" s="523"/>
      <c r="CZ8" s="524"/>
      <c r="DA8" s="516"/>
      <c r="DB8" s="517"/>
      <c r="DC8" s="518"/>
      <c r="DD8" s="516"/>
      <c r="DE8" s="517"/>
      <c r="DF8" s="518"/>
      <c r="DG8" s="522"/>
      <c r="DH8" s="523"/>
      <c r="DI8" s="524"/>
      <c r="DJ8" s="522" t="s">
        <v>147</v>
      </c>
      <c r="DK8" s="523"/>
      <c r="DL8" s="523"/>
      <c r="DM8" s="523"/>
      <c r="DN8" s="523"/>
      <c r="DO8" s="523"/>
      <c r="DP8" s="523"/>
      <c r="DQ8" s="523"/>
      <c r="DR8" s="523"/>
      <c r="DS8" s="523"/>
      <c r="DT8" s="523"/>
      <c r="DU8" s="523"/>
      <c r="DV8" s="523"/>
      <c r="DW8" s="523"/>
      <c r="DX8" s="523"/>
      <c r="DY8" s="523"/>
      <c r="DZ8" s="523"/>
      <c r="EA8" s="523"/>
      <c r="EB8" s="523"/>
      <c r="EC8" s="523"/>
      <c r="ED8" s="523"/>
      <c r="EE8" s="523"/>
      <c r="EF8" s="523"/>
      <c r="EG8" s="523"/>
      <c r="EH8" s="523"/>
      <c r="EI8" s="523"/>
      <c r="EJ8" s="523"/>
      <c r="EK8" s="523"/>
      <c r="EL8" s="523"/>
      <c r="EM8" s="523"/>
      <c r="EN8" s="523"/>
      <c r="EO8" s="523"/>
      <c r="EP8" s="523"/>
      <c r="EQ8" s="523"/>
      <c r="ER8" s="523"/>
      <c r="ES8" s="523"/>
      <c r="ET8" s="523"/>
      <c r="EU8" s="523"/>
      <c r="EV8" s="524"/>
      <c r="EW8" s="522"/>
      <c r="EX8" s="523"/>
      <c r="EY8" s="524"/>
    </row>
    <row r="9" spans="1:159" s="162" customFormat="1" ht="15" customHeight="1">
      <c r="A9" s="528"/>
      <c r="B9" s="528"/>
      <c r="C9" s="522"/>
      <c r="D9" s="523"/>
      <c r="E9" s="524"/>
      <c r="F9" s="522"/>
      <c r="G9" s="523"/>
      <c r="H9" s="524"/>
      <c r="I9" s="519" t="s">
        <v>150</v>
      </c>
      <c r="J9" s="520"/>
      <c r="K9" s="521"/>
      <c r="L9" s="519" t="s">
        <v>292</v>
      </c>
      <c r="M9" s="520"/>
      <c r="N9" s="521"/>
      <c r="O9" s="519" t="s">
        <v>295</v>
      </c>
      <c r="P9" s="520"/>
      <c r="Q9" s="521"/>
      <c r="R9" s="519" t="s">
        <v>293</v>
      </c>
      <c r="S9" s="520"/>
      <c r="T9" s="521"/>
      <c r="U9" s="519" t="s">
        <v>294</v>
      </c>
      <c r="V9" s="520"/>
      <c r="W9" s="521"/>
      <c r="X9" s="519" t="s">
        <v>151</v>
      </c>
      <c r="Y9" s="520"/>
      <c r="Z9" s="521"/>
      <c r="AA9" s="519" t="s">
        <v>152</v>
      </c>
      <c r="AB9" s="520"/>
      <c r="AC9" s="521"/>
      <c r="AD9" s="519" t="s">
        <v>153</v>
      </c>
      <c r="AE9" s="520"/>
      <c r="AF9" s="521"/>
      <c r="AG9" s="528" t="s">
        <v>154</v>
      </c>
      <c r="AH9" s="528"/>
      <c r="AI9" s="528"/>
      <c r="AJ9" s="519" t="s">
        <v>254</v>
      </c>
      <c r="AK9" s="520"/>
      <c r="AL9" s="521"/>
      <c r="AM9" s="519" t="s">
        <v>155</v>
      </c>
      <c r="AN9" s="520"/>
      <c r="AO9" s="521"/>
      <c r="AP9" s="519" t="s">
        <v>345</v>
      </c>
      <c r="AQ9" s="520"/>
      <c r="AR9" s="521"/>
      <c r="AS9" s="519" t="s">
        <v>156</v>
      </c>
      <c r="AT9" s="520"/>
      <c r="AU9" s="521"/>
      <c r="AV9" s="519" t="s">
        <v>157</v>
      </c>
      <c r="AW9" s="520"/>
      <c r="AX9" s="521"/>
      <c r="AY9" s="519" t="s">
        <v>256</v>
      </c>
      <c r="AZ9" s="520"/>
      <c r="BA9" s="521"/>
      <c r="BB9" s="519" t="s">
        <v>355</v>
      </c>
      <c r="BC9" s="520"/>
      <c r="BD9" s="521"/>
      <c r="BE9" s="519" t="s">
        <v>158</v>
      </c>
      <c r="BF9" s="520"/>
      <c r="BG9" s="521"/>
      <c r="BH9" s="519" t="s">
        <v>159</v>
      </c>
      <c r="BI9" s="520"/>
      <c r="BJ9" s="521"/>
      <c r="BK9" s="519" t="s">
        <v>285</v>
      </c>
      <c r="BL9" s="520"/>
      <c r="BM9" s="521"/>
      <c r="BN9" s="519" t="s">
        <v>252</v>
      </c>
      <c r="BO9" s="520"/>
      <c r="BP9" s="521"/>
      <c r="BQ9" s="519" t="s">
        <v>160</v>
      </c>
      <c r="BR9" s="520"/>
      <c r="BS9" s="521"/>
      <c r="BT9" s="519" t="s">
        <v>161</v>
      </c>
      <c r="BU9" s="520"/>
      <c r="BV9" s="521"/>
      <c r="BW9" s="522" t="s">
        <v>162</v>
      </c>
      <c r="BX9" s="523"/>
      <c r="BY9" s="523"/>
      <c r="BZ9" s="528"/>
      <c r="CA9" s="528"/>
      <c r="CB9" s="528"/>
      <c r="CC9" s="519" t="s">
        <v>346</v>
      </c>
      <c r="CD9" s="520"/>
      <c r="CE9" s="521"/>
      <c r="CF9" s="519" t="s">
        <v>347</v>
      </c>
      <c r="CG9" s="520"/>
      <c r="CH9" s="521"/>
      <c r="CI9" s="519" t="s">
        <v>163</v>
      </c>
      <c r="CJ9" s="520"/>
      <c r="CK9" s="521"/>
      <c r="CL9" s="519" t="s">
        <v>164</v>
      </c>
      <c r="CM9" s="520"/>
      <c r="CN9" s="521"/>
      <c r="CO9" s="519" t="s">
        <v>23</v>
      </c>
      <c r="CP9" s="520"/>
      <c r="CQ9" s="521"/>
      <c r="CR9" s="519" t="s">
        <v>302</v>
      </c>
      <c r="CS9" s="520"/>
      <c r="CT9" s="521"/>
      <c r="CU9" s="519" t="s">
        <v>348</v>
      </c>
      <c r="CV9" s="520"/>
      <c r="CW9" s="521"/>
      <c r="CX9" s="522"/>
      <c r="CY9" s="523"/>
      <c r="CZ9" s="524"/>
      <c r="DA9" s="519" t="s">
        <v>270</v>
      </c>
      <c r="DB9" s="520"/>
      <c r="DC9" s="521"/>
      <c r="DD9" s="528" t="s">
        <v>165</v>
      </c>
      <c r="DE9" s="528"/>
      <c r="DF9" s="528"/>
      <c r="DG9" s="522"/>
      <c r="DH9" s="523"/>
      <c r="DI9" s="524"/>
      <c r="DJ9" s="548" t="s">
        <v>166</v>
      </c>
      <c r="DK9" s="549"/>
      <c r="DL9" s="550"/>
      <c r="DM9" s="542" t="s">
        <v>143</v>
      </c>
      <c r="DN9" s="543"/>
      <c r="DO9" s="543"/>
      <c r="DP9" s="543"/>
      <c r="DQ9" s="543"/>
      <c r="DR9" s="543"/>
      <c r="DS9" s="543"/>
      <c r="DT9" s="543"/>
      <c r="DU9" s="543"/>
      <c r="DV9" s="543"/>
      <c r="DW9" s="543"/>
      <c r="DX9" s="544"/>
      <c r="DY9" s="548" t="s">
        <v>167</v>
      </c>
      <c r="DZ9" s="549"/>
      <c r="EA9" s="550"/>
      <c r="EB9" s="548" t="s">
        <v>168</v>
      </c>
      <c r="EC9" s="549"/>
      <c r="ED9" s="550"/>
      <c r="EE9" s="548" t="s">
        <v>169</v>
      </c>
      <c r="EF9" s="549"/>
      <c r="EG9" s="550"/>
      <c r="EH9" s="548" t="s">
        <v>170</v>
      </c>
      <c r="EI9" s="549"/>
      <c r="EJ9" s="550"/>
      <c r="EK9" s="519" t="s">
        <v>296</v>
      </c>
      <c r="EL9" s="520"/>
      <c r="EM9" s="521"/>
      <c r="EN9" s="519" t="s">
        <v>171</v>
      </c>
      <c r="EO9" s="520"/>
      <c r="EP9" s="521"/>
      <c r="EQ9" s="519" t="s">
        <v>328</v>
      </c>
      <c r="ER9" s="520"/>
      <c r="ES9" s="521"/>
      <c r="ET9" s="528" t="s">
        <v>298</v>
      </c>
      <c r="EU9" s="528"/>
      <c r="EV9" s="528"/>
      <c r="EW9" s="522"/>
      <c r="EX9" s="523"/>
      <c r="EY9" s="524"/>
    </row>
    <row r="10" spans="1:159" s="162" customFormat="1" ht="38.25" customHeight="1">
      <c r="A10" s="528"/>
      <c r="B10" s="528"/>
      <c r="C10" s="522"/>
      <c r="D10" s="523"/>
      <c r="E10" s="524"/>
      <c r="F10" s="522"/>
      <c r="G10" s="523"/>
      <c r="H10" s="524"/>
      <c r="I10" s="522"/>
      <c r="J10" s="523"/>
      <c r="K10" s="524"/>
      <c r="L10" s="522"/>
      <c r="M10" s="523"/>
      <c r="N10" s="524"/>
      <c r="O10" s="522"/>
      <c r="P10" s="523"/>
      <c r="Q10" s="524"/>
      <c r="R10" s="522"/>
      <c r="S10" s="523"/>
      <c r="T10" s="524"/>
      <c r="U10" s="522"/>
      <c r="V10" s="523"/>
      <c r="W10" s="524"/>
      <c r="X10" s="522"/>
      <c r="Y10" s="523"/>
      <c r="Z10" s="524"/>
      <c r="AA10" s="522"/>
      <c r="AB10" s="523"/>
      <c r="AC10" s="524"/>
      <c r="AD10" s="522"/>
      <c r="AE10" s="523"/>
      <c r="AF10" s="524"/>
      <c r="AG10" s="528"/>
      <c r="AH10" s="528"/>
      <c r="AI10" s="528"/>
      <c r="AJ10" s="522"/>
      <c r="AK10" s="523"/>
      <c r="AL10" s="524"/>
      <c r="AM10" s="522"/>
      <c r="AN10" s="523"/>
      <c r="AO10" s="524"/>
      <c r="AP10" s="522"/>
      <c r="AQ10" s="523"/>
      <c r="AR10" s="524"/>
      <c r="AS10" s="522"/>
      <c r="AT10" s="523"/>
      <c r="AU10" s="524"/>
      <c r="AV10" s="522"/>
      <c r="AW10" s="523"/>
      <c r="AX10" s="524"/>
      <c r="AY10" s="522"/>
      <c r="AZ10" s="523"/>
      <c r="BA10" s="524"/>
      <c r="BB10" s="522"/>
      <c r="BC10" s="523"/>
      <c r="BD10" s="524"/>
      <c r="BE10" s="522"/>
      <c r="BF10" s="523"/>
      <c r="BG10" s="524"/>
      <c r="BH10" s="522"/>
      <c r="BI10" s="523"/>
      <c r="BJ10" s="524"/>
      <c r="BK10" s="522"/>
      <c r="BL10" s="523"/>
      <c r="BM10" s="524"/>
      <c r="BN10" s="522"/>
      <c r="BO10" s="523"/>
      <c r="BP10" s="524"/>
      <c r="BQ10" s="522"/>
      <c r="BR10" s="523"/>
      <c r="BS10" s="524"/>
      <c r="BT10" s="522"/>
      <c r="BU10" s="523"/>
      <c r="BV10" s="524"/>
      <c r="BW10" s="522"/>
      <c r="BX10" s="523"/>
      <c r="BY10" s="523"/>
      <c r="BZ10" s="528"/>
      <c r="CA10" s="528"/>
      <c r="CB10" s="528"/>
      <c r="CC10" s="522"/>
      <c r="CD10" s="523"/>
      <c r="CE10" s="524"/>
      <c r="CF10" s="522"/>
      <c r="CG10" s="523"/>
      <c r="CH10" s="524"/>
      <c r="CI10" s="522"/>
      <c r="CJ10" s="523"/>
      <c r="CK10" s="524"/>
      <c r="CL10" s="522"/>
      <c r="CM10" s="523"/>
      <c r="CN10" s="524"/>
      <c r="CO10" s="522"/>
      <c r="CP10" s="523"/>
      <c r="CQ10" s="524"/>
      <c r="CR10" s="522"/>
      <c r="CS10" s="523"/>
      <c r="CT10" s="524"/>
      <c r="CU10" s="522"/>
      <c r="CV10" s="523"/>
      <c r="CW10" s="524"/>
      <c r="CX10" s="522"/>
      <c r="CY10" s="523"/>
      <c r="CZ10" s="524"/>
      <c r="DA10" s="522"/>
      <c r="DB10" s="523"/>
      <c r="DC10" s="524"/>
      <c r="DD10" s="528"/>
      <c r="DE10" s="528"/>
      <c r="DF10" s="528"/>
      <c r="DG10" s="522"/>
      <c r="DH10" s="523"/>
      <c r="DI10" s="524"/>
      <c r="DJ10" s="551"/>
      <c r="DK10" s="552"/>
      <c r="DL10" s="553"/>
      <c r="DM10" s="350"/>
      <c r="DN10" s="351"/>
      <c r="DO10" s="351"/>
      <c r="DP10" s="352"/>
      <c r="DQ10" s="352"/>
      <c r="DR10" s="352"/>
      <c r="DS10" s="351"/>
      <c r="DT10" s="351"/>
      <c r="DU10" s="351"/>
      <c r="DV10" s="351"/>
      <c r="DW10" s="351"/>
      <c r="DX10" s="353"/>
      <c r="DY10" s="551"/>
      <c r="DZ10" s="552"/>
      <c r="EA10" s="553"/>
      <c r="EB10" s="551"/>
      <c r="EC10" s="552"/>
      <c r="ED10" s="553"/>
      <c r="EE10" s="551"/>
      <c r="EF10" s="552"/>
      <c r="EG10" s="553"/>
      <c r="EH10" s="551"/>
      <c r="EI10" s="552"/>
      <c r="EJ10" s="553"/>
      <c r="EK10" s="522"/>
      <c r="EL10" s="523"/>
      <c r="EM10" s="524"/>
      <c r="EN10" s="522"/>
      <c r="EO10" s="523"/>
      <c r="EP10" s="524"/>
      <c r="EQ10" s="522"/>
      <c r="ER10" s="523"/>
      <c r="ES10" s="524"/>
      <c r="ET10" s="528"/>
      <c r="EU10" s="528"/>
      <c r="EV10" s="528"/>
      <c r="EW10" s="522"/>
      <c r="EX10" s="523"/>
      <c r="EY10" s="524"/>
    </row>
    <row r="11" spans="1:159" s="162" customFormat="1" ht="177.75" customHeight="1">
      <c r="A11" s="528"/>
      <c r="B11" s="528"/>
      <c r="C11" s="525"/>
      <c r="D11" s="526"/>
      <c r="E11" s="538"/>
      <c r="F11" s="525"/>
      <c r="G11" s="526"/>
      <c r="H11" s="527"/>
      <c r="I11" s="525"/>
      <c r="J11" s="526"/>
      <c r="K11" s="527"/>
      <c r="L11" s="525"/>
      <c r="M11" s="526"/>
      <c r="N11" s="527"/>
      <c r="O11" s="525"/>
      <c r="P11" s="526"/>
      <c r="Q11" s="527"/>
      <c r="R11" s="525"/>
      <c r="S11" s="526"/>
      <c r="T11" s="527"/>
      <c r="U11" s="525"/>
      <c r="V11" s="526"/>
      <c r="W11" s="527"/>
      <c r="X11" s="525"/>
      <c r="Y11" s="526"/>
      <c r="Z11" s="527"/>
      <c r="AA11" s="525"/>
      <c r="AB11" s="526"/>
      <c r="AC11" s="527"/>
      <c r="AD11" s="525"/>
      <c r="AE11" s="526"/>
      <c r="AF11" s="527"/>
      <c r="AG11" s="528"/>
      <c r="AH11" s="528"/>
      <c r="AI11" s="528"/>
      <c r="AJ11" s="525"/>
      <c r="AK11" s="526"/>
      <c r="AL11" s="527"/>
      <c r="AM11" s="525"/>
      <c r="AN11" s="526"/>
      <c r="AO11" s="527"/>
      <c r="AP11" s="525"/>
      <c r="AQ11" s="526"/>
      <c r="AR11" s="527"/>
      <c r="AS11" s="525"/>
      <c r="AT11" s="526"/>
      <c r="AU11" s="527"/>
      <c r="AV11" s="525"/>
      <c r="AW11" s="526"/>
      <c r="AX11" s="527"/>
      <c r="AY11" s="525"/>
      <c r="AZ11" s="526"/>
      <c r="BA11" s="527"/>
      <c r="BB11" s="525"/>
      <c r="BC11" s="526"/>
      <c r="BD11" s="527"/>
      <c r="BE11" s="525"/>
      <c r="BF11" s="526"/>
      <c r="BG11" s="527"/>
      <c r="BH11" s="525"/>
      <c r="BI11" s="526"/>
      <c r="BJ11" s="527"/>
      <c r="BK11" s="525"/>
      <c r="BL11" s="526"/>
      <c r="BM11" s="527"/>
      <c r="BN11" s="525"/>
      <c r="BO11" s="526"/>
      <c r="BP11" s="527"/>
      <c r="BQ11" s="525"/>
      <c r="BR11" s="526"/>
      <c r="BS11" s="527"/>
      <c r="BT11" s="525"/>
      <c r="BU11" s="526"/>
      <c r="BV11" s="527"/>
      <c r="BW11" s="525"/>
      <c r="BX11" s="526"/>
      <c r="BY11" s="526"/>
      <c r="BZ11" s="528"/>
      <c r="CA11" s="528"/>
      <c r="CB11" s="528"/>
      <c r="CC11" s="525"/>
      <c r="CD11" s="526"/>
      <c r="CE11" s="527"/>
      <c r="CF11" s="525"/>
      <c r="CG11" s="526"/>
      <c r="CH11" s="527"/>
      <c r="CI11" s="525"/>
      <c r="CJ11" s="526"/>
      <c r="CK11" s="527"/>
      <c r="CL11" s="525"/>
      <c r="CM11" s="526"/>
      <c r="CN11" s="527"/>
      <c r="CO11" s="525"/>
      <c r="CP11" s="526"/>
      <c r="CQ11" s="527"/>
      <c r="CR11" s="525"/>
      <c r="CS11" s="526"/>
      <c r="CT11" s="527"/>
      <c r="CU11" s="525"/>
      <c r="CV11" s="526"/>
      <c r="CW11" s="527"/>
      <c r="CX11" s="525"/>
      <c r="CY11" s="526"/>
      <c r="CZ11" s="527"/>
      <c r="DA11" s="525"/>
      <c r="DB11" s="526"/>
      <c r="DC11" s="527"/>
      <c r="DD11" s="528"/>
      <c r="DE11" s="528"/>
      <c r="DF11" s="528"/>
      <c r="DG11" s="525"/>
      <c r="DH11" s="526"/>
      <c r="DI11" s="527"/>
      <c r="DJ11" s="545"/>
      <c r="DK11" s="546"/>
      <c r="DL11" s="547"/>
      <c r="DM11" s="545" t="s">
        <v>172</v>
      </c>
      <c r="DN11" s="546"/>
      <c r="DO11" s="547"/>
      <c r="DP11" s="542" t="s">
        <v>173</v>
      </c>
      <c r="DQ11" s="543"/>
      <c r="DR11" s="544"/>
      <c r="DS11" s="545" t="s">
        <v>174</v>
      </c>
      <c r="DT11" s="546"/>
      <c r="DU11" s="547"/>
      <c r="DV11" s="545" t="s">
        <v>249</v>
      </c>
      <c r="DW11" s="546"/>
      <c r="DX11" s="547"/>
      <c r="DY11" s="545"/>
      <c r="DZ11" s="546"/>
      <c r="EA11" s="547"/>
      <c r="EB11" s="545"/>
      <c r="EC11" s="546"/>
      <c r="ED11" s="547"/>
      <c r="EE11" s="545"/>
      <c r="EF11" s="546"/>
      <c r="EG11" s="547"/>
      <c r="EH11" s="545"/>
      <c r="EI11" s="546"/>
      <c r="EJ11" s="547"/>
      <c r="EK11" s="525"/>
      <c r="EL11" s="526"/>
      <c r="EM11" s="527"/>
      <c r="EN11" s="525"/>
      <c r="EO11" s="526"/>
      <c r="EP11" s="527"/>
      <c r="EQ11" s="525"/>
      <c r="ER11" s="526"/>
      <c r="ES11" s="527"/>
      <c r="ET11" s="528"/>
      <c r="EU11" s="528"/>
      <c r="EV11" s="528"/>
      <c r="EW11" s="525"/>
      <c r="EX11" s="526"/>
      <c r="EY11" s="527"/>
      <c r="FA11" s="163"/>
      <c r="FB11" s="163"/>
      <c r="FC11" s="163"/>
    </row>
    <row r="12" spans="1:159" s="162" customFormat="1" ht="42.75" customHeight="1">
      <c r="A12" s="528"/>
      <c r="B12" s="528"/>
      <c r="C12" s="354" t="s">
        <v>175</v>
      </c>
      <c r="D12" s="355" t="s">
        <v>176</v>
      </c>
      <c r="E12" s="354" t="s">
        <v>177</v>
      </c>
      <c r="F12" s="354" t="s">
        <v>175</v>
      </c>
      <c r="G12" s="354" t="s">
        <v>176</v>
      </c>
      <c r="H12" s="354" t="s">
        <v>177</v>
      </c>
      <c r="I12" s="354" t="s">
        <v>175</v>
      </c>
      <c r="J12" s="354" t="s">
        <v>176</v>
      </c>
      <c r="K12" s="354" t="s">
        <v>177</v>
      </c>
      <c r="L12" s="354" t="s">
        <v>175</v>
      </c>
      <c r="M12" s="354" t="s">
        <v>176</v>
      </c>
      <c r="N12" s="354" t="s">
        <v>177</v>
      </c>
      <c r="O12" s="354" t="s">
        <v>175</v>
      </c>
      <c r="P12" s="354" t="s">
        <v>176</v>
      </c>
      <c r="Q12" s="354" t="s">
        <v>177</v>
      </c>
      <c r="R12" s="354" t="s">
        <v>175</v>
      </c>
      <c r="S12" s="354" t="s">
        <v>176</v>
      </c>
      <c r="T12" s="354" t="s">
        <v>177</v>
      </c>
      <c r="U12" s="354" t="s">
        <v>175</v>
      </c>
      <c r="V12" s="354" t="s">
        <v>176</v>
      </c>
      <c r="W12" s="354" t="s">
        <v>177</v>
      </c>
      <c r="X12" s="354" t="s">
        <v>175</v>
      </c>
      <c r="Y12" s="354" t="s">
        <v>176</v>
      </c>
      <c r="Z12" s="354" t="s">
        <v>177</v>
      </c>
      <c r="AA12" s="354" t="s">
        <v>175</v>
      </c>
      <c r="AB12" s="354" t="s">
        <v>176</v>
      </c>
      <c r="AC12" s="354" t="s">
        <v>177</v>
      </c>
      <c r="AD12" s="354" t="s">
        <v>175</v>
      </c>
      <c r="AE12" s="354" t="s">
        <v>176</v>
      </c>
      <c r="AF12" s="354" t="s">
        <v>177</v>
      </c>
      <c r="AG12" s="354" t="s">
        <v>175</v>
      </c>
      <c r="AH12" s="354" t="s">
        <v>176</v>
      </c>
      <c r="AI12" s="354" t="s">
        <v>177</v>
      </c>
      <c r="AJ12" s="354" t="s">
        <v>175</v>
      </c>
      <c r="AK12" s="354" t="s">
        <v>176</v>
      </c>
      <c r="AL12" s="354" t="s">
        <v>177</v>
      </c>
      <c r="AM12" s="354" t="s">
        <v>175</v>
      </c>
      <c r="AN12" s="354" t="s">
        <v>176</v>
      </c>
      <c r="AO12" s="354" t="s">
        <v>177</v>
      </c>
      <c r="AP12" s="354" t="s">
        <v>175</v>
      </c>
      <c r="AQ12" s="354" t="s">
        <v>176</v>
      </c>
      <c r="AR12" s="354" t="s">
        <v>177</v>
      </c>
      <c r="AS12" s="354" t="s">
        <v>175</v>
      </c>
      <c r="AT12" s="354" t="s">
        <v>176</v>
      </c>
      <c r="AU12" s="354" t="s">
        <v>177</v>
      </c>
      <c r="AV12" s="354" t="s">
        <v>175</v>
      </c>
      <c r="AW12" s="354" t="s">
        <v>176</v>
      </c>
      <c r="AX12" s="354" t="s">
        <v>177</v>
      </c>
      <c r="AY12" s="354" t="s">
        <v>175</v>
      </c>
      <c r="AZ12" s="354" t="s">
        <v>176</v>
      </c>
      <c r="BA12" s="354" t="s">
        <v>177</v>
      </c>
      <c r="BB12" s="354"/>
      <c r="BC12" s="354"/>
      <c r="BD12" s="354"/>
      <c r="BE12" s="354" t="s">
        <v>178</v>
      </c>
      <c r="BF12" s="354" t="s">
        <v>176</v>
      </c>
      <c r="BG12" s="354" t="s">
        <v>177</v>
      </c>
      <c r="BH12" s="354" t="s">
        <v>175</v>
      </c>
      <c r="BI12" s="354" t="s">
        <v>176</v>
      </c>
      <c r="BJ12" s="354" t="s">
        <v>177</v>
      </c>
      <c r="BK12" s="354" t="s">
        <v>175</v>
      </c>
      <c r="BL12" s="354" t="s">
        <v>176</v>
      </c>
      <c r="BM12" s="354" t="s">
        <v>177</v>
      </c>
      <c r="BN12" s="354" t="s">
        <v>178</v>
      </c>
      <c r="BO12" s="354" t="s">
        <v>176</v>
      </c>
      <c r="BP12" s="354" t="s">
        <v>177</v>
      </c>
      <c r="BQ12" s="354" t="s">
        <v>178</v>
      </c>
      <c r="BR12" s="354" t="s">
        <v>176</v>
      </c>
      <c r="BS12" s="354" t="s">
        <v>177</v>
      </c>
      <c r="BT12" s="354" t="s">
        <v>178</v>
      </c>
      <c r="BU12" s="354" t="s">
        <v>176</v>
      </c>
      <c r="BV12" s="354" t="s">
        <v>177</v>
      </c>
      <c r="BW12" s="354" t="s">
        <v>178</v>
      </c>
      <c r="BX12" s="354" t="s">
        <v>176</v>
      </c>
      <c r="BY12" s="354" t="s">
        <v>177</v>
      </c>
      <c r="BZ12" s="354" t="s">
        <v>175</v>
      </c>
      <c r="CA12" s="354" t="s">
        <v>176</v>
      </c>
      <c r="CB12" s="354" t="s">
        <v>177</v>
      </c>
      <c r="CC12" s="354" t="s">
        <v>175</v>
      </c>
      <c r="CD12" s="354" t="s">
        <v>176</v>
      </c>
      <c r="CE12" s="354" t="s">
        <v>177</v>
      </c>
      <c r="CF12" s="354" t="s">
        <v>175</v>
      </c>
      <c r="CG12" s="354" t="s">
        <v>176</v>
      </c>
      <c r="CH12" s="354" t="s">
        <v>177</v>
      </c>
      <c r="CI12" s="354" t="s">
        <v>175</v>
      </c>
      <c r="CJ12" s="354" t="s">
        <v>176</v>
      </c>
      <c r="CK12" s="354" t="s">
        <v>177</v>
      </c>
      <c r="CL12" s="354" t="s">
        <v>175</v>
      </c>
      <c r="CM12" s="354" t="s">
        <v>176</v>
      </c>
      <c r="CN12" s="354" t="s">
        <v>177</v>
      </c>
      <c r="CO12" s="354" t="s">
        <v>175</v>
      </c>
      <c r="CP12" s="354" t="s">
        <v>176</v>
      </c>
      <c r="CQ12" s="354" t="s">
        <v>177</v>
      </c>
      <c r="CR12" s="354" t="s">
        <v>175</v>
      </c>
      <c r="CS12" s="354" t="s">
        <v>176</v>
      </c>
      <c r="CT12" s="354" t="s">
        <v>177</v>
      </c>
      <c r="CU12" s="354" t="s">
        <v>175</v>
      </c>
      <c r="CV12" s="354" t="s">
        <v>176</v>
      </c>
      <c r="CW12" s="354" t="s">
        <v>177</v>
      </c>
      <c r="CX12" s="354" t="s">
        <v>175</v>
      </c>
      <c r="CY12" s="354" t="s">
        <v>176</v>
      </c>
      <c r="CZ12" s="354" t="s">
        <v>177</v>
      </c>
      <c r="DA12" s="354" t="s">
        <v>175</v>
      </c>
      <c r="DB12" s="354" t="s">
        <v>176</v>
      </c>
      <c r="DC12" s="354" t="s">
        <v>177</v>
      </c>
      <c r="DD12" s="354" t="s">
        <v>175</v>
      </c>
      <c r="DE12" s="354" t="s">
        <v>176</v>
      </c>
      <c r="DF12" s="354" t="s">
        <v>177</v>
      </c>
      <c r="DG12" s="354" t="s">
        <v>175</v>
      </c>
      <c r="DH12" s="354" t="s">
        <v>176</v>
      </c>
      <c r="DI12" s="354" t="s">
        <v>177</v>
      </c>
      <c r="DJ12" s="354" t="s">
        <v>175</v>
      </c>
      <c r="DK12" s="354" t="s">
        <v>176</v>
      </c>
      <c r="DL12" s="354" t="s">
        <v>177</v>
      </c>
      <c r="DM12" s="354" t="s">
        <v>175</v>
      </c>
      <c r="DN12" s="354" t="s">
        <v>176</v>
      </c>
      <c r="DO12" s="354" t="s">
        <v>177</v>
      </c>
      <c r="DP12" s="354" t="s">
        <v>175</v>
      </c>
      <c r="DQ12" s="354" t="s">
        <v>176</v>
      </c>
      <c r="DR12" s="354" t="s">
        <v>177</v>
      </c>
      <c r="DS12" s="354" t="s">
        <v>175</v>
      </c>
      <c r="DT12" s="354" t="s">
        <v>176</v>
      </c>
      <c r="DU12" s="354" t="s">
        <v>177</v>
      </c>
      <c r="DV12" s="354" t="s">
        <v>175</v>
      </c>
      <c r="DW12" s="354" t="s">
        <v>176</v>
      </c>
      <c r="DX12" s="354" t="s">
        <v>177</v>
      </c>
      <c r="DY12" s="354" t="s">
        <v>175</v>
      </c>
      <c r="DZ12" s="354" t="s">
        <v>176</v>
      </c>
      <c r="EA12" s="354" t="s">
        <v>177</v>
      </c>
      <c r="EB12" s="354" t="s">
        <v>175</v>
      </c>
      <c r="EC12" s="354" t="s">
        <v>176</v>
      </c>
      <c r="ED12" s="354" t="s">
        <v>177</v>
      </c>
      <c r="EE12" s="354" t="s">
        <v>175</v>
      </c>
      <c r="EF12" s="354" t="s">
        <v>176</v>
      </c>
      <c r="EG12" s="354" t="s">
        <v>177</v>
      </c>
      <c r="EH12" s="354" t="s">
        <v>175</v>
      </c>
      <c r="EI12" s="354" t="s">
        <v>176</v>
      </c>
      <c r="EJ12" s="354" t="s">
        <v>177</v>
      </c>
      <c r="EK12" s="354" t="s">
        <v>175</v>
      </c>
      <c r="EL12" s="354" t="s">
        <v>176</v>
      </c>
      <c r="EM12" s="354" t="s">
        <v>177</v>
      </c>
      <c r="EN12" s="354" t="s">
        <v>175</v>
      </c>
      <c r="EO12" s="354" t="s">
        <v>176</v>
      </c>
      <c r="EP12" s="354" t="s">
        <v>177</v>
      </c>
      <c r="EQ12" s="354" t="s">
        <v>175</v>
      </c>
      <c r="ER12" s="354" t="s">
        <v>176</v>
      </c>
      <c r="ES12" s="354" t="s">
        <v>177</v>
      </c>
      <c r="ET12" s="354" t="s">
        <v>175</v>
      </c>
      <c r="EU12" s="354" t="s">
        <v>176</v>
      </c>
      <c r="EV12" s="354" t="s">
        <v>177</v>
      </c>
      <c r="EW12" s="354" t="s">
        <v>175</v>
      </c>
      <c r="EX12" s="354" t="s">
        <v>176</v>
      </c>
      <c r="EY12" s="354" t="s">
        <v>177</v>
      </c>
      <c r="FA12" s="163"/>
      <c r="FB12" s="163"/>
      <c r="FC12" s="163"/>
    </row>
    <row r="13" spans="1:159" s="162" customFormat="1" ht="14.25" customHeight="1">
      <c r="A13" s="356">
        <v>1</v>
      </c>
      <c r="B13" s="354">
        <v>2</v>
      </c>
      <c r="C13" s="356">
        <v>3</v>
      </c>
      <c r="D13" s="355">
        <v>4</v>
      </c>
      <c r="E13" s="356">
        <v>5</v>
      </c>
      <c r="F13" s="354">
        <v>6</v>
      </c>
      <c r="G13" s="356">
        <v>7</v>
      </c>
      <c r="H13" s="354">
        <v>8</v>
      </c>
      <c r="I13" s="356">
        <v>9</v>
      </c>
      <c r="J13" s="354">
        <v>10</v>
      </c>
      <c r="K13" s="356">
        <v>11</v>
      </c>
      <c r="L13" s="356">
        <v>12</v>
      </c>
      <c r="M13" s="356">
        <v>13</v>
      </c>
      <c r="N13" s="356">
        <v>14</v>
      </c>
      <c r="O13" s="356">
        <v>15</v>
      </c>
      <c r="P13" s="356">
        <v>16</v>
      </c>
      <c r="Q13" s="356">
        <v>17</v>
      </c>
      <c r="R13" s="356">
        <v>18</v>
      </c>
      <c r="S13" s="356">
        <v>19</v>
      </c>
      <c r="T13" s="356">
        <v>20</v>
      </c>
      <c r="U13" s="356">
        <v>21</v>
      </c>
      <c r="V13" s="356">
        <v>22</v>
      </c>
      <c r="W13" s="356">
        <v>23</v>
      </c>
      <c r="X13" s="354">
        <v>24</v>
      </c>
      <c r="Y13" s="356">
        <v>25</v>
      </c>
      <c r="Z13" s="354">
        <v>26</v>
      </c>
      <c r="AA13" s="356">
        <v>27</v>
      </c>
      <c r="AB13" s="354">
        <v>28</v>
      </c>
      <c r="AC13" s="356">
        <v>29</v>
      </c>
      <c r="AD13" s="354">
        <v>30</v>
      </c>
      <c r="AE13" s="356">
        <v>31</v>
      </c>
      <c r="AF13" s="354">
        <v>32</v>
      </c>
      <c r="AG13" s="356">
        <v>33</v>
      </c>
      <c r="AH13" s="354">
        <v>34</v>
      </c>
      <c r="AI13" s="356">
        <v>35</v>
      </c>
      <c r="AJ13" s="356">
        <v>36</v>
      </c>
      <c r="AK13" s="356">
        <v>37</v>
      </c>
      <c r="AL13" s="356">
        <v>38</v>
      </c>
      <c r="AM13" s="354">
        <v>39</v>
      </c>
      <c r="AN13" s="356">
        <v>40</v>
      </c>
      <c r="AO13" s="354">
        <v>41</v>
      </c>
      <c r="AP13" s="356">
        <v>42</v>
      </c>
      <c r="AQ13" s="354">
        <v>43</v>
      </c>
      <c r="AR13" s="356">
        <v>44</v>
      </c>
      <c r="AS13" s="356">
        <v>45</v>
      </c>
      <c r="AT13" s="354">
        <v>46</v>
      </c>
      <c r="AU13" s="356">
        <v>47</v>
      </c>
      <c r="AV13" s="356">
        <v>48</v>
      </c>
      <c r="AW13" s="354">
        <v>49</v>
      </c>
      <c r="AX13" s="356">
        <v>50</v>
      </c>
      <c r="AY13" s="356">
        <v>48</v>
      </c>
      <c r="AZ13" s="354">
        <v>49</v>
      </c>
      <c r="BA13" s="356">
        <v>50</v>
      </c>
      <c r="BB13" s="356">
        <v>51</v>
      </c>
      <c r="BC13" s="356">
        <v>52</v>
      </c>
      <c r="BD13" s="356">
        <v>56</v>
      </c>
      <c r="BE13" s="354">
        <v>51</v>
      </c>
      <c r="BF13" s="356">
        <v>52</v>
      </c>
      <c r="BG13" s="354">
        <v>53</v>
      </c>
      <c r="BH13" s="356">
        <v>60</v>
      </c>
      <c r="BI13" s="357">
        <v>61</v>
      </c>
      <c r="BJ13" s="358">
        <v>62</v>
      </c>
      <c r="BK13" s="356">
        <v>63</v>
      </c>
      <c r="BL13" s="356">
        <v>64</v>
      </c>
      <c r="BM13" s="356">
        <v>65</v>
      </c>
      <c r="BN13" s="356">
        <v>66</v>
      </c>
      <c r="BO13" s="356">
        <v>67</v>
      </c>
      <c r="BP13" s="356">
        <v>68</v>
      </c>
      <c r="BQ13" s="354">
        <v>54</v>
      </c>
      <c r="BR13" s="356">
        <v>55</v>
      </c>
      <c r="BS13" s="354">
        <v>56</v>
      </c>
      <c r="BT13" s="356">
        <v>72</v>
      </c>
      <c r="BU13" s="354">
        <v>73</v>
      </c>
      <c r="BV13" s="356">
        <v>74</v>
      </c>
      <c r="BW13" s="354">
        <v>75</v>
      </c>
      <c r="BX13" s="356">
        <v>76</v>
      </c>
      <c r="BY13" s="354">
        <v>77</v>
      </c>
      <c r="BZ13" s="356">
        <v>57</v>
      </c>
      <c r="CA13" s="354">
        <v>58</v>
      </c>
      <c r="CB13" s="356">
        <v>59</v>
      </c>
      <c r="CC13" s="354">
        <v>60</v>
      </c>
      <c r="CD13" s="356">
        <v>61</v>
      </c>
      <c r="CE13" s="354">
        <v>62</v>
      </c>
      <c r="CF13" s="356">
        <v>63</v>
      </c>
      <c r="CG13" s="354">
        <v>64</v>
      </c>
      <c r="CH13" s="356">
        <v>65</v>
      </c>
      <c r="CI13" s="354">
        <v>66</v>
      </c>
      <c r="CJ13" s="356">
        <v>67</v>
      </c>
      <c r="CK13" s="354">
        <v>68</v>
      </c>
      <c r="CL13" s="356">
        <v>69</v>
      </c>
      <c r="CM13" s="354">
        <v>70</v>
      </c>
      <c r="CN13" s="356">
        <v>71</v>
      </c>
      <c r="CO13" s="356">
        <v>72</v>
      </c>
      <c r="CP13" s="356">
        <v>73</v>
      </c>
      <c r="CQ13" s="356">
        <v>74</v>
      </c>
      <c r="CR13" s="356">
        <v>75</v>
      </c>
      <c r="CS13" s="356">
        <v>76</v>
      </c>
      <c r="CT13" s="356">
        <v>77</v>
      </c>
      <c r="CU13" s="356">
        <v>78</v>
      </c>
      <c r="CV13" s="356">
        <v>79</v>
      </c>
      <c r="CW13" s="356">
        <v>80</v>
      </c>
      <c r="CX13" s="354">
        <v>96</v>
      </c>
      <c r="CY13" s="356">
        <v>97</v>
      </c>
      <c r="CZ13" s="354">
        <v>98</v>
      </c>
      <c r="DA13" s="354">
        <v>99</v>
      </c>
      <c r="DB13" s="354">
        <v>100</v>
      </c>
      <c r="DC13" s="354">
        <v>101</v>
      </c>
      <c r="DD13" s="354">
        <v>102</v>
      </c>
      <c r="DE13" s="354">
        <v>103</v>
      </c>
      <c r="DF13" s="354">
        <v>104</v>
      </c>
      <c r="DG13" s="356">
        <v>81</v>
      </c>
      <c r="DH13" s="354">
        <v>82</v>
      </c>
      <c r="DI13" s="356">
        <v>83</v>
      </c>
      <c r="DJ13" s="354">
        <v>84</v>
      </c>
      <c r="DK13" s="356">
        <v>85</v>
      </c>
      <c r="DL13" s="354">
        <v>86</v>
      </c>
      <c r="DM13" s="356">
        <v>87</v>
      </c>
      <c r="DN13" s="354">
        <v>88</v>
      </c>
      <c r="DO13" s="356">
        <v>89</v>
      </c>
      <c r="DP13" s="354">
        <v>90</v>
      </c>
      <c r="DQ13" s="356">
        <v>91</v>
      </c>
      <c r="DR13" s="354">
        <v>92</v>
      </c>
      <c r="DS13" s="356">
        <v>93</v>
      </c>
      <c r="DT13" s="354">
        <v>94</v>
      </c>
      <c r="DU13" s="356">
        <v>95</v>
      </c>
      <c r="DV13" s="354">
        <v>96</v>
      </c>
      <c r="DW13" s="354">
        <v>97</v>
      </c>
      <c r="DX13" s="354">
        <v>98</v>
      </c>
      <c r="DY13" s="356">
        <v>99</v>
      </c>
      <c r="DZ13" s="354">
        <v>100</v>
      </c>
      <c r="EA13" s="356">
        <v>101</v>
      </c>
      <c r="EB13" s="354">
        <v>102</v>
      </c>
      <c r="EC13" s="356">
        <v>103</v>
      </c>
      <c r="ED13" s="354">
        <v>104</v>
      </c>
      <c r="EE13" s="356">
        <v>105</v>
      </c>
      <c r="EF13" s="354">
        <v>106</v>
      </c>
      <c r="EG13" s="356">
        <v>107</v>
      </c>
      <c r="EH13" s="354">
        <v>108</v>
      </c>
      <c r="EI13" s="356">
        <v>109</v>
      </c>
      <c r="EJ13" s="354">
        <v>110</v>
      </c>
      <c r="EK13" s="356">
        <v>111</v>
      </c>
      <c r="EL13" s="354">
        <v>112</v>
      </c>
      <c r="EM13" s="356">
        <v>113</v>
      </c>
      <c r="EN13" s="354">
        <v>114</v>
      </c>
      <c r="EO13" s="356">
        <v>115</v>
      </c>
      <c r="EP13" s="354">
        <v>116</v>
      </c>
      <c r="EQ13" s="356">
        <v>117</v>
      </c>
      <c r="ER13" s="354">
        <v>118</v>
      </c>
      <c r="ES13" s="356">
        <v>119</v>
      </c>
      <c r="ET13" s="354">
        <v>120</v>
      </c>
      <c r="EU13" s="356">
        <v>121</v>
      </c>
      <c r="EV13" s="354">
        <v>122</v>
      </c>
      <c r="EW13" s="356">
        <v>123</v>
      </c>
      <c r="EX13" s="354">
        <v>124</v>
      </c>
      <c r="EY13" s="356">
        <v>125</v>
      </c>
    </row>
    <row r="14" spans="1:159" s="162" customFormat="1" ht="15" customHeight="1">
      <c r="A14" s="407">
        <v>1</v>
      </c>
      <c r="B14" s="408" t="s">
        <v>303</v>
      </c>
      <c r="C14" s="359">
        <f>F14+BZ14</f>
        <v>4016.9421500000003</v>
      </c>
      <c r="D14" s="360">
        <f t="shared" ref="D14:D29" si="0">G14+CA14+CY14</f>
        <v>1766.7363800000001</v>
      </c>
      <c r="E14" s="361">
        <f t="shared" ref="E14:E29" si="1">D14/C14*100</f>
        <v>43.982121574740624</v>
      </c>
      <c r="F14" s="362">
        <f t="shared" ref="F14:F29" si="2">I14+X14+AA14+AD14+AG14+AM14+AS14+BE14+BQ14+BN14+AJ14+AY14+L14+R14+O14+U14+AP14</f>
        <v>592.81500000000005</v>
      </c>
      <c r="G14" s="362">
        <f t="shared" ref="G14:G29" si="3">J14+Y14+AB14+AE14+AH14+AN14+AT14+BF14+AK14+BR14+BO14+AZ14+M14+S14+P14+V14+AQ14</f>
        <v>240.14982000000001</v>
      </c>
      <c r="H14" s="361">
        <f>G14/F14*100</f>
        <v>40.510078186280708</v>
      </c>
      <c r="I14" s="363">
        <f>Але!C6</f>
        <v>68.849999999999994</v>
      </c>
      <c r="J14" s="364">
        <f>Але!D6</f>
        <v>36.423090000000002</v>
      </c>
      <c r="K14" s="361">
        <f>J14/I14*100</f>
        <v>52.902091503267975</v>
      </c>
      <c r="L14" s="361">
        <f>Але!C8</f>
        <v>82.8</v>
      </c>
      <c r="M14" s="361">
        <f>Але!D8</f>
        <v>57.800440000000002</v>
      </c>
      <c r="N14" s="361">
        <f>M14/L14*100</f>
        <v>69.807294685990342</v>
      </c>
      <c r="O14" s="361">
        <f>Але!C9</f>
        <v>0.86499999999999999</v>
      </c>
      <c r="P14" s="361">
        <f>Але!D9</f>
        <v>0.43852999999999998</v>
      </c>
      <c r="Q14" s="361">
        <f>P14/O14*100</f>
        <v>50.697109826589596</v>
      </c>
      <c r="R14" s="361">
        <f>Але!C10</f>
        <v>138.30000000000001</v>
      </c>
      <c r="S14" s="361">
        <f>Але!D10</f>
        <v>80.096230000000006</v>
      </c>
      <c r="T14" s="361">
        <f>S14/R14*100</f>
        <v>57.914844540853217</v>
      </c>
      <c r="U14" s="361">
        <f>Але!C11</f>
        <v>0</v>
      </c>
      <c r="V14" s="365">
        <f>Але!D11</f>
        <v>-11.009679999999999</v>
      </c>
      <c r="W14" s="361" t="e">
        <f>V14/U14*100</f>
        <v>#DIV/0!</v>
      </c>
      <c r="X14" s="366">
        <f>Але!C13</f>
        <v>2</v>
      </c>
      <c r="Y14" s="366">
        <f>Але!D13</f>
        <v>40.129199999999997</v>
      </c>
      <c r="Z14" s="361">
        <f>Y14/X14*100</f>
        <v>2006.4599999999998</v>
      </c>
      <c r="AA14" s="366">
        <f>Але!C15</f>
        <v>40</v>
      </c>
      <c r="AB14" s="367">
        <f>Але!D15</f>
        <v>10.46842</v>
      </c>
      <c r="AC14" s="361">
        <f>AB14/AA14*100</f>
        <v>26.171050000000001</v>
      </c>
      <c r="AD14" s="366">
        <f>Але!C16</f>
        <v>200</v>
      </c>
      <c r="AE14" s="366">
        <f>Але!D16</f>
        <v>18.919060000000002</v>
      </c>
      <c r="AF14" s="361">
        <f t="shared" ref="AF14:AF29" si="4">AE14/AD14*100</f>
        <v>9.4595300000000009</v>
      </c>
      <c r="AG14" s="361">
        <f>Але!C18</f>
        <v>5</v>
      </c>
      <c r="AH14" s="361">
        <f>Але!D18</f>
        <v>0.5</v>
      </c>
      <c r="AI14" s="361">
        <f>AH14/AG14*100</f>
        <v>10</v>
      </c>
      <c r="AJ14" s="361"/>
      <c r="AK14" s="361"/>
      <c r="AL14" s="368" t="e">
        <f t="shared" ref="AL14:AL23" si="5">AK14/AJ14*100</f>
        <v>#DIV/0!</v>
      </c>
      <c r="AM14" s="366">
        <v>0</v>
      </c>
      <c r="AN14" s="366">
        <v>0</v>
      </c>
      <c r="AO14" s="368" t="e">
        <f t="shared" ref="AO14:AO29" si="6">AN14/AM14*100</f>
        <v>#DIV/0!</v>
      </c>
      <c r="AP14" s="366">
        <f>Але!C27</f>
        <v>55</v>
      </c>
      <c r="AQ14" s="369">
        <f>Але!D27</f>
        <v>0</v>
      </c>
      <c r="AR14" s="361">
        <f>AQ14/AP14*100</f>
        <v>0</v>
      </c>
      <c r="AS14" s="370">
        <f>Але!C28</f>
        <v>0</v>
      </c>
      <c r="AT14" s="369">
        <f>Але!D28</f>
        <v>0</v>
      </c>
      <c r="AU14" s="361" t="e">
        <f>AT14/AS14*100</f>
        <v>#DIV/0!</v>
      </c>
      <c r="AV14" s="366"/>
      <c r="AW14" s="366"/>
      <c r="AX14" s="361" t="e">
        <f>AW14/AV14*100</f>
        <v>#DIV/0!</v>
      </c>
      <c r="AY14" s="361">
        <f>Але!C29</f>
        <v>0</v>
      </c>
      <c r="AZ14" s="371">
        <f>Але!D29</f>
        <v>6.3845299999999998</v>
      </c>
      <c r="BA14" s="361" t="e">
        <f>AZ14/AY14*100</f>
        <v>#DIV/0!</v>
      </c>
      <c r="BB14" s="361">
        <f>Але!C30</f>
        <v>0</v>
      </c>
      <c r="BC14" s="361">
        <f>Але!D30</f>
        <v>6.3845299999999998</v>
      </c>
      <c r="BD14" s="361" t="e">
        <f>BC14/BB14*100</f>
        <v>#DIV/0!</v>
      </c>
      <c r="BE14" s="361">
        <f>Але!C32</f>
        <v>0</v>
      </c>
      <c r="BF14" s="361">
        <f>Але!D31</f>
        <v>0</v>
      </c>
      <c r="BG14" s="361" t="e">
        <f>BF14/BE14*100</f>
        <v>#DIV/0!</v>
      </c>
      <c r="BH14" s="361"/>
      <c r="BI14" s="361"/>
      <c r="BJ14" s="361" t="e">
        <f>BI14/BH14*100</f>
        <v>#DIV/0!</v>
      </c>
      <c r="BK14" s="361"/>
      <c r="BL14" s="361"/>
      <c r="BM14" s="361"/>
      <c r="BN14" s="361"/>
      <c r="BO14" s="372"/>
      <c r="BP14" s="361" t="e">
        <f>BO14/BN14*100</f>
        <v>#DIV/0!</v>
      </c>
      <c r="BQ14" s="361">
        <f>Але!C34</f>
        <v>0</v>
      </c>
      <c r="BR14" s="361">
        <f>Але!D35</f>
        <v>0</v>
      </c>
      <c r="BS14" s="361" t="e">
        <f>BR14/BQ14*100</f>
        <v>#DIV/0!</v>
      </c>
      <c r="BT14" s="361"/>
      <c r="BU14" s="361"/>
      <c r="BV14" s="373" t="e">
        <f>BT14/BU14*100</f>
        <v>#DIV/0!</v>
      </c>
      <c r="BW14" s="373"/>
      <c r="BX14" s="373"/>
      <c r="BY14" s="373" t="e">
        <f>BW14/BX14*100</f>
        <v>#DIV/0!</v>
      </c>
      <c r="BZ14" s="366">
        <f>CC14+CF14+CI14+CL14+CR14+CO14</f>
        <v>3424.1271500000003</v>
      </c>
      <c r="CA14" s="366">
        <f>CD14+CG14+CJ14+CM14+CS14+CP14+CV14</f>
        <v>1526.58656</v>
      </c>
      <c r="CB14" s="361">
        <f>CA14/BZ14*100</f>
        <v>44.58323225526248</v>
      </c>
      <c r="CC14" s="368">
        <f>Але!C39</f>
        <v>1200.7</v>
      </c>
      <c r="CD14" s="368">
        <f>Але!D39</f>
        <v>600.34799999999996</v>
      </c>
      <c r="CE14" s="361">
        <f>CD14/CC14*100</f>
        <v>49.999833430498867</v>
      </c>
      <c r="CF14" s="361">
        <f>Але!C40</f>
        <v>452.20800000000003</v>
      </c>
      <c r="CG14" s="361">
        <f>Але!D40</f>
        <v>112.5</v>
      </c>
      <c r="CH14" s="361">
        <f>CG14/CF14*100</f>
        <v>24.877932278951278</v>
      </c>
      <c r="CI14" s="361">
        <f>Але!C41</f>
        <v>1188.7561900000001</v>
      </c>
      <c r="CJ14" s="361">
        <f>Але!D41</f>
        <v>708.41255999999998</v>
      </c>
      <c r="CK14" s="361">
        <f t="shared" ref="CK14:CK29" si="7">CJ14/CI14*100</f>
        <v>59.592754675792683</v>
      </c>
      <c r="CL14" s="361">
        <f>Але!C42</f>
        <v>91.480999999999995</v>
      </c>
      <c r="CM14" s="361">
        <f>Але!D42</f>
        <v>44.826000000000001</v>
      </c>
      <c r="CN14" s="361">
        <f t="shared" ref="CN14:CN31" si="8">CM14/CL14*100</f>
        <v>49.000338868180279</v>
      </c>
      <c r="CO14" s="361">
        <f>Але!C44</f>
        <v>430.50400000000002</v>
      </c>
      <c r="CP14" s="361"/>
      <c r="CQ14" s="361"/>
      <c r="CR14" s="365">
        <f>Але!C43</f>
        <v>60.477960000000003</v>
      </c>
      <c r="CS14" s="361">
        <f>Але!D43</f>
        <v>60.5</v>
      </c>
      <c r="CT14" s="361">
        <f t="shared" ref="CT14:CT31" si="9">CS14/CR14*100</f>
        <v>100.03644302817092</v>
      </c>
      <c r="CU14" s="361"/>
      <c r="CV14" s="361">
        <f>Але!D45</f>
        <v>0</v>
      </c>
      <c r="CW14" s="361" t="e">
        <f>CV13:CV14/CU14*100</f>
        <v>#DIV/0!</v>
      </c>
      <c r="CX14" s="366"/>
      <c r="CY14" s="366"/>
      <c r="CZ14" s="361" t="e">
        <f>CY14/CX14*100</f>
        <v>#DIV/0!</v>
      </c>
      <c r="DA14" s="361"/>
      <c r="DB14" s="361"/>
      <c r="DC14" s="361"/>
      <c r="DD14" s="361"/>
      <c r="DE14" s="361"/>
      <c r="DF14" s="361"/>
      <c r="DG14" s="370">
        <f>DJ14+DY14+EB14+EE14+EH14+EK14+EN14+EQ14+ET14</f>
        <v>4230.7783899999995</v>
      </c>
      <c r="DH14" s="370">
        <f>DK14+DZ14+EC14+EF14+EI14+EL14+EO14+ER14+EU14</f>
        <v>1943.8081</v>
      </c>
      <c r="DI14" s="361">
        <f>DH14/DG14*100</f>
        <v>45.944455625339437</v>
      </c>
      <c r="DJ14" s="366">
        <f>DM14+DP14+DS14+DV14</f>
        <v>1083.4159999999999</v>
      </c>
      <c r="DK14" s="366">
        <f>DN14+DQ14+DT14+DW14</f>
        <v>476.26513</v>
      </c>
      <c r="DL14" s="361">
        <f>DK14/DJ14*100</f>
        <v>43.959580622770943</v>
      </c>
      <c r="DM14" s="361">
        <f>Але!C54</f>
        <v>1076.0999999999999</v>
      </c>
      <c r="DN14" s="361">
        <f>Але!D54</f>
        <v>473.94963000000001</v>
      </c>
      <c r="DO14" s="361">
        <f>DN14/DM14*100</f>
        <v>44.043270142180106</v>
      </c>
      <c r="DP14" s="361">
        <f>Але!C57</f>
        <v>0</v>
      </c>
      <c r="DQ14" s="361">
        <f>Але!D57</f>
        <v>0</v>
      </c>
      <c r="DR14" s="361" t="e">
        <f>DQ14/DP14*100</f>
        <v>#DIV/0!</v>
      </c>
      <c r="DS14" s="361">
        <f>Але!C58</f>
        <v>5</v>
      </c>
      <c r="DT14" s="361">
        <f>Але!D58</f>
        <v>0</v>
      </c>
      <c r="DU14" s="361">
        <f>DT14/DS14*100</f>
        <v>0</v>
      </c>
      <c r="DV14" s="361">
        <f>Але!C59</f>
        <v>2.3159999999999998</v>
      </c>
      <c r="DW14" s="361">
        <f>Але!D59</f>
        <v>2.3155000000000001</v>
      </c>
      <c r="DX14" s="361">
        <f>DW14/DV14*100</f>
        <v>99.978411053540597</v>
      </c>
      <c r="DY14" s="361">
        <f>Але!C61</f>
        <v>89.944999999999993</v>
      </c>
      <c r="DZ14" s="361">
        <f>Але!D61</f>
        <v>39.125</v>
      </c>
      <c r="EA14" s="361">
        <f>DZ14/DY14*100</f>
        <v>43.498804825170936</v>
      </c>
      <c r="EB14" s="361">
        <f>Але!C62</f>
        <v>14</v>
      </c>
      <c r="EC14" s="361">
        <f>Але!D62</f>
        <v>0</v>
      </c>
      <c r="ED14" s="361">
        <f>EC14/EB14*100</f>
        <v>0</v>
      </c>
      <c r="EE14" s="366">
        <f>Але!C68</f>
        <v>2169.4978899999996</v>
      </c>
      <c r="EF14" s="366">
        <f>Але!D68</f>
        <v>1125.36671</v>
      </c>
      <c r="EG14" s="361">
        <f>EF14/EE14*100</f>
        <v>51.872219612990733</v>
      </c>
      <c r="EH14" s="366">
        <f>Але!C73</f>
        <v>583.81949999999995</v>
      </c>
      <c r="EI14" s="366">
        <f>Але!D73</f>
        <v>164.49626000000001</v>
      </c>
      <c r="EJ14" s="361">
        <f>EI14/EH14*100</f>
        <v>28.175876276828717</v>
      </c>
      <c r="EK14" s="366">
        <f>Але!C77</f>
        <v>276.10000000000002</v>
      </c>
      <c r="EL14" s="374">
        <f>Але!D77</f>
        <v>138.55500000000001</v>
      </c>
      <c r="EM14" s="361">
        <f t="shared" ref="EM14:EM29" si="10">EL14/EK14*100</f>
        <v>50.182904744657733</v>
      </c>
      <c r="EN14" s="361">
        <f>Але!C79</f>
        <v>0</v>
      </c>
      <c r="EO14" s="361">
        <f>Але!D79</f>
        <v>0</v>
      </c>
      <c r="EP14" s="361" t="e">
        <f t="shared" ref="EP14:EP29" si="11">EO14/EN14*100</f>
        <v>#DIV/0!</v>
      </c>
      <c r="EQ14" s="362">
        <f>Але!C84</f>
        <v>14</v>
      </c>
      <c r="ER14" s="362">
        <f>Але!D84</f>
        <v>0</v>
      </c>
      <c r="ES14" s="361">
        <f>ER14/EQ14*100</f>
        <v>0</v>
      </c>
      <c r="ET14" s="361">
        <f>Але!C90</f>
        <v>0</v>
      </c>
      <c r="EU14" s="361">
        <f>Але!D90</f>
        <v>0</v>
      </c>
      <c r="EV14" s="361" t="e">
        <f>EU14/ET14*100</f>
        <v>#DIV/0!</v>
      </c>
      <c r="EW14" s="375">
        <f t="shared" ref="EW14:EW29" si="12">SUM(C14-DG14)</f>
        <v>-213.83623999999918</v>
      </c>
      <c r="EX14" s="375">
        <f t="shared" ref="EX14:EX29" si="13">SUM(D14-DH14)</f>
        <v>-177.07171999999991</v>
      </c>
      <c r="EY14" s="361">
        <f>EX14/EW14*100%</f>
        <v>0.82807161218323233</v>
      </c>
      <c r="EZ14" s="164"/>
      <c r="FA14" s="165"/>
      <c r="FC14" s="165"/>
    </row>
    <row r="15" spans="1:159" s="166" customFormat="1" ht="15" customHeight="1">
      <c r="A15" s="407">
        <v>2</v>
      </c>
      <c r="B15" s="409" t="s">
        <v>304</v>
      </c>
      <c r="C15" s="359">
        <f t="shared" ref="C15:C29" si="14">F15+BZ15</f>
        <v>12752.049270000001</v>
      </c>
      <c r="D15" s="360">
        <f>G15+CA15+CY15</f>
        <v>3510.3126300000004</v>
      </c>
      <c r="E15" s="368">
        <f t="shared" si="1"/>
        <v>27.527439360340551</v>
      </c>
      <c r="F15" s="362">
        <f t="shared" si="2"/>
        <v>3935.44</v>
      </c>
      <c r="G15" s="362">
        <f>J15+Y15+AB15+AE15+AH15+AN15+AT15+BF15+AK15+BR15+BO15+AZ15+M15+S15+P15+V15+AQ15</f>
        <v>1011.5857500000001</v>
      </c>
      <c r="H15" s="368">
        <f t="shared" ref="H15:H29" si="15">G15/F15*100</f>
        <v>25.704514615900635</v>
      </c>
      <c r="I15" s="376">
        <f>Сун!C6</f>
        <v>443.71499999999997</v>
      </c>
      <c r="J15" s="370">
        <f>Сун!D6</f>
        <v>179.21145999999999</v>
      </c>
      <c r="K15" s="368">
        <f t="shared" ref="K15:K29" si="16">J15/I15*100</f>
        <v>40.388866727516536</v>
      </c>
      <c r="L15" s="368">
        <f>Сун!C8</f>
        <v>237.12</v>
      </c>
      <c r="M15" s="368">
        <f>Сун!D8</f>
        <v>165.54492999999999</v>
      </c>
      <c r="N15" s="361">
        <f t="shared" ref="N15:N29" si="17">M15/L15*100</f>
        <v>69.814832152496621</v>
      </c>
      <c r="O15" s="361">
        <f>Сун!C9</f>
        <v>2.5049999999999999</v>
      </c>
      <c r="P15" s="361">
        <f>Сун!D9</f>
        <v>1.256</v>
      </c>
      <c r="Q15" s="361">
        <f t="shared" ref="Q15:Q29" si="18">P15/O15*100</f>
        <v>50.139720558882239</v>
      </c>
      <c r="R15" s="361">
        <f>Сун!C10</f>
        <v>396.1</v>
      </c>
      <c r="S15" s="361">
        <f>Сун!D10</f>
        <v>229.40181999999999</v>
      </c>
      <c r="T15" s="361">
        <f t="shared" ref="T15:T29" si="19">S15/R15*100</f>
        <v>57.915127493057305</v>
      </c>
      <c r="U15" s="361">
        <f>Сун!C11</f>
        <v>0</v>
      </c>
      <c r="V15" s="365">
        <f>Сун!D11</f>
        <v>-31.532579999999999</v>
      </c>
      <c r="W15" s="361" t="e">
        <f t="shared" ref="W15:W29" si="20">V15/U15*100</f>
        <v>#DIV/0!</v>
      </c>
      <c r="X15" s="376">
        <f>Сун!C13</f>
        <v>40</v>
      </c>
      <c r="Y15" s="376">
        <f>Сун!D13</f>
        <v>38.458449999999999</v>
      </c>
      <c r="Z15" s="368">
        <f t="shared" ref="Z15:Z29" si="21">Y15/X15*100</f>
        <v>96.146124999999998</v>
      </c>
      <c r="AA15" s="376">
        <f>Сун!C15</f>
        <v>1098</v>
      </c>
      <c r="AB15" s="367">
        <f>Сун!D15</f>
        <v>41.500869999999999</v>
      </c>
      <c r="AC15" s="368">
        <f t="shared" ref="AC15:AC29" si="22">AB15/AA15*100</f>
        <v>3.7796785063752272</v>
      </c>
      <c r="AD15" s="376">
        <f>Сун!C16</f>
        <v>1285</v>
      </c>
      <c r="AE15" s="376">
        <f>Сун!D16</f>
        <v>195.68710999999999</v>
      </c>
      <c r="AF15" s="368">
        <f t="shared" si="4"/>
        <v>15.22856887159533</v>
      </c>
      <c r="AG15" s="368">
        <f>Сун!C18</f>
        <v>13</v>
      </c>
      <c r="AH15" s="368">
        <f>Сун!D18</f>
        <v>5.97</v>
      </c>
      <c r="AI15" s="368">
        <f t="shared" ref="AI15:AI31" si="23">AH15/AG15*100</f>
        <v>45.92307692307692</v>
      </c>
      <c r="AJ15" s="368"/>
      <c r="AK15" s="368"/>
      <c r="AL15" s="368" t="e">
        <f t="shared" si="5"/>
        <v>#DIV/0!</v>
      </c>
      <c r="AM15" s="376">
        <f>Сун!C27</f>
        <v>0</v>
      </c>
      <c r="AN15" s="376">
        <f>Сун!D27</f>
        <v>0</v>
      </c>
      <c r="AO15" s="368" t="e">
        <f t="shared" si="6"/>
        <v>#DIV/0!</v>
      </c>
      <c r="AP15" s="376">
        <f>Сун!C28</f>
        <v>200</v>
      </c>
      <c r="AQ15" s="377">
        <f>Сун!D28</f>
        <v>27.2</v>
      </c>
      <c r="AR15" s="368">
        <f t="shared" ref="AR15:AR29" si="24">AQ15/AP15*100</f>
        <v>13.600000000000001</v>
      </c>
      <c r="AS15" s="370">
        <f>Сун!C29</f>
        <v>20</v>
      </c>
      <c r="AT15" s="377">
        <f>Сун!D29</f>
        <v>24.931999999999999</v>
      </c>
      <c r="AU15" s="368">
        <f t="shared" ref="AU15:AU29" si="25">AT15/AS15*100</f>
        <v>124.66</v>
      </c>
      <c r="AV15" s="376"/>
      <c r="AW15" s="376"/>
      <c r="AX15" s="368" t="e">
        <f t="shared" ref="AX15:AX29" si="26">AW15/AV15*100</f>
        <v>#DIV/0!</v>
      </c>
      <c r="AY15" s="368">
        <f>Сун!C31</f>
        <v>200</v>
      </c>
      <c r="AZ15" s="378">
        <f>Сун!D31</f>
        <v>133.95569</v>
      </c>
      <c r="BA15" s="368">
        <f t="shared" ref="BA15:BA31" si="27">AZ15/AY15*100</f>
        <v>66.977845000000002</v>
      </c>
      <c r="BB15" s="368"/>
      <c r="BC15" s="368"/>
      <c r="BD15" s="368"/>
      <c r="BE15" s="368">
        <f>Сун!C32</f>
        <v>0</v>
      </c>
      <c r="BF15" s="368">
        <f>Сун!D32</f>
        <v>0</v>
      </c>
      <c r="BG15" s="368" t="e">
        <f t="shared" ref="BG15:BG31" si="28">BF15/BE15*100</f>
        <v>#DIV/0!</v>
      </c>
      <c r="BH15" s="368"/>
      <c r="BI15" s="368"/>
      <c r="BJ15" s="368" t="e">
        <f t="shared" ref="BJ15:BJ29" si="29">BI15/BH15*100</f>
        <v>#DIV/0!</v>
      </c>
      <c r="BK15" s="368">
        <f>Сун!C35</f>
        <v>0</v>
      </c>
      <c r="BL15" s="368">
        <f>Сун!D35</f>
        <v>0</v>
      </c>
      <c r="BM15" s="368"/>
      <c r="BN15" s="368">
        <f>Сун!C35</f>
        <v>0</v>
      </c>
      <c r="BO15" s="379">
        <f>Сун!D35</f>
        <v>0</v>
      </c>
      <c r="BP15" s="361" t="e">
        <f t="shared" ref="BP15:BP29" si="30">BO15/BN15*100</f>
        <v>#DIV/0!</v>
      </c>
      <c r="BQ15" s="368">
        <f>Сун!C37</f>
        <v>0</v>
      </c>
      <c r="BR15" s="368">
        <f>Сун!D37</f>
        <v>0</v>
      </c>
      <c r="BS15" s="368" t="e">
        <f t="shared" ref="BS15:BS29" si="31">BR15/BQ15*100</f>
        <v>#DIV/0!</v>
      </c>
      <c r="BT15" s="368"/>
      <c r="BU15" s="368"/>
      <c r="BV15" s="380" t="e">
        <f t="shared" ref="BV15:BV29" si="32">BT15/BU15*100</f>
        <v>#DIV/0!</v>
      </c>
      <c r="BW15" s="380"/>
      <c r="BX15" s="380"/>
      <c r="BY15" s="380" t="e">
        <f t="shared" ref="BY15:BY29" si="33">BW15/BX15*100</f>
        <v>#DIV/0!</v>
      </c>
      <c r="BZ15" s="366">
        <f t="shared" ref="BZ15:BZ29" si="34">CC15+CF15+CI15+CL15+CR15+CO15</f>
        <v>8816.6092700000008</v>
      </c>
      <c r="CA15" s="366">
        <f t="shared" ref="CA15:CA29" si="35">CD15+CG15+CJ15+CM15+CS15+CP15+CV15</f>
        <v>2498.7268800000002</v>
      </c>
      <c r="CB15" s="368">
        <f>CA15/BZ15*100</f>
        <v>28.341132100549583</v>
      </c>
      <c r="CC15" s="368">
        <f>Сун!C42</f>
        <v>3003</v>
      </c>
      <c r="CD15" s="368">
        <f>Сун!D42</f>
        <v>1501.2</v>
      </c>
      <c r="CE15" s="368">
        <f t="shared" ref="CE15:CE29" si="36">CD15/CC15*100</f>
        <v>49.990009990009995</v>
      </c>
      <c r="CF15" s="368">
        <f>Сун!C43</f>
        <v>96.5</v>
      </c>
      <c r="CG15" s="368">
        <f>Сун!D43</f>
        <v>0</v>
      </c>
      <c r="CH15" s="368">
        <f t="shared" ref="CH15:CH29" si="37">CG15/CF15*100</f>
        <v>0</v>
      </c>
      <c r="CI15" s="381">
        <f>Сун!C44</f>
        <v>4805.0308999999997</v>
      </c>
      <c r="CJ15" s="368">
        <f>Сун!D44</f>
        <v>538.78700000000003</v>
      </c>
      <c r="CK15" s="368">
        <f t="shared" si="7"/>
        <v>11.212976798962938</v>
      </c>
      <c r="CL15" s="368">
        <f>Сун!C46</f>
        <v>183.01900000000001</v>
      </c>
      <c r="CM15" s="368">
        <f>Сун!D46</f>
        <v>89.649000000000001</v>
      </c>
      <c r="CN15" s="368">
        <f t="shared" si="8"/>
        <v>48.983438877930709</v>
      </c>
      <c r="CO15" s="368">
        <f>Сун!C47</f>
        <v>360</v>
      </c>
      <c r="CP15" s="368">
        <f>Сун!D47</f>
        <v>0</v>
      </c>
      <c r="CQ15" s="368">
        <f>CP15/CO15*100</f>
        <v>0</v>
      </c>
      <c r="CR15" s="382">
        <f>Сун!C48</f>
        <v>369.05937</v>
      </c>
      <c r="CS15" s="368">
        <f>Сун!D48</f>
        <v>369.09088000000003</v>
      </c>
      <c r="CT15" s="368">
        <f t="shared" si="9"/>
        <v>100.00853792168995</v>
      </c>
      <c r="CU15" s="368"/>
      <c r="CV15" s="368"/>
      <c r="CW15" s="368"/>
      <c r="CX15" s="376"/>
      <c r="CY15" s="376"/>
      <c r="CZ15" s="368" t="e">
        <f t="shared" ref="CZ15:CZ29" si="38">CY15/CX15*100</f>
        <v>#DIV/0!</v>
      </c>
      <c r="DA15" s="368"/>
      <c r="DB15" s="368"/>
      <c r="DC15" s="368"/>
      <c r="DD15" s="368"/>
      <c r="DE15" s="368"/>
      <c r="DF15" s="368"/>
      <c r="DG15" s="370">
        <f>DJ15+DY15+EB15+EE15+EH15+EK15+EN15+EQ15+ET15</f>
        <v>13957.193949999999</v>
      </c>
      <c r="DH15" s="370">
        <f t="shared" ref="DG15:DH29" si="39">DK15+DZ15+EC15+EF15+EI15+EL15+EO15+ER15+EU15</f>
        <v>4155.4610300000004</v>
      </c>
      <c r="DI15" s="368">
        <f t="shared" ref="DI15:DI29" si="40">DH15/DG15*100</f>
        <v>29.772897366665891</v>
      </c>
      <c r="DJ15" s="376">
        <f>DM15+DP15+DS15+DV15</f>
        <v>1760.6429999999998</v>
      </c>
      <c r="DK15" s="376">
        <f t="shared" ref="DJ15:DK29" si="41">DN15+DQ15+DT15+DW15</f>
        <v>718.8538299999999</v>
      </c>
      <c r="DL15" s="368">
        <f t="shared" ref="DL15:DL29" si="42">DK15/DJ15*100</f>
        <v>40.82905109099346</v>
      </c>
      <c r="DM15" s="368">
        <f>Сун!C59</f>
        <v>1746.6</v>
      </c>
      <c r="DN15" s="368">
        <f>Сун!D59</f>
        <v>710.11132999999995</v>
      </c>
      <c r="DO15" s="368">
        <f t="shared" ref="DO15:DO29" si="43">DN15/DM15*100</f>
        <v>40.656780602313063</v>
      </c>
      <c r="DP15" s="368">
        <f>Сун!C62</f>
        <v>0</v>
      </c>
      <c r="DQ15" s="368">
        <f>Сун!D62</f>
        <v>0</v>
      </c>
      <c r="DR15" s="368" t="e">
        <f t="shared" ref="DR15:DR29" si="44">DQ15/DP15*100</f>
        <v>#DIV/0!</v>
      </c>
      <c r="DS15" s="368">
        <f>Сун!C63</f>
        <v>5</v>
      </c>
      <c r="DT15" s="368">
        <f>Сун!D63</f>
        <v>0</v>
      </c>
      <c r="DU15" s="368">
        <f t="shared" ref="DU15:DU29" si="45">DT15/DS15*100</f>
        <v>0</v>
      </c>
      <c r="DV15" s="368">
        <f>Сун!C64</f>
        <v>9.0429999999999993</v>
      </c>
      <c r="DW15" s="368">
        <f>Сун!D64</f>
        <v>8.7424999999999997</v>
      </c>
      <c r="DX15" s="368">
        <f t="shared" ref="DX15:DX29" si="46">DW15/DV15*100</f>
        <v>96.676987725312401</v>
      </c>
      <c r="DY15" s="368">
        <f>Сун!C66</f>
        <v>179.892</v>
      </c>
      <c r="DZ15" s="368">
        <f>Сун!D66</f>
        <v>74.609549999999999</v>
      </c>
      <c r="EA15" s="368">
        <f t="shared" ref="EA15:EA31" si="47">DZ15/DY15*100</f>
        <v>41.47463478086852</v>
      </c>
      <c r="EB15" s="368">
        <f>Сун!C67</f>
        <v>6.5</v>
      </c>
      <c r="EC15" s="368">
        <f>Сун!D67</f>
        <v>2.1</v>
      </c>
      <c r="ED15" s="368">
        <f t="shared" ref="ED15:ED31" si="48">EC15/EB15*100</f>
        <v>32.307692307692307</v>
      </c>
      <c r="EE15" s="376">
        <f>Сун!C73</f>
        <v>5093.1170399999992</v>
      </c>
      <c r="EF15" s="376">
        <f>Сун!D73</f>
        <v>1331.6928800000001</v>
      </c>
      <c r="EG15" s="368">
        <f t="shared" ref="EG15:EG29" si="49">EF15/EE15*100</f>
        <v>26.146912971785945</v>
      </c>
      <c r="EH15" s="376">
        <f>Сун!C78</f>
        <v>3900.7639100000001</v>
      </c>
      <c r="EI15" s="376">
        <f>Сун!D78</f>
        <v>730.18435999999997</v>
      </c>
      <c r="EJ15" s="368">
        <f t="shared" ref="EJ15:EJ29" si="50">EI15/EH15*100</f>
        <v>18.719009323484023</v>
      </c>
      <c r="EK15" s="376">
        <f>Сун!C83</f>
        <v>2987.1880000000001</v>
      </c>
      <c r="EL15" s="383">
        <f>Сун!D83</f>
        <v>1288.9304099999999</v>
      </c>
      <c r="EM15" s="368">
        <f t="shared" si="10"/>
        <v>43.148620374747082</v>
      </c>
      <c r="EN15" s="368">
        <f>Сун!C86</f>
        <v>0</v>
      </c>
      <c r="EO15" s="368">
        <f>Сун!D86</f>
        <v>0</v>
      </c>
      <c r="EP15" s="368" t="e">
        <f t="shared" si="11"/>
        <v>#DIV/0!</v>
      </c>
      <c r="EQ15" s="384">
        <f>Сун!C91</f>
        <v>29.09</v>
      </c>
      <c r="ER15" s="384">
        <f>Сун!D91</f>
        <v>9.09</v>
      </c>
      <c r="ES15" s="368">
        <f t="shared" ref="ES15:ES29" si="51">ER15/EQ15*100</f>
        <v>31.247851495359232</v>
      </c>
      <c r="ET15" s="368">
        <f>Сун!C97</f>
        <v>0</v>
      </c>
      <c r="EU15" s="368">
        <f>Сун!D97</f>
        <v>0</v>
      </c>
      <c r="EV15" s="361" t="e">
        <f>EU15/ET15*100</f>
        <v>#DIV/0!</v>
      </c>
      <c r="EW15" s="375">
        <f t="shared" si="12"/>
        <v>-1205.1446799999976</v>
      </c>
      <c r="EX15" s="375">
        <f t="shared" si="13"/>
        <v>-645.14840000000004</v>
      </c>
      <c r="EY15" s="361">
        <f>EX15/EW15*100%</f>
        <v>0.53532858809948136</v>
      </c>
      <c r="EZ15" s="164"/>
      <c r="FA15" s="165"/>
      <c r="FC15" s="165"/>
    </row>
    <row r="16" spans="1:159" s="162" customFormat="1" ht="15" customHeight="1">
      <c r="A16" s="407">
        <v>3</v>
      </c>
      <c r="B16" s="409" t="s">
        <v>305</v>
      </c>
      <c r="C16" s="385">
        <f t="shared" si="14"/>
        <v>10011.110710000001</v>
      </c>
      <c r="D16" s="360">
        <f t="shared" si="0"/>
        <v>2417.46225</v>
      </c>
      <c r="E16" s="368">
        <f t="shared" si="1"/>
        <v>24.14779258794152</v>
      </c>
      <c r="F16" s="362">
        <f t="shared" si="2"/>
        <v>2051.4749999999999</v>
      </c>
      <c r="G16" s="362">
        <f t="shared" si="3"/>
        <v>568.59523999999999</v>
      </c>
      <c r="H16" s="368">
        <f t="shared" si="15"/>
        <v>27.71641087510206</v>
      </c>
      <c r="I16" s="386">
        <f>Иль!C6</f>
        <v>100.23</v>
      </c>
      <c r="J16" s="364">
        <f>Иль!D6</f>
        <v>35.980890000000002</v>
      </c>
      <c r="K16" s="368">
        <f t="shared" si="16"/>
        <v>35.898323855133199</v>
      </c>
      <c r="L16" s="368">
        <f>Иль!C8</f>
        <v>224.26</v>
      </c>
      <c r="M16" s="368">
        <f>Иль!D8</f>
        <v>156.56622999999999</v>
      </c>
      <c r="N16" s="361">
        <f t="shared" si="17"/>
        <v>69.814603585124416</v>
      </c>
      <c r="O16" s="361">
        <f>Иль!C9</f>
        <v>2.4049999999999998</v>
      </c>
      <c r="P16" s="361">
        <f>Иль!D9</f>
        <v>1.1879</v>
      </c>
      <c r="Q16" s="361">
        <f t="shared" si="18"/>
        <v>49.392931392931395</v>
      </c>
      <c r="R16" s="361">
        <f>Иль!C10</f>
        <v>374.58</v>
      </c>
      <c r="S16" s="361">
        <f>Иль!D10</f>
        <v>216.95968999999999</v>
      </c>
      <c r="T16" s="361">
        <f t="shared" si="19"/>
        <v>57.920788616583906</v>
      </c>
      <c r="U16" s="361">
        <f>Иль!C11</f>
        <v>0</v>
      </c>
      <c r="V16" s="365">
        <f>Иль!D11</f>
        <v>-29.822340000000001</v>
      </c>
      <c r="W16" s="361" t="e">
        <f t="shared" si="20"/>
        <v>#DIV/0!</v>
      </c>
      <c r="X16" s="376">
        <f>Иль!C13</f>
        <v>7</v>
      </c>
      <c r="Y16" s="376">
        <f>Иль!D13</f>
        <v>7.8484400000000001</v>
      </c>
      <c r="Z16" s="368">
        <f t="shared" si="21"/>
        <v>112.12057142857144</v>
      </c>
      <c r="AA16" s="376">
        <f>Иль!C15</f>
        <v>248</v>
      </c>
      <c r="AB16" s="367">
        <f>Иль!D15</f>
        <v>43.025939999999999</v>
      </c>
      <c r="AC16" s="368">
        <f t="shared" si="22"/>
        <v>17.349169354838708</v>
      </c>
      <c r="AD16" s="376">
        <f>Иль!C16</f>
        <v>810</v>
      </c>
      <c r="AE16" s="376">
        <f>Иль!D16</f>
        <v>63.764969999999998</v>
      </c>
      <c r="AF16" s="368">
        <f t="shared" si="4"/>
        <v>7.8722185185185189</v>
      </c>
      <c r="AG16" s="368">
        <f>Иль!C18</f>
        <v>5</v>
      </c>
      <c r="AH16" s="368">
        <f>Иль!D18</f>
        <v>2</v>
      </c>
      <c r="AI16" s="368">
        <f t="shared" si="23"/>
        <v>40</v>
      </c>
      <c r="AJ16" s="368"/>
      <c r="AK16" s="368"/>
      <c r="AL16" s="368" t="e">
        <f t="shared" si="5"/>
        <v>#DIV/0!</v>
      </c>
      <c r="AM16" s="376">
        <f>Иль!C27</f>
        <v>0</v>
      </c>
      <c r="AN16" s="376">
        <f>Иль!D27</f>
        <v>0</v>
      </c>
      <c r="AO16" s="368" t="e">
        <f t="shared" si="6"/>
        <v>#DIV/0!</v>
      </c>
      <c r="AP16" s="376">
        <f>Иль!C28</f>
        <v>200</v>
      </c>
      <c r="AQ16" s="377">
        <f>Иль!D28</f>
        <v>24.7</v>
      </c>
      <c r="AR16" s="368">
        <f t="shared" si="24"/>
        <v>12.35</v>
      </c>
      <c r="AS16" s="370">
        <f>Иль!C29</f>
        <v>20</v>
      </c>
      <c r="AT16" s="377">
        <f>Иль!D29</f>
        <v>26.340900000000001</v>
      </c>
      <c r="AU16" s="368">
        <f t="shared" si="25"/>
        <v>131.7045</v>
      </c>
      <c r="AV16" s="376"/>
      <c r="AW16" s="376"/>
      <c r="AX16" s="368" t="e">
        <f t="shared" si="26"/>
        <v>#DIV/0!</v>
      </c>
      <c r="AY16" s="368">
        <f>Иль!C30</f>
        <v>60</v>
      </c>
      <c r="AZ16" s="371">
        <f>Иль!D30</f>
        <v>20.042619999999999</v>
      </c>
      <c r="BA16" s="368">
        <f t="shared" si="27"/>
        <v>33.404366666666668</v>
      </c>
      <c r="BB16" s="368"/>
      <c r="BC16" s="368"/>
      <c r="BD16" s="368"/>
      <c r="BE16" s="368">
        <f>Иль!C34</f>
        <v>0</v>
      </c>
      <c r="BF16" s="368">
        <f>Иль!D34</f>
        <v>0</v>
      </c>
      <c r="BG16" s="368" t="e">
        <f t="shared" si="28"/>
        <v>#DIV/0!</v>
      </c>
      <c r="BH16" s="368"/>
      <c r="BI16" s="368"/>
      <c r="BJ16" s="368" t="e">
        <f t="shared" si="29"/>
        <v>#DIV/0!</v>
      </c>
      <c r="BK16" s="368"/>
      <c r="BL16" s="368"/>
      <c r="BM16" s="368"/>
      <c r="BN16" s="368"/>
      <c r="BO16" s="379">
        <f>Иль!D35</f>
        <v>0</v>
      </c>
      <c r="BP16" s="361" t="e">
        <f t="shared" si="30"/>
        <v>#DIV/0!</v>
      </c>
      <c r="BQ16" s="368">
        <v>0</v>
      </c>
      <c r="BR16" s="368">
        <f>Иль!D37</f>
        <v>0</v>
      </c>
      <c r="BS16" s="368" t="e">
        <f t="shared" si="31"/>
        <v>#DIV/0!</v>
      </c>
      <c r="BT16" s="368"/>
      <c r="BU16" s="368"/>
      <c r="BV16" s="380" t="e">
        <f t="shared" si="32"/>
        <v>#DIV/0!</v>
      </c>
      <c r="BW16" s="380"/>
      <c r="BX16" s="380"/>
      <c r="BY16" s="380" t="e">
        <f t="shared" si="33"/>
        <v>#DIV/0!</v>
      </c>
      <c r="BZ16" s="366">
        <f>CC16+CF16+CI16+CL16+CR16+CO16</f>
        <v>7959.6357100000014</v>
      </c>
      <c r="CA16" s="366">
        <f t="shared" si="35"/>
        <v>1848.8670099999999</v>
      </c>
      <c r="CB16" s="368">
        <f>CA16/BZ16*100</f>
        <v>23.228035520233622</v>
      </c>
      <c r="CC16" s="368">
        <f>Иль!C42</f>
        <v>1759.1</v>
      </c>
      <c r="CD16" s="368">
        <f>Иль!D42</f>
        <v>879.55200000000002</v>
      </c>
      <c r="CE16" s="368">
        <f t="shared" si="36"/>
        <v>50.000113694502879</v>
      </c>
      <c r="CF16" s="368">
        <f>Иль!C43</f>
        <v>371.6</v>
      </c>
      <c r="CG16" s="368">
        <f>Иль!D43</f>
        <v>60</v>
      </c>
      <c r="CH16" s="368">
        <f t="shared" si="37"/>
        <v>16.146393972012916</v>
      </c>
      <c r="CI16" s="361">
        <f>Иль!C44</f>
        <v>3964.4985700000002</v>
      </c>
      <c r="CJ16" s="368">
        <f>Иль!D44</f>
        <v>220</v>
      </c>
      <c r="CK16" s="368">
        <f t="shared" si="7"/>
        <v>5.5492515917340839</v>
      </c>
      <c r="CL16" s="368">
        <f>Иль!C46</f>
        <v>181.08199999999999</v>
      </c>
      <c r="CM16" s="368">
        <f>Иль!D46</f>
        <v>89.649000000000001</v>
      </c>
      <c r="CN16" s="368">
        <f t="shared" si="8"/>
        <v>49.50740548480799</v>
      </c>
      <c r="CO16" s="368">
        <f>Иль!C47</f>
        <v>1381.01828</v>
      </c>
      <c r="CP16" s="368">
        <f>Иль!D47</f>
        <v>323.10701</v>
      </c>
      <c r="CQ16" s="368"/>
      <c r="CR16" s="382">
        <f>Иль!C51</f>
        <v>302.33686</v>
      </c>
      <c r="CS16" s="368">
        <f>Иль!D51</f>
        <v>276.55900000000003</v>
      </c>
      <c r="CT16" s="368">
        <f t="shared" si="9"/>
        <v>91.473795156832693</v>
      </c>
      <c r="CU16" s="368"/>
      <c r="CV16" s="368"/>
      <c r="CW16" s="368"/>
      <c r="CX16" s="376"/>
      <c r="CY16" s="376"/>
      <c r="CZ16" s="368" t="e">
        <f t="shared" si="38"/>
        <v>#DIV/0!</v>
      </c>
      <c r="DA16" s="368"/>
      <c r="DB16" s="368"/>
      <c r="DC16" s="368"/>
      <c r="DD16" s="368"/>
      <c r="DE16" s="368"/>
      <c r="DF16" s="368">
        <v>0</v>
      </c>
      <c r="DG16" s="370">
        <f t="shared" si="39"/>
        <v>10525.042889999999</v>
      </c>
      <c r="DH16" s="370">
        <f t="shared" si="39"/>
        <v>2329.8940199999997</v>
      </c>
      <c r="DI16" s="368">
        <f t="shared" si="40"/>
        <v>22.136670076790537</v>
      </c>
      <c r="DJ16" s="376">
        <f t="shared" si="41"/>
        <v>1261.7510000000002</v>
      </c>
      <c r="DK16" s="376">
        <f t="shared" si="41"/>
        <v>510.32502999999997</v>
      </c>
      <c r="DL16" s="368">
        <f t="shared" si="42"/>
        <v>40.445779714064017</v>
      </c>
      <c r="DM16" s="368">
        <f>Иль!C59</f>
        <v>1247.4000000000001</v>
      </c>
      <c r="DN16" s="368">
        <f>Иль!D59</f>
        <v>503.77402999999998</v>
      </c>
      <c r="DO16" s="368">
        <f t="shared" si="43"/>
        <v>40.385925124258456</v>
      </c>
      <c r="DP16" s="368">
        <f>Иль!C62</f>
        <v>0</v>
      </c>
      <c r="DQ16" s="368">
        <f>Иль!D62</f>
        <v>0</v>
      </c>
      <c r="DR16" s="368" t="e">
        <f t="shared" si="44"/>
        <v>#DIV/0!</v>
      </c>
      <c r="DS16" s="368">
        <f>Иль!C63</f>
        <v>5</v>
      </c>
      <c r="DT16" s="368">
        <f>Иль!D63</f>
        <v>0</v>
      </c>
      <c r="DU16" s="368">
        <f t="shared" si="45"/>
        <v>0</v>
      </c>
      <c r="DV16" s="368">
        <f>Иль!C64</f>
        <v>9.3510000000000009</v>
      </c>
      <c r="DW16" s="368">
        <f>Иль!D64</f>
        <v>6.5510000000000002</v>
      </c>
      <c r="DX16" s="368">
        <f t="shared" si="46"/>
        <v>70.056678430114417</v>
      </c>
      <c r="DY16" s="368">
        <f>Иль!C66</f>
        <v>179.892</v>
      </c>
      <c r="DZ16" s="368">
        <f>Иль!D66</f>
        <v>79.12</v>
      </c>
      <c r="EA16" s="368">
        <f t="shared" si="47"/>
        <v>43.981944722388995</v>
      </c>
      <c r="EB16" s="368">
        <f>Иль!C67</f>
        <v>6</v>
      </c>
      <c r="EC16" s="368">
        <f>Иль!D67</f>
        <v>4</v>
      </c>
      <c r="ED16" s="368">
        <f t="shared" si="48"/>
        <v>66.666666666666657</v>
      </c>
      <c r="EE16" s="376">
        <f>Иль!C73</f>
        <v>6119.0925799999995</v>
      </c>
      <c r="EF16" s="376">
        <f>Иль!D73</f>
        <v>612.26700999999991</v>
      </c>
      <c r="EG16" s="368">
        <f t="shared" si="49"/>
        <v>10.005846487781035</v>
      </c>
      <c r="EH16" s="376">
        <f>Иль!C80</f>
        <v>684.64191000000005</v>
      </c>
      <c r="EI16" s="376">
        <f>Иль!D80</f>
        <v>335.06623999999999</v>
      </c>
      <c r="EJ16" s="368">
        <f t="shared" si="50"/>
        <v>48.940363583643304</v>
      </c>
      <c r="EK16" s="376">
        <f>Иль!C84</f>
        <v>2221.6653999999999</v>
      </c>
      <c r="EL16" s="383">
        <f>Иль!D84</f>
        <v>789.11573999999996</v>
      </c>
      <c r="EM16" s="368">
        <f t="shared" si="10"/>
        <v>35.519108322972485</v>
      </c>
      <c r="EN16" s="368">
        <f>Иль!C86</f>
        <v>0</v>
      </c>
      <c r="EO16" s="368">
        <f>Иль!D86</f>
        <v>0</v>
      </c>
      <c r="EP16" s="368" t="e">
        <f t="shared" si="11"/>
        <v>#DIV/0!</v>
      </c>
      <c r="EQ16" s="384">
        <f>Иль!C91</f>
        <v>52</v>
      </c>
      <c r="ER16" s="384">
        <f>Иль!D91</f>
        <v>0</v>
      </c>
      <c r="ES16" s="368">
        <f t="shared" si="51"/>
        <v>0</v>
      </c>
      <c r="ET16" s="368">
        <f>Иль!C97</f>
        <v>0</v>
      </c>
      <c r="EU16" s="368">
        <f>Иль!D97</f>
        <v>0</v>
      </c>
      <c r="EV16" s="361" t="e">
        <f t="shared" ref="EV16:EV29" si="52">EU16/ET16*100</f>
        <v>#DIV/0!</v>
      </c>
      <c r="EW16" s="375">
        <f t="shared" si="12"/>
        <v>-513.93217999999797</v>
      </c>
      <c r="EX16" s="375">
        <f t="shared" si="13"/>
        <v>87.568230000000312</v>
      </c>
      <c r="EY16" s="361">
        <f>EX16/EW16*100</f>
        <v>-17.038868825065723</v>
      </c>
      <c r="EZ16" s="164"/>
      <c r="FA16" s="165"/>
      <c r="FC16" s="165"/>
    </row>
    <row r="17" spans="1:170" s="162" customFormat="1" ht="15" customHeight="1">
      <c r="A17" s="407">
        <v>4</v>
      </c>
      <c r="B17" s="409" t="s">
        <v>306</v>
      </c>
      <c r="C17" s="385">
        <f t="shared" si="14"/>
        <v>9023.2805799999987</v>
      </c>
      <c r="D17" s="360">
        <f t="shared" si="0"/>
        <v>2907.90445</v>
      </c>
      <c r="E17" s="368">
        <f t="shared" si="1"/>
        <v>32.22668766884339</v>
      </c>
      <c r="F17" s="362">
        <f t="shared" si="2"/>
        <v>4420.4909999999991</v>
      </c>
      <c r="G17" s="362">
        <f t="shared" si="3"/>
        <v>1221.88545</v>
      </c>
      <c r="H17" s="368">
        <f t="shared" si="15"/>
        <v>27.641396623135311</v>
      </c>
      <c r="I17" s="376">
        <f>Кад!C6</f>
        <v>452.03100000000001</v>
      </c>
      <c r="J17" s="370">
        <f>Кад!D6</f>
        <v>203.05742000000001</v>
      </c>
      <c r="K17" s="368">
        <f t="shared" si="16"/>
        <v>44.921127090841118</v>
      </c>
      <c r="L17" s="368">
        <f>Кад!C8</f>
        <v>266.87</v>
      </c>
      <c r="M17" s="368">
        <f>Кад!D8</f>
        <v>186.30819</v>
      </c>
      <c r="N17" s="361">
        <f t="shared" si="17"/>
        <v>69.812339341252297</v>
      </c>
      <c r="O17" s="361">
        <f>Кад!C9</f>
        <v>2.86</v>
      </c>
      <c r="P17" s="361">
        <f>Кад!D9</f>
        <v>1.4135500000000001</v>
      </c>
      <c r="Q17" s="361">
        <f t="shared" si="18"/>
        <v>49.42482517482518</v>
      </c>
      <c r="R17" s="361">
        <f>Кад!C10</f>
        <v>445.73</v>
      </c>
      <c r="S17" s="361">
        <f>Кад!D10</f>
        <v>258.17426999999998</v>
      </c>
      <c r="T17" s="361">
        <f t="shared" si="19"/>
        <v>57.921672312835113</v>
      </c>
      <c r="U17" s="361">
        <f>Кад!C11</f>
        <v>0</v>
      </c>
      <c r="V17" s="365">
        <f>Кад!D11</f>
        <v>-35.487540000000003</v>
      </c>
      <c r="W17" s="361" t="e">
        <f t="shared" si="20"/>
        <v>#DIV/0!</v>
      </c>
      <c r="X17" s="376">
        <f>Кад!C13</f>
        <v>50</v>
      </c>
      <c r="Y17" s="376">
        <f>Кад!D13</f>
        <v>26.8843</v>
      </c>
      <c r="Z17" s="368">
        <f t="shared" si="21"/>
        <v>53.768599999999999</v>
      </c>
      <c r="AA17" s="376">
        <f>Кад!C15</f>
        <v>338</v>
      </c>
      <c r="AB17" s="367">
        <f>Кад!D15</f>
        <v>36.755789999999998</v>
      </c>
      <c r="AC17" s="368">
        <f t="shared" si="22"/>
        <v>10.874494082840236</v>
      </c>
      <c r="AD17" s="376">
        <f>Кад!C16</f>
        <v>2800</v>
      </c>
      <c r="AE17" s="376">
        <f>Кад!D16</f>
        <v>394.39827000000002</v>
      </c>
      <c r="AF17" s="368">
        <f t="shared" si="4"/>
        <v>14.085652500000002</v>
      </c>
      <c r="AG17" s="368">
        <f>Кад!C18</f>
        <v>25</v>
      </c>
      <c r="AH17" s="368">
        <f>Кад!D18</f>
        <v>11.2</v>
      </c>
      <c r="AI17" s="368">
        <f t="shared" si="23"/>
        <v>44.8</v>
      </c>
      <c r="AJ17" s="368"/>
      <c r="AK17" s="368"/>
      <c r="AL17" s="368" t="e">
        <f t="shared" si="5"/>
        <v>#DIV/0!</v>
      </c>
      <c r="AM17" s="376">
        <v>0</v>
      </c>
      <c r="AN17" s="376">
        <v>0</v>
      </c>
      <c r="AO17" s="368" t="e">
        <f t="shared" si="6"/>
        <v>#DIV/0!</v>
      </c>
      <c r="AP17" s="376">
        <f>Кад!C27</f>
        <v>40</v>
      </c>
      <c r="AQ17" s="377">
        <f>Кад!D27</f>
        <v>94.560379999999995</v>
      </c>
      <c r="AR17" s="368">
        <f t="shared" si="24"/>
        <v>236.40094999999999</v>
      </c>
      <c r="AS17" s="370">
        <f>Кад!C28</f>
        <v>0</v>
      </c>
      <c r="AT17" s="377">
        <f>Кад!D28</f>
        <v>0</v>
      </c>
      <c r="AU17" s="368" t="e">
        <f t="shared" si="25"/>
        <v>#DIV/0!</v>
      </c>
      <c r="AV17" s="376"/>
      <c r="AW17" s="376"/>
      <c r="AX17" s="368" t="e">
        <f t="shared" si="26"/>
        <v>#DIV/0!</v>
      </c>
      <c r="AY17" s="368">
        <f>Кад!C30</f>
        <v>0</v>
      </c>
      <c r="AZ17" s="371">
        <f>Кад!D30</f>
        <v>30.22082</v>
      </c>
      <c r="BA17" s="368" t="e">
        <f t="shared" si="27"/>
        <v>#DIV/0!</v>
      </c>
      <c r="BB17" s="368"/>
      <c r="BC17" s="368"/>
      <c r="BD17" s="368"/>
      <c r="BE17" s="368">
        <f>Кад!C33</f>
        <v>0</v>
      </c>
      <c r="BF17" s="368">
        <f>Кад!D33</f>
        <v>0</v>
      </c>
      <c r="BG17" s="368" t="e">
        <f t="shared" si="28"/>
        <v>#DIV/0!</v>
      </c>
      <c r="BH17" s="368"/>
      <c r="BI17" s="368"/>
      <c r="BJ17" s="368" t="e">
        <f t="shared" si="29"/>
        <v>#DIV/0!</v>
      </c>
      <c r="BK17" s="368"/>
      <c r="BL17" s="368"/>
      <c r="BM17" s="368"/>
      <c r="BN17" s="368"/>
      <c r="BO17" s="379">
        <f>Кад!D34</f>
        <v>0</v>
      </c>
      <c r="BP17" s="361" t="e">
        <f t="shared" si="30"/>
        <v>#DIV/0!</v>
      </c>
      <c r="BQ17" s="368">
        <f>Кад!C36</f>
        <v>0</v>
      </c>
      <c r="BR17" s="368">
        <f>Кад!D36</f>
        <v>14.4</v>
      </c>
      <c r="BS17" s="368" t="e">
        <f t="shared" si="31"/>
        <v>#DIV/0!</v>
      </c>
      <c r="BT17" s="368"/>
      <c r="BU17" s="368"/>
      <c r="BV17" s="380" t="e">
        <f t="shared" si="32"/>
        <v>#DIV/0!</v>
      </c>
      <c r="BW17" s="380"/>
      <c r="BX17" s="380"/>
      <c r="BY17" s="380" t="e">
        <f t="shared" si="33"/>
        <v>#DIV/0!</v>
      </c>
      <c r="BZ17" s="366">
        <f t="shared" si="34"/>
        <v>4602.7895800000006</v>
      </c>
      <c r="CA17" s="366">
        <f t="shared" si="35"/>
        <v>1686.019</v>
      </c>
      <c r="CB17" s="368">
        <f>CA17/BZ17*100</f>
        <v>36.630373183385885</v>
      </c>
      <c r="CC17" s="368">
        <v>1101.0999999999999</v>
      </c>
      <c r="CD17" s="368">
        <f>Кад!D41</f>
        <v>1101.0999999999999</v>
      </c>
      <c r="CE17" s="368">
        <f t="shared" si="36"/>
        <v>100</v>
      </c>
      <c r="CF17" s="368">
        <v>50</v>
      </c>
      <c r="CG17" s="368">
        <f>Кад!D42</f>
        <v>0</v>
      </c>
      <c r="CH17" s="368">
        <f t="shared" si="37"/>
        <v>0</v>
      </c>
      <c r="CI17" s="361">
        <f>Кад!C43</f>
        <v>2973.0091900000002</v>
      </c>
      <c r="CJ17" s="368">
        <f>Кад!D43</f>
        <v>361.47</v>
      </c>
      <c r="CK17" s="368">
        <f t="shared" si="7"/>
        <v>12.158388249045405</v>
      </c>
      <c r="CL17" s="368">
        <f>Кад!C45</f>
        <v>182.38900000000001</v>
      </c>
      <c r="CM17" s="368">
        <f>Кад!D45</f>
        <v>89.649000000000001</v>
      </c>
      <c r="CN17" s="368">
        <f t="shared" si="8"/>
        <v>49.15263530147103</v>
      </c>
      <c r="CO17" s="368">
        <f>Кад!C46</f>
        <v>293.8</v>
      </c>
      <c r="CP17" s="368">
        <v>133.80000000000001</v>
      </c>
      <c r="CQ17" s="368"/>
      <c r="CR17" s="382">
        <f>Кад!C47</f>
        <v>2.49139</v>
      </c>
      <c r="CS17" s="368">
        <f>Кад!D47</f>
        <v>0</v>
      </c>
      <c r="CT17" s="368">
        <f t="shared" si="9"/>
        <v>0</v>
      </c>
      <c r="CU17" s="368"/>
      <c r="CV17" s="368"/>
      <c r="CW17" s="368"/>
      <c r="CX17" s="376"/>
      <c r="CY17" s="376"/>
      <c r="CZ17" s="368" t="e">
        <f t="shared" si="38"/>
        <v>#DIV/0!</v>
      </c>
      <c r="DA17" s="368"/>
      <c r="DB17" s="368"/>
      <c r="DC17" s="368"/>
      <c r="DD17" s="368"/>
      <c r="DE17" s="368"/>
      <c r="DF17" s="368"/>
      <c r="DG17" s="370">
        <f t="shared" si="39"/>
        <v>9929.6661299999996</v>
      </c>
      <c r="DH17" s="370">
        <f t="shared" si="39"/>
        <v>3505.9856499999996</v>
      </c>
      <c r="DI17" s="368">
        <f t="shared" si="40"/>
        <v>35.308192683413012</v>
      </c>
      <c r="DJ17" s="376">
        <f t="shared" si="41"/>
        <v>1662.1209999999999</v>
      </c>
      <c r="DK17" s="376">
        <f t="shared" si="41"/>
        <v>680.77819999999997</v>
      </c>
      <c r="DL17" s="368">
        <f t="shared" si="42"/>
        <v>40.958401945466065</v>
      </c>
      <c r="DM17" s="368">
        <f>Кад!C57</f>
        <v>1582.0709999999999</v>
      </c>
      <c r="DN17" s="368">
        <f>Кад!D57</f>
        <v>625.72820000000002</v>
      </c>
      <c r="DO17" s="368">
        <f t="shared" si="43"/>
        <v>39.551208510869614</v>
      </c>
      <c r="DP17" s="368">
        <f>Кад!C60</f>
        <v>0</v>
      </c>
      <c r="DQ17" s="368">
        <f>Кад!D60</f>
        <v>0</v>
      </c>
      <c r="DR17" s="368" t="e">
        <f t="shared" si="44"/>
        <v>#DIV/0!</v>
      </c>
      <c r="DS17" s="368">
        <f>Кад!C61</f>
        <v>5</v>
      </c>
      <c r="DT17" s="368">
        <f>Кад!D61</f>
        <v>0</v>
      </c>
      <c r="DU17" s="368">
        <f t="shared" si="45"/>
        <v>0</v>
      </c>
      <c r="DV17" s="368">
        <f>Кад!C62</f>
        <v>75.05</v>
      </c>
      <c r="DW17" s="368">
        <f>Кад!D62</f>
        <v>55.05</v>
      </c>
      <c r="DX17" s="368">
        <f t="shared" si="46"/>
        <v>73.351099267155234</v>
      </c>
      <c r="DY17" s="368">
        <f>Кад!C64</f>
        <v>179.892</v>
      </c>
      <c r="DZ17" s="368">
        <f>Кад!D64</f>
        <v>78.58493</v>
      </c>
      <c r="EA17" s="368">
        <f t="shared" si="47"/>
        <v>43.684505147532967</v>
      </c>
      <c r="EB17" s="368">
        <f>Кад!C65</f>
        <v>6.8</v>
      </c>
      <c r="EC17" s="368">
        <f>Кад!D65</f>
        <v>0.6</v>
      </c>
      <c r="ED17" s="368">
        <f t="shared" si="48"/>
        <v>8.8235294117647065</v>
      </c>
      <c r="EE17" s="376">
        <f>Кад!C71</f>
        <v>4768.7961299999997</v>
      </c>
      <c r="EF17" s="376">
        <f>Кад!D71</f>
        <v>1606.55945</v>
      </c>
      <c r="EG17" s="368">
        <f t="shared" si="49"/>
        <v>33.688994165493924</v>
      </c>
      <c r="EH17" s="376">
        <f>Кад!C76</f>
        <v>1023.457</v>
      </c>
      <c r="EI17" s="376">
        <f>Кад!D76</f>
        <v>572.46307000000002</v>
      </c>
      <c r="EJ17" s="368">
        <f t="shared" si="50"/>
        <v>55.934257130490096</v>
      </c>
      <c r="EK17" s="376">
        <f>Кад!C80</f>
        <v>2287.6</v>
      </c>
      <c r="EL17" s="383">
        <f>Кад!D80</f>
        <v>567</v>
      </c>
      <c r="EM17" s="368">
        <f t="shared" si="10"/>
        <v>24.785801713586292</v>
      </c>
      <c r="EN17" s="368">
        <f>Кад!C82</f>
        <v>0</v>
      </c>
      <c r="EO17" s="368">
        <f>Кад!D82</f>
        <v>0</v>
      </c>
      <c r="EP17" s="368" t="e">
        <f t="shared" si="11"/>
        <v>#DIV/0!</v>
      </c>
      <c r="EQ17" s="384">
        <f>Кад!C87</f>
        <v>1</v>
      </c>
      <c r="ER17" s="384">
        <f>Кад!D87</f>
        <v>0</v>
      </c>
      <c r="ES17" s="368">
        <f t="shared" si="51"/>
        <v>0</v>
      </c>
      <c r="ET17" s="368">
        <f>Кад!C93</f>
        <v>0</v>
      </c>
      <c r="EU17" s="368">
        <f>Кад!D93</f>
        <v>0</v>
      </c>
      <c r="EV17" s="361" t="e">
        <f t="shared" si="52"/>
        <v>#DIV/0!</v>
      </c>
      <c r="EW17" s="375">
        <f t="shared" si="12"/>
        <v>-906.38555000000088</v>
      </c>
      <c r="EX17" s="375">
        <f t="shared" si="13"/>
        <v>-598.08119999999963</v>
      </c>
      <c r="EY17" s="361">
        <f>EX17/EW17*100</f>
        <v>65.985297316357162</v>
      </c>
      <c r="EZ17" s="164"/>
      <c r="FA17" s="165"/>
      <c r="FC17" s="165"/>
    </row>
    <row r="18" spans="1:170" s="187" customFormat="1" ht="15" customHeight="1">
      <c r="A18" s="410">
        <v>5</v>
      </c>
      <c r="B18" s="411" t="s">
        <v>307</v>
      </c>
      <c r="C18" s="387">
        <f t="shared" si="14"/>
        <v>19010.652040000001</v>
      </c>
      <c r="D18" s="388">
        <f t="shared" si="0"/>
        <v>5350.1901800000005</v>
      </c>
      <c r="E18" s="371">
        <f t="shared" si="1"/>
        <v>28.143117704446713</v>
      </c>
      <c r="F18" s="389">
        <f t="shared" si="2"/>
        <v>4744.2569999999996</v>
      </c>
      <c r="G18" s="389">
        <f t="shared" si="3"/>
        <v>1630.8715</v>
      </c>
      <c r="H18" s="371">
        <f t="shared" si="15"/>
        <v>34.375698871287966</v>
      </c>
      <c r="I18" s="364">
        <f>Мор!C6</f>
        <v>1755.837</v>
      </c>
      <c r="J18" s="364">
        <f>Мор!D6</f>
        <v>825.33326</v>
      </c>
      <c r="K18" s="371">
        <f t="shared" si="16"/>
        <v>47.005118356658393</v>
      </c>
      <c r="L18" s="371">
        <f>Мор!C8</f>
        <v>131.83000000000001</v>
      </c>
      <c r="M18" s="371">
        <f>Мор!D8</f>
        <v>92.031739999999999</v>
      </c>
      <c r="N18" s="371">
        <f t="shared" si="17"/>
        <v>69.810923158613363</v>
      </c>
      <c r="O18" s="371">
        <f>Мор!C9</f>
        <v>1.41</v>
      </c>
      <c r="P18" s="371">
        <f>Мор!D9</f>
        <v>0.69825999999999999</v>
      </c>
      <c r="Q18" s="371">
        <f t="shared" si="18"/>
        <v>49.521985815602839</v>
      </c>
      <c r="R18" s="371">
        <f>Мор!C10</f>
        <v>220.18</v>
      </c>
      <c r="S18" s="371">
        <f>Мор!D10</f>
        <v>127.53185999999999</v>
      </c>
      <c r="T18" s="371">
        <f t="shared" si="19"/>
        <v>57.921636842583332</v>
      </c>
      <c r="U18" s="371">
        <f>Мор!C11</f>
        <v>0</v>
      </c>
      <c r="V18" s="390">
        <f>Мор!D11</f>
        <v>-17.529969999999999</v>
      </c>
      <c r="W18" s="371" t="e">
        <f t="shared" si="20"/>
        <v>#DIV/0!</v>
      </c>
      <c r="X18" s="370">
        <f>Мор!C13</f>
        <v>75</v>
      </c>
      <c r="Y18" s="370">
        <f>Мор!D13</f>
        <v>74.869259999999997</v>
      </c>
      <c r="Z18" s="371">
        <f t="shared" si="21"/>
        <v>99.825679999999991</v>
      </c>
      <c r="AA18" s="370">
        <f>Мор!C15</f>
        <v>900</v>
      </c>
      <c r="AB18" s="367">
        <f>Мор!D15</f>
        <v>83.15034</v>
      </c>
      <c r="AC18" s="371">
        <f t="shared" si="22"/>
        <v>9.2389266666666661</v>
      </c>
      <c r="AD18" s="370">
        <f>Мор!C16</f>
        <v>1660</v>
      </c>
      <c r="AE18" s="370">
        <f>Мор!D16</f>
        <v>444.78674999999998</v>
      </c>
      <c r="AF18" s="371">
        <f t="shared" si="4"/>
        <v>26.79438253012048</v>
      </c>
      <c r="AG18" s="371">
        <f>Мор!C18</f>
        <v>0</v>
      </c>
      <c r="AH18" s="371">
        <f>Мор!D18</f>
        <v>0</v>
      </c>
      <c r="AI18" s="371" t="e">
        <f t="shared" si="23"/>
        <v>#DIV/0!</v>
      </c>
      <c r="AJ18" s="371">
        <f>Мор!C22</f>
        <v>0</v>
      </c>
      <c r="AK18" s="371">
        <f>Мор!D22</f>
        <v>0</v>
      </c>
      <c r="AL18" s="371" t="e">
        <f t="shared" si="5"/>
        <v>#DIV/0!</v>
      </c>
      <c r="AM18" s="370">
        <v>0</v>
      </c>
      <c r="AN18" s="370"/>
      <c r="AO18" s="371" t="e">
        <f t="shared" si="6"/>
        <v>#DIV/0!</v>
      </c>
      <c r="AP18" s="370">
        <f>Мор!C27</f>
        <v>0</v>
      </c>
      <c r="AQ18" s="377">
        <f>Мор!D27</f>
        <v>0</v>
      </c>
      <c r="AR18" s="371" t="e">
        <f t="shared" si="24"/>
        <v>#DIV/0!</v>
      </c>
      <c r="AS18" s="370">
        <f>Мор!C28</f>
        <v>0</v>
      </c>
      <c r="AT18" s="367">
        <f>Мор!D28</f>
        <v>0</v>
      </c>
      <c r="AU18" s="371" t="e">
        <f t="shared" si="25"/>
        <v>#DIV/0!</v>
      </c>
      <c r="AV18" s="370"/>
      <c r="AW18" s="370"/>
      <c r="AX18" s="371" t="e">
        <f t="shared" si="26"/>
        <v>#DIV/0!</v>
      </c>
      <c r="AY18" s="371">
        <f>Мор!C29</f>
        <v>0</v>
      </c>
      <c r="AZ18" s="371">
        <f>Мор!D29</f>
        <v>0</v>
      </c>
      <c r="BA18" s="371" t="e">
        <f t="shared" si="27"/>
        <v>#DIV/0!</v>
      </c>
      <c r="BB18" s="371"/>
      <c r="BC18" s="371"/>
      <c r="BD18" s="371"/>
      <c r="BE18" s="371">
        <f>Мор!C33</f>
        <v>0</v>
      </c>
      <c r="BF18" s="371">
        <f>Мор!D33</f>
        <v>0</v>
      </c>
      <c r="BG18" s="371" t="e">
        <f>Мор!E33</f>
        <v>#DIV/0!</v>
      </c>
      <c r="BH18" s="371">
        <f>Мор!F33</f>
        <v>0</v>
      </c>
      <c r="BI18" s="371">
        <f>Мор!G33</f>
        <v>0</v>
      </c>
      <c r="BJ18" s="371">
        <f>Мор!H33</f>
        <v>0</v>
      </c>
      <c r="BK18" s="371">
        <f>Мор!I33</f>
        <v>0</v>
      </c>
      <c r="BL18" s="371">
        <f>Мор!J33</f>
        <v>0</v>
      </c>
      <c r="BM18" s="371">
        <f>Мор!K33</f>
        <v>0</v>
      </c>
      <c r="BN18" s="371">
        <f>Мор!C35</f>
        <v>0</v>
      </c>
      <c r="BO18" s="391">
        <f>Мор!D34</f>
        <v>0</v>
      </c>
      <c r="BP18" s="361" t="e">
        <f t="shared" si="30"/>
        <v>#DIV/0!</v>
      </c>
      <c r="BQ18" s="371">
        <f>Мор!C36</f>
        <v>0</v>
      </c>
      <c r="BR18" s="371">
        <f>Мор!D36</f>
        <v>0</v>
      </c>
      <c r="BS18" s="371" t="e">
        <f t="shared" si="31"/>
        <v>#DIV/0!</v>
      </c>
      <c r="BT18" s="371"/>
      <c r="BU18" s="371"/>
      <c r="BV18" s="392" t="e">
        <f t="shared" si="32"/>
        <v>#DIV/0!</v>
      </c>
      <c r="BW18" s="392"/>
      <c r="BX18" s="392"/>
      <c r="BY18" s="392" t="e">
        <f t="shared" si="33"/>
        <v>#DIV/0!</v>
      </c>
      <c r="BZ18" s="370">
        <f t="shared" si="34"/>
        <v>14266.395040000001</v>
      </c>
      <c r="CA18" s="366">
        <f t="shared" si="35"/>
        <v>3719.3186800000003</v>
      </c>
      <c r="CB18" s="371">
        <f t="shared" ref="CB18:CB31" si="53">CA18/BZ18*100</f>
        <v>26.070487110246177</v>
      </c>
      <c r="CC18" s="371">
        <f>Мор!C41</f>
        <v>4687.5</v>
      </c>
      <c r="CD18" s="371">
        <f>Мор!D41</f>
        <v>2343.75</v>
      </c>
      <c r="CE18" s="371">
        <f t="shared" si="36"/>
        <v>50</v>
      </c>
      <c r="CF18" s="371">
        <f>Мор!C42</f>
        <v>0</v>
      </c>
      <c r="CG18" s="371">
        <f>Мор!D42</f>
        <v>0</v>
      </c>
      <c r="CH18" s="371" t="e">
        <f t="shared" si="37"/>
        <v>#DIV/0!</v>
      </c>
      <c r="CI18" s="371">
        <f>Мор!C43</f>
        <v>9100.4907500000008</v>
      </c>
      <c r="CJ18" s="371">
        <f>Мор!D43</f>
        <v>929.66891999999996</v>
      </c>
      <c r="CK18" s="371">
        <f t="shared" si="7"/>
        <v>10.2155910657895</v>
      </c>
      <c r="CL18" s="371">
        <f>Мор!C45</f>
        <v>9.2170000000000005</v>
      </c>
      <c r="CM18" s="371">
        <f>Мор!D45</f>
        <v>1.1948000000000001</v>
      </c>
      <c r="CN18" s="371">
        <f t="shared" si="8"/>
        <v>12.963003146359986</v>
      </c>
      <c r="CO18" s="371">
        <f>Мор!C46</f>
        <v>0</v>
      </c>
      <c r="CP18" s="371">
        <f>Мор!D46</f>
        <v>0</v>
      </c>
      <c r="CQ18" s="371" t="e">
        <f>CP18/CO18*100</f>
        <v>#DIV/0!</v>
      </c>
      <c r="CR18" s="390">
        <f>Мор!C48</f>
        <v>469.18729000000002</v>
      </c>
      <c r="CS18" s="371">
        <f>Мор!D48</f>
        <v>444.70496000000003</v>
      </c>
      <c r="CT18" s="371">
        <f t="shared" si="9"/>
        <v>94.781970756283712</v>
      </c>
      <c r="CU18" s="371"/>
      <c r="CV18" s="371"/>
      <c r="CW18" s="371"/>
      <c r="CX18" s="370"/>
      <c r="CY18" s="370"/>
      <c r="CZ18" s="371" t="e">
        <f t="shared" si="38"/>
        <v>#DIV/0!</v>
      </c>
      <c r="DA18" s="371"/>
      <c r="DB18" s="371"/>
      <c r="DC18" s="371"/>
      <c r="DD18" s="371"/>
      <c r="DE18" s="371"/>
      <c r="DF18" s="371"/>
      <c r="DG18" s="370">
        <f t="shared" si="39"/>
        <v>19565.462599999999</v>
      </c>
      <c r="DH18" s="370">
        <f t="shared" si="39"/>
        <v>5718.0196500000002</v>
      </c>
      <c r="DI18" s="371">
        <f t="shared" si="40"/>
        <v>29.225067492143019</v>
      </c>
      <c r="DJ18" s="370">
        <f t="shared" si="41"/>
        <v>1974.018</v>
      </c>
      <c r="DK18" s="370">
        <f t="shared" si="41"/>
        <v>961.80522999999994</v>
      </c>
      <c r="DL18" s="371">
        <f t="shared" si="42"/>
        <v>48.723224914869064</v>
      </c>
      <c r="DM18" s="371">
        <f>Мор!C58</f>
        <v>1775.1</v>
      </c>
      <c r="DN18" s="371">
        <f>Мор!D58</f>
        <v>821.87915999999996</v>
      </c>
      <c r="DO18" s="371">
        <f t="shared" si="43"/>
        <v>46.300442791955383</v>
      </c>
      <c r="DP18" s="371">
        <f>Мор!C61</f>
        <v>0</v>
      </c>
      <c r="DQ18" s="371">
        <f>Мор!D61</f>
        <v>0</v>
      </c>
      <c r="DR18" s="371" t="e">
        <f t="shared" si="44"/>
        <v>#DIV/0!</v>
      </c>
      <c r="DS18" s="371">
        <f>Мор!C62</f>
        <v>5</v>
      </c>
      <c r="DT18" s="371">
        <f>Мор!D62</f>
        <v>0</v>
      </c>
      <c r="DU18" s="371">
        <f t="shared" si="45"/>
        <v>0</v>
      </c>
      <c r="DV18" s="371">
        <f>Мор!C63</f>
        <v>193.91800000000001</v>
      </c>
      <c r="DW18" s="371">
        <f>Мор!D63</f>
        <v>139.92607000000001</v>
      </c>
      <c r="DX18" s="371">
        <f t="shared" si="46"/>
        <v>72.157339700285689</v>
      </c>
      <c r="DY18" s="371">
        <f>Мор!C64</f>
        <v>0</v>
      </c>
      <c r="DZ18" s="371">
        <f>Мор!D64</f>
        <v>0</v>
      </c>
      <c r="EA18" s="371" t="e">
        <f t="shared" si="47"/>
        <v>#DIV/0!</v>
      </c>
      <c r="EB18" s="371">
        <f>Мор!C66</f>
        <v>36.4</v>
      </c>
      <c r="EC18" s="371">
        <f>Мор!D66</f>
        <v>0</v>
      </c>
      <c r="ED18" s="371">
        <f t="shared" si="48"/>
        <v>0</v>
      </c>
      <c r="EE18" s="370">
        <f>Мор!C72</f>
        <v>3958.7777000000001</v>
      </c>
      <c r="EF18" s="370">
        <f>Мор!D72</f>
        <v>1671.7032100000001</v>
      </c>
      <c r="EG18" s="371">
        <f t="shared" si="49"/>
        <v>42.22776161439932</v>
      </c>
      <c r="EH18" s="370">
        <f>Мор!C77</f>
        <v>9856.2669000000005</v>
      </c>
      <c r="EI18" s="370">
        <f>Мор!D77</f>
        <v>1217.0112099999999</v>
      </c>
      <c r="EJ18" s="371">
        <f t="shared" si="50"/>
        <v>12.347587807306637</v>
      </c>
      <c r="EK18" s="370">
        <f>Мор!C81</f>
        <v>3735</v>
      </c>
      <c r="EL18" s="393">
        <f>Мор!D81</f>
        <v>1867.5</v>
      </c>
      <c r="EM18" s="371">
        <f t="shared" si="10"/>
        <v>50</v>
      </c>
      <c r="EN18" s="371">
        <f>Мор!C84</f>
        <v>0</v>
      </c>
      <c r="EO18" s="371">
        <f>Мор!D84</f>
        <v>0</v>
      </c>
      <c r="EP18" s="371" t="e">
        <f t="shared" si="11"/>
        <v>#DIV/0!</v>
      </c>
      <c r="EQ18" s="389">
        <f>Мор!C89</f>
        <v>5</v>
      </c>
      <c r="ER18" s="389">
        <f>Мор!D89</f>
        <v>0</v>
      </c>
      <c r="ES18" s="371">
        <f t="shared" si="51"/>
        <v>0</v>
      </c>
      <c r="ET18" s="371">
        <f>Мор!C95</f>
        <v>0</v>
      </c>
      <c r="EU18" s="371">
        <f>Мор!D95</f>
        <v>0</v>
      </c>
      <c r="EV18" s="371" t="e">
        <f t="shared" si="52"/>
        <v>#DIV/0!</v>
      </c>
      <c r="EW18" s="394">
        <f t="shared" si="12"/>
        <v>-554.81055999999808</v>
      </c>
      <c r="EX18" s="394">
        <f t="shared" si="13"/>
        <v>-367.82946999999967</v>
      </c>
      <c r="EY18" s="371">
        <f t="shared" ref="EY18:EY30" si="54">EX18/EW18*100</f>
        <v>66.298209969183162</v>
      </c>
      <c r="EZ18" s="185"/>
      <c r="FA18" s="186"/>
      <c r="FC18" s="186"/>
    </row>
    <row r="19" spans="1:170" s="281" customFormat="1" ht="15" customHeight="1">
      <c r="A19" s="412">
        <v>6</v>
      </c>
      <c r="B19" s="409" t="s">
        <v>308</v>
      </c>
      <c r="C19" s="385">
        <f t="shared" si="14"/>
        <v>10569.22371</v>
      </c>
      <c r="D19" s="360">
        <f t="shared" si="0"/>
        <v>2812.8136400000003</v>
      </c>
      <c r="E19" s="368">
        <f t="shared" si="1"/>
        <v>26.613247265631017</v>
      </c>
      <c r="F19" s="384">
        <f t="shared" si="2"/>
        <v>4541.1550000000007</v>
      </c>
      <c r="G19" s="384">
        <f t="shared" si="3"/>
        <v>1659.2681700000001</v>
      </c>
      <c r="H19" s="368">
        <f t="shared" si="15"/>
        <v>36.538461470705137</v>
      </c>
      <c r="I19" s="376">
        <f>Мос!C6</f>
        <v>1300.26</v>
      </c>
      <c r="J19" s="370">
        <f>Мос!D6</f>
        <v>719.22883000000002</v>
      </c>
      <c r="K19" s="368">
        <f t="shared" si="16"/>
        <v>55.314231769030812</v>
      </c>
      <c r="L19" s="368">
        <f>Мос!C8</f>
        <v>248.38</v>
      </c>
      <c r="M19" s="368">
        <f>Мос!D8</f>
        <v>173.40131</v>
      </c>
      <c r="N19" s="368">
        <f t="shared" si="17"/>
        <v>69.812911667606087</v>
      </c>
      <c r="O19" s="368">
        <f>Мос!C9</f>
        <v>2.665</v>
      </c>
      <c r="P19" s="368">
        <f>Мос!D9</f>
        <v>1.3156000000000001</v>
      </c>
      <c r="Q19" s="368">
        <f t="shared" si="18"/>
        <v>49.365853658536594</v>
      </c>
      <c r="R19" s="368">
        <f>Мос!C10</f>
        <v>414.85</v>
      </c>
      <c r="S19" s="368">
        <f>Мос!D10</f>
        <v>240.28870000000001</v>
      </c>
      <c r="T19" s="368">
        <f t="shared" si="19"/>
        <v>57.921827166445702</v>
      </c>
      <c r="U19" s="368">
        <f>Мос!C11</f>
        <v>0</v>
      </c>
      <c r="V19" s="382">
        <f>Мос!D11</f>
        <v>-33.029029999999999</v>
      </c>
      <c r="W19" s="368" t="e">
        <f t="shared" si="20"/>
        <v>#DIV/0!</v>
      </c>
      <c r="X19" s="376">
        <f>Мос!C13</f>
        <v>30</v>
      </c>
      <c r="Y19" s="376">
        <f>Мос!D13</f>
        <v>27.633299999999998</v>
      </c>
      <c r="Z19" s="368">
        <f t="shared" si="21"/>
        <v>92.111000000000004</v>
      </c>
      <c r="AA19" s="376">
        <f>Мос!C15</f>
        <v>295</v>
      </c>
      <c r="AB19" s="367">
        <f>Мос!D15</f>
        <v>11.143840000000001</v>
      </c>
      <c r="AC19" s="368">
        <f t="shared" si="22"/>
        <v>3.7775728813559324</v>
      </c>
      <c r="AD19" s="376">
        <f>Мос!C16</f>
        <v>2240</v>
      </c>
      <c r="AE19" s="376">
        <f>Мос!D16</f>
        <v>497.87166000000002</v>
      </c>
      <c r="AF19" s="368">
        <f t="shared" si="4"/>
        <v>22.226413392857143</v>
      </c>
      <c r="AG19" s="368">
        <f>Мос!C18</f>
        <v>10</v>
      </c>
      <c r="AH19" s="368">
        <f>Мос!D18</f>
        <v>3.9</v>
      </c>
      <c r="AI19" s="368">
        <f t="shared" si="23"/>
        <v>39</v>
      </c>
      <c r="AJ19" s="368"/>
      <c r="AK19" s="368"/>
      <c r="AL19" s="368" t="e">
        <f t="shared" si="5"/>
        <v>#DIV/0!</v>
      </c>
      <c r="AM19" s="376">
        <f>Мос!C27</f>
        <v>0</v>
      </c>
      <c r="AN19" s="376">
        <f>Мос!D27</f>
        <v>0</v>
      </c>
      <c r="AO19" s="368" t="e">
        <f t="shared" si="6"/>
        <v>#DIV/0!</v>
      </c>
      <c r="AP19" s="376">
        <v>0</v>
      </c>
      <c r="AQ19" s="377">
        <f>Мос!D27</f>
        <v>0</v>
      </c>
      <c r="AR19" s="368" t="e">
        <f t="shared" si="24"/>
        <v>#DIV/0!</v>
      </c>
      <c r="AS19" s="376">
        <f>Мос!C26</f>
        <v>0</v>
      </c>
      <c r="AT19" s="377">
        <f>Мос!D28</f>
        <v>0</v>
      </c>
      <c r="AU19" s="368" t="e">
        <f t="shared" si="25"/>
        <v>#DIV/0!</v>
      </c>
      <c r="AV19" s="376"/>
      <c r="AW19" s="376"/>
      <c r="AX19" s="368" t="e">
        <f t="shared" si="26"/>
        <v>#DIV/0!</v>
      </c>
      <c r="AY19" s="368">
        <f>Мос!C30</f>
        <v>0</v>
      </c>
      <c r="AZ19" s="371">
        <f>Мос!D30</f>
        <v>0</v>
      </c>
      <c r="BA19" s="368" t="e">
        <f t="shared" si="27"/>
        <v>#DIV/0!</v>
      </c>
      <c r="BB19" s="368"/>
      <c r="BC19" s="368"/>
      <c r="BD19" s="368"/>
      <c r="BE19" s="368">
        <f>Мос!C33</f>
        <v>0</v>
      </c>
      <c r="BF19" s="368">
        <f>Мос!D33</f>
        <v>0</v>
      </c>
      <c r="BG19" s="368" t="e">
        <f t="shared" si="28"/>
        <v>#DIV/0!</v>
      </c>
      <c r="BH19" s="368"/>
      <c r="BI19" s="368"/>
      <c r="BJ19" s="368" t="e">
        <f t="shared" si="29"/>
        <v>#DIV/0!</v>
      </c>
      <c r="BK19" s="368"/>
      <c r="BL19" s="368"/>
      <c r="BM19" s="368"/>
      <c r="BN19" s="368"/>
      <c r="BO19" s="379">
        <f>Мос!D35</f>
        <v>17.513960000000001</v>
      </c>
      <c r="BP19" s="361" t="e">
        <f t="shared" si="30"/>
        <v>#DIV/0!</v>
      </c>
      <c r="BQ19" s="368">
        <f>Мос!C36</f>
        <v>0</v>
      </c>
      <c r="BR19" s="368">
        <f>Мос!D36</f>
        <v>0</v>
      </c>
      <c r="BS19" s="368" t="e">
        <f t="shared" si="31"/>
        <v>#DIV/0!</v>
      </c>
      <c r="BT19" s="368"/>
      <c r="BU19" s="368"/>
      <c r="BV19" s="380" t="e">
        <f t="shared" si="32"/>
        <v>#DIV/0!</v>
      </c>
      <c r="BW19" s="380"/>
      <c r="BX19" s="380"/>
      <c r="BY19" s="380" t="e">
        <f t="shared" si="33"/>
        <v>#DIV/0!</v>
      </c>
      <c r="BZ19" s="376">
        <f t="shared" si="34"/>
        <v>6028.0687099999996</v>
      </c>
      <c r="CA19" s="376">
        <f t="shared" si="35"/>
        <v>1153.54547</v>
      </c>
      <c r="CB19" s="368">
        <f t="shared" si="53"/>
        <v>19.136236255674667</v>
      </c>
      <c r="CC19" s="368">
        <v>0</v>
      </c>
      <c r="CD19" s="368">
        <f>Мос!D41</f>
        <v>0</v>
      </c>
      <c r="CE19" s="368" t="e">
        <f>CD19/CC19*100</f>
        <v>#DIV/0!</v>
      </c>
      <c r="CF19" s="368">
        <v>200</v>
      </c>
      <c r="CG19" s="368">
        <f>Мос!D42</f>
        <v>0</v>
      </c>
      <c r="CH19" s="368">
        <f t="shared" si="37"/>
        <v>0</v>
      </c>
      <c r="CI19" s="368">
        <f>Мос!C43</f>
        <v>4758.9176399999997</v>
      </c>
      <c r="CJ19" s="368">
        <f>Мос!D43</f>
        <v>175.83</v>
      </c>
      <c r="CK19" s="368">
        <f t="shared" si="7"/>
        <v>3.6947476989746777</v>
      </c>
      <c r="CL19" s="368">
        <f>Мос!C45</f>
        <v>181.68199999999999</v>
      </c>
      <c r="CM19" s="368">
        <f>Мос!D45</f>
        <v>90.246399999999994</v>
      </c>
      <c r="CN19" s="368">
        <f t="shared" si="8"/>
        <v>49.672724870928327</v>
      </c>
      <c r="CO19" s="368">
        <f>Мос!C48</f>
        <v>0</v>
      </c>
      <c r="CP19" s="368">
        <f>Мос!D46</f>
        <v>0</v>
      </c>
      <c r="CQ19" s="368" t="e">
        <f>CP19/CO19*100</f>
        <v>#DIV/0!</v>
      </c>
      <c r="CR19" s="382">
        <f>Мос!C51</f>
        <v>887.46906999999999</v>
      </c>
      <c r="CS19" s="368">
        <f>Мос!D51</f>
        <v>887.46906999999999</v>
      </c>
      <c r="CT19" s="368">
        <f t="shared" si="9"/>
        <v>100</v>
      </c>
      <c r="CU19" s="368"/>
      <c r="CV19" s="368"/>
      <c r="CW19" s="368"/>
      <c r="CX19" s="376"/>
      <c r="CY19" s="376"/>
      <c r="CZ19" s="368" t="e">
        <f t="shared" si="38"/>
        <v>#DIV/0!</v>
      </c>
      <c r="DA19" s="368"/>
      <c r="DB19" s="368"/>
      <c r="DC19" s="368"/>
      <c r="DD19" s="368"/>
      <c r="DE19" s="368"/>
      <c r="DF19" s="368"/>
      <c r="DG19" s="370">
        <f t="shared" si="39"/>
        <v>11354.41934</v>
      </c>
      <c r="DH19" s="370">
        <f t="shared" si="39"/>
        <v>1848.3981000000003</v>
      </c>
      <c r="DI19" s="368">
        <f t="shared" si="40"/>
        <v>16.279107232620497</v>
      </c>
      <c r="DJ19" s="376">
        <f t="shared" si="41"/>
        <v>2124.7999999999997</v>
      </c>
      <c r="DK19" s="376">
        <f t="shared" si="41"/>
        <v>862.62648000000002</v>
      </c>
      <c r="DL19" s="368">
        <f t="shared" si="42"/>
        <v>40.598008283132536</v>
      </c>
      <c r="DM19" s="368">
        <f>Мос!C59</f>
        <v>2115.3229999999999</v>
      </c>
      <c r="DN19" s="368">
        <f>Мос!D59</f>
        <v>858.14948000000004</v>
      </c>
      <c r="DO19" s="368">
        <f t="shared" si="43"/>
        <v>40.568247969695413</v>
      </c>
      <c r="DP19" s="368">
        <f>Мос!C62</f>
        <v>0</v>
      </c>
      <c r="DQ19" s="368">
        <f>Мос!D62</f>
        <v>0</v>
      </c>
      <c r="DR19" s="368" t="e">
        <f t="shared" si="44"/>
        <v>#DIV/0!</v>
      </c>
      <c r="DS19" s="368">
        <f>Мос!C63</f>
        <v>5</v>
      </c>
      <c r="DT19" s="368">
        <f>Мос!D63</f>
        <v>0</v>
      </c>
      <c r="DU19" s="368">
        <f t="shared" si="45"/>
        <v>0</v>
      </c>
      <c r="DV19" s="368">
        <f>Мос!C64</f>
        <v>4.4770000000000003</v>
      </c>
      <c r="DW19" s="368">
        <f>Мос!D64</f>
        <v>4.4770000000000003</v>
      </c>
      <c r="DX19" s="368">
        <f t="shared" si="46"/>
        <v>100</v>
      </c>
      <c r="DY19" s="368">
        <f>Мос!C66</f>
        <v>179.892</v>
      </c>
      <c r="DZ19" s="368">
        <f>Мос!D66</f>
        <v>73.724000000000004</v>
      </c>
      <c r="EA19" s="368">
        <f t="shared" si="47"/>
        <v>40.98236719809664</v>
      </c>
      <c r="EB19" s="368">
        <f>Мос!C67</f>
        <v>9</v>
      </c>
      <c r="EC19" s="368">
        <f>Мос!D67</f>
        <v>1.2</v>
      </c>
      <c r="ED19" s="368">
        <f t="shared" si="48"/>
        <v>13.333333333333334</v>
      </c>
      <c r="EE19" s="376">
        <f>Мос!C73</f>
        <v>6768.4988400000002</v>
      </c>
      <c r="EF19" s="376">
        <f>Мос!D73</f>
        <v>412.80754000000002</v>
      </c>
      <c r="EG19" s="368">
        <f t="shared" si="49"/>
        <v>6.0989526593462493</v>
      </c>
      <c r="EH19" s="376">
        <f>Мос!C78</f>
        <v>830.52850000000001</v>
      </c>
      <c r="EI19" s="376">
        <f>Мос!D78</f>
        <v>252.75608</v>
      </c>
      <c r="EJ19" s="368">
        <f t="shared" si="50"/>
        <v>30.433161535094822</v>
      </c>
      <c r="EK19" s="376">
        <f>Мос!C83</f>
        <v>1411.7</v>
      </c>
      <c r="EL19" s="383">
        <f>Мос!D83</f>
        <v>235.28399999999999</v>
      </c>
      <c r="EM19" s="368">
        <f t="shared" si="10"/>
        <v>16.666713891053337</v>
      </c>
      <c r="EN19" s="368">
        <f>Мос!C91</f>
        <v>0</v>
      </c>
      <c r="EO19" s="368">
        <f>Мос!D91</f>
        <v>0</v>
      </c>
      <c r="EP19" s="368" t="e">
        <f t="shared" si="11"/>
        <v>#DIV/0!</v>
      </c>
      <c r="EQ19" s="384">
        <f>Мос!C93</f>
        <v>30</v>
      </c>
      <c r="ER19" s="384">
        <f>Мос!D93</f>
        <v>10</v>
      </c>
      <c r="ES19" s="368">
        <f t="shared" si="51"/>
        <v>33.333333333333329</v>
      </c>
      <c r="ET19" s="368">
        <f>Мос!C99</f>
        <v>0</v>
      </c>
      <c r="EU19" s="368">
        <f>Мос!D99</f>
        <v>0</v>
      </c>
      <c r="EV19" s="368" t="e">
        <f t="shared" si="52"/>
        <v>#DIV/0!</v>
      </c>
      <c r="EW19" s="395">
        <f t="shared" si="12"/>
        <v>-785.19563000000016</v>
      </c>
      <c r="EX19" s="395">
        <f t="shared" si="13"/>
        <v>964.41553999999996</v>
      </c>
      <c r="EY19" s="368">
        <f t="shared" si="54"/>
        <v>-122.82487359233008</v>
      </c>
      <c r="EZ19" s="279"/>
      <c r="FA19" s="280"/>
      <c r="FC19" s="280"/>
    </row>
    <row r="20" spans="1:170" s="162" customFormat="1" ht="15" customHeight="1">
      <c r="A20" s="407">
        <v>7</v>
      </c>
      <c r="B20" s="409" t="s">
        <v>309</v>
      </c>
      <c r="C20" s="359">
        <f t="shared" si="14"/>
        <v>6004.6009999999997</v>
      </c>
      <c r="D20" s="360">
        <f t="shared" si="0"/>
        <v>1632.8388299999999</v>
      </c>
      <c r="E20" s="368">
        <f t="shared" si="1"/>
        <v>27.193127903086317</v>
      </c>
      <c r="F20" s="362">
        <f t="shared" si="2"/>
        <v>2674.6179999999999</v>
      </c>
      <c r="G20" s="362">
        <f t="shared" si="3"/>
        <v>547.98282999999992</v>
      </c>
      <c r="H20" s="368">
        <f t="shared" si="15"/>
        <v>20.488265240120267</v>
      </c>
      <c r="I20" s="386">
        <f>Ори!C6</f>
        <v>244.083</v>
      </c>
      <c r="J20" s="364">
        <f>Ори!D6</f>
        <v>91.060739999999996</v>
      </c>
      <c r="K20" s="368">
        <f t="shared" si="16"/>
        <v>37.307284817049933</v>
      </c>
      <c r="L20" s="368">
        <f>Ори!C8</f>
        <v>158.35</v>
      </c>
      <c r="M20" s="368">
        <f>Ори!D8</f>
        <v>110.55034000000001</v>
      </c>
      <c r="N20" s="361">
        <f t="shared" si="17"/>
        <v>69.813918534891073</v>
      </c>
      <c r="O20" s="361">
        <f>Ори!C9</f>
        <v>1.6950000000000001</v>
      </c>
      <c r="P20" s="361">
        <f>Ори!D9</f>
        <v>0.83877000000000002</v>
      </c>
      <c r="Q20" s="361">
        <f t="shared" si="18"/>
        <v>49.484955752212386</v>
      </c>
      <c r="R20" s="361">
        <f>Ори!C10</f>
        <v>264.49</v>
      </c>
      <c r="S20" s="361">
        <f>Ори!D10</f>
        <v>153.19376</v>
      </c>
      <c r="T20" s="361">
        <f t="shared" si="19"/>
        <v>57.920435555219477</v>
      </c>
      <c r="U20" s="361">
        <f>Ори!C11</f>
        <v>0</v>
      </c>
      <c r="V20" s="365">
        <f>Ори!D11</f>
        <v>-21.05735</v>
      </c>
      <c r="W20" s="361" t="e">
        <f t="shared" si="20"/>
        <v>#DIV/0!</v>
      </c>
      <c r="X20" s="376">
        <f>Ори!C13</f>
        <v>40</v>
      </c>
      <c r="Y20" s="376">
        <f>Ори!D13</f>
        <v>9.3778500000000005</v>
      </c>
      <c r="Z20" s="368">
        <f t="shared" si="21"/>
        <v>23.444625000000002</v>
      </c>
      <c r="AA20" s="376">
        <f>Ори!C15</f>
        <v>326</v>
      </c>
      <c r="AB20" s="367">
        <f>Ори!D15</f>
        <v>45.514809999999997</v>
      </c>
      <c r="AC20" s="368">
        <f t="shared" si="22"/>
        <v>13.961598159509201</v>
      </c>
      <c r="AD20" s="376">
        <f>Ори!C16</f>
        <v>1550</v>
      </c>
      <c r="AE20" s="376">
        <f>Ори!D16</f>
        <v>120.42798999999999</v>
      </c>
      <c r="AF20" s="368">
        <f t="shared" si="4"/>
        <v>7.7695477419354839</v>
      </c>
      <c r="AG20" s="368">
        <f>Ори!C18</f>
        <v>10</v>
      </c>
      <c r="AH20" s="368">
        <f>Ори!D18</f>
        <v>2.44</v>
      </c>
      <c r="AI20" s="368">
        <f t="shared" si="23"/>
        <v>24.4</v>
      </c>
      <c r="AJ20" s="368"/>
      <c r="AK20" s="368"/>
      <c r="AL20" s="368" t="e">
        <f t="shared" si="5"/>
        <v>#DIV/0!</v>
      </c>
      <c r="AM20" s="376">
        <v>0</v>
      </c>
      <c r="AN20" s="376">
        <v>0</v>
      </c>
      <c r="AO20" s="368" t="e">
        <f t="shared" si="6"/>
        <v>#DIV/0!</v>
      </c>
      <c r="AP20" s="376">
        <f>Ори!C27</f>
        <v>50</v>
      </c>
      <c r="AQ20" s="377">
        <f>Ори!D27</f>
        <v>4.6500000000000004</v>
      </c>
      <c r="AR20" s="368">
        <f t="shared" si="24"/>
        <v>9.3000000000000007</v>
      </c>
      <c r="AS20" s="370">
        <f>Ори!C28</f>
        <v>30</v>
      </c>
      <c r="AT20" s="377">
        <f>Ори!D28</f>
        <v>22.5</v>
      </c>
      <c r="AU20" s="368">
        <f t="shared" si="25"/>
        <v>75</v>
      </c>
      <c r="AV20" s="376"/>
      <c r="AW20" s="376"/>
      <c r="AX20" s="368" t="e">
        <f t="shared" si="26"/>
        <v>#DIV/0!</v>
      </c>
      <c r="AY20" s="368">
        <f>Ори!C30</f>
        <v>0</v>
      </c>
      <c r="AZ20" s="371">
        <f>Ори!D30</f>
        <v>13.13592</v>
      </c>
      <c r="BA20" s="368" t="e">
        <f t="shared" si="27"/>
        <v>#DIV/0!</v>
      </c>
      <c r="BB20" s="368"/>
      <c r="BC20" s="368"/>
      <c r="BD20" s="368"/>
      <c r="BE20" s="368">
        <f>Ори!C33</f>
        <v>0</v>
      </c>
      <c r="BF20" s="368">
        <f>Ори!D33</f>
        <v>0</v>
      </c>
      <c r="BG20" s="368" t="e">
        <f t="shared" si="28"/>
        <v>#DIV/0!</v>
      </c>
      <c r="BH20" s="368"/>
      <c r="BI20" s="368"/>
      <c r="BJ20" s="368" t="e">
        <f t="shared" si="29"/>
        <v>#DIV/0!</v>
      </c>
      <c r="BK20" s="368"/>
      <c r="BL20" s="368"/>
      <c r="BM20" s="368"/>
      <c r="BN20" s="368"/>
      <c r="BO20" s="379">
        <f>Ори!D34</f>
        <v>0</v>
      </c>
      <c r="BP20" s="361" t="e">
        <f t="shared" si="30"/>
        <v>#DIV/0!</v>
      </c>
      <c r="BQ20" s="368">
        <f>Ори!C36</f>
        <v>0</v>
      </c>
      <c r="BR20" s="368">
        <f>Ори!D36</f>
        <v>-4.6500000000000004</v>
      </c>
      <c r="BS20" s="368" t="e">
        <f t="shared" si="31"/>
        <v>#DIV/0!</v>
      </c>
      <c r="BT20" s="368"/>
      <c r="BU20" s="368"/>
      <c r="BV20" s="380" t="e">
        <f t="shared" si="32"/>
        <v>#DIV/0!</v>
      </c>
      <c r="BW20" s="380"/>
      <c r="BX20" s="380"/>
      <c r="BY20" s="380" t="e">
        <f t="shared" si="33"/>
        <v>#DIV/0!</v>
      </c>
      <c r="BZ20" s="366">
        <f t="shared" si="34"/>
        <v>3329.9829999999997</v>
      </c>
      <c r="CA20" s="366">
        <f t="shared" si="35"/>
        <v>1084.856</v>
      </c>
      <c r="CB20" s="368">
        <f t="shared" si="53"/>
        <v>32.578424574539874</v>
      </c>
      <c r="CC20" s="368">
        <f>Ори!C41</f>
        <v>1462.5</v>
      </c>
      <c r="CD20" s="368">
        <f>Ори!D41</f>
        <v>731.25</v>
      </c>
      <c r="CE20" s="368">
        <f t="shared" si="36"/>
        <v>50</v>
      </c>
      <c r="CF20" s="368">
        <f>Ори!C42</f>
        <v>420</v>
      </c>
      <c r="CG20" s="368">
        <f>Ори!D42</f>
        <v>0</v>
      </c>
      <c r="CH20" s="368">
        <f t="shared" si="37"/>
        <v>0</v>
      </c>
      <c r="CI20" s="368">
        <f>Ори!C43</f>
        <v>1165.08</v>
      </c>
      <c r="CJ20" s="368">
        <f>Ори!D43</f>
        <v>263.95699999999999</v>
      </c>
      <c r="CK20" s="368">
        <f t="shared" si="7"/>
        <v>22.655697462835171</v>
      </c>
      <c r="CL20" s="368">
        <f>Ори!C45</f>
        <v>182.40299999999999</v>
      </c>
      <c r="CM20" s="368">
        <f>Ори!D45</f>
        <v>89.649000000000001</v>
      </c>
      <c r="CN20" s="368">
        <f t="shared" si="8"/>
        <v>49.148862683179559</v>
      </c>
      <c r="CO20" s="368">
        <f>Ори!C46</f>
        <v>100</v>
      </c>
      <c r="CP20" s="368">
        <f>Ори!D46</f>
        <v>0</v>
      </c>
      <c r="CQ20" s="368">
        <f>CP20/CO20*100</f>
        <v>0</v>
      </c>
      <c r="CR20" s="382">
        <f>Ори!C47</f>
        <v>0</v>
      </c>
      <c r="CS20" s="368">
        <f>Ори!D47</f>
        <v>0</v>
      </c>
      <c r="CT20" s="368" t="e">
        <f t="shared" si="9"/>
        <v>#DIV/0!</v>
      </c>
      <c r="CU20" s="368"/>
      <c r="CV20" s="368"/>
      <c r="CW20" s="368"/>
      <c r="CX20" s="376"/>
      <c r="CY20" s="376"/>
      <c r="CZ20" s="368" t="e">
        <f t="shared" si="38"/>
        <v>#DIV/0!</v>
      </c>
      <c r="DA20" s="368"/>
      <c r="DB20" s="368"/>
      <c r="DC20" s="368"/>
      <c r="DD20" s="368"/>
      <c r="DE20" s="368"/>
      <c r="DF20" s="368"/>
      <c r="DG20" s="370">
        <f t="shared" si="39"/>
        <v>6364.4174800000001</v>
      </c>
      <c r="DH20" s="370">
        <f t="shared" si="39"/>
        <v>1902.2280299999998</v>
      </c>
      <c r="DI20" s="368">
        <f t="shared" si="40"/>
        <v>29.888486039416755</v>
      </c>
      <c r="DJ20" s="376">
        <f t="shared" si="41"/>
        <v>1224.2350000000001</v>
      </c>
      <c r="DK20" s="376">
        <f t="shared" si="41"/>
        <v>565.67257999999993</v>
      </c>
      <c r="DL20" s="368">
        <f t="shared" si="42"/>
        <v>46.206208775275975</v>
      </c>
      <c r="DM20" s="368">
        <f>Ори!C58</f>
        <v>1195.0350000000001</v>
      </c>
      <c r="DN20" s="368">
        <f>Ори!D58</f>
        <v>561.63807999999995</v>
      </c>
      <c r="DO20" s="368">
        <f t="shared" si="43"/>
        <v>46.997626010953645</v>
      </c>
      <c r="DP20" s="368">
        <f>Ори!C61</f>
        <v>0</v>
      </c>
      <c r="DQ20" s="368">
        <f>Ори!D61</f>
        <v>0</v>
      </c>
      <c r="DR20" s="368" t="e">
        <f t="shared" si="44"/>
        <v>#DIV/0!</v>
      </c>
      <c r="DS20" s="368">
        <f>Ори!C62</f>
        <v>5</v>
      </c>
      <c r="DT20" s="368">
        <f>Ори!D62</f>
        <v>0</v>
      </c>
      <c r="DU20" s="368">
        <f t="shared" si="45"/>
        <v>0</v>
      </c>
      <c r="DV20" s="368">
        <f>Ори!C63</f>
        <v>24.2</v>
      </c>
      <c r="DW20" s="368">
        <f>Ори!D63</f>
        <v>4.0345000000000004</v>
      </c>
      <c r="DX20" s="368">
        <f t="shared" si="46"/>
        <v>16.671487603305788</v>
      </c>
      <c r="DY20" s="368">
        <f>Ори!C65</f>
        <v>179.892</v>
      </c>
      <c r="DZ20" s="368">
        <f>Ори!D65</f>
        <v>77.444999999999993</v>
      </c>
      <c r="EA20" s="368">
        <f t="shared" si="47"/>
        <v>43.050830498298978</v>
      </c>
      <c r="EB20" s="368">
        <f>Ори!C66</f>
        <v>13.5</v>
      </c>
      <c r="EC20" s="368">
        <f>Ори!D66</f>
        <v>2.95</v>
      </c>
      <c r="ED20" s="368">
        <f t="shared" si="48"/>
        <v>21.851851851851851</v>
      </c>
      <c r="EE20" s="376">
        <f>Ори!C72</f>
        <v>1958.6814800000002</v>
      </c>
      <c r="EF20" s="376">
        <f>Ори!D72</f>
        <v>386.86744999999996</v>
      </c>
      <c r="EG20" s="368">
        <f t="shared" si="49"/>
        <v>19.75142226800449</v>
      </c>
      <c r="EH20" s="376">
        <f>Ори!C77</f>
        <v>1337.009</v>
      </c>
      <c r="EI20" s="376">
        <f>Ори!D77</f>
        <v>241.791</v>
      </c>
      <c r="EJ20" s="368">
        <f t="shared" si="50"/>
        <v>18.084470635575379</v>
      </c>
      <c r="EK20" s="376">
        <f>Ори!C82</f>
        <v>1639.1</v>
      </c>
      <c r="EL20" s="383">
        <f>Ори!D82</f>
        <v>627.50199999999995</v>
      </c>
      <c r="EM20" s="368">
        <f t="shared" si="10"/>
        <v>38.283326215606124</v>
      </c>
      <c r="EN20" s="368">
        <f>Ори!C84</f>
        <v>0</v>
      </c>
      <c r="EO20" s="368">
        <f>Ори!D84</f>
        <v>0</v>
      </c>
      <c r="EP20" s="368" t="e">
        <f t="shared" si="11"/>
        <v>#DIV/0!</v>
      </c>
      <c r="EQ20" s="384">
        <f>Ори!C89</f>
        <v>12</v>
      </c>
      <c r="ER20" s="384">
        <f>Ори!D89</f>
        <v>0</v>
      </c>
      <c r="ES20" s="368">
        <f t="shared" si="51"/>
        <v>0</v>
      </c>
      <c r="ET20" s="368">
        <f>Ори!C95</f>
        <v>0</v>
      </c>
      <c r="EU20" s="368">
        <f>Ори!D95</f>
        <v>0</v>
      </c>
      <c r="EV20" s="361" t="e">
        <f t="shared" si="52"/>
        <v>#DIV/0!</v>
      </c>
      <c r="EW20" s="375">
        <f t="shared" si="12"/>
        <v>-359.81648000000041</v>
      </c>
      <c r="EX20" s="375">
        <f t="shared" si="13"/>
        <v>-269.38919999999985</v>
      </c>
      <c r="EY20" s="361">
        <f t="shared" si="54"/>
        <v>74.868499630700498</v>
      </c>
      <c r="EZ20" s="164"/>
      <c r="FA20" s="165"/>
      <c r="FC20" s="165"/>
      <c r="FF20" s="167"/>
      <c r="FG20" s="167"/>
      <c r="FH20" s="167"/>
      <c r="FI20" s="167"/>
      <c r="FJ20" s="167"/>
      <c r="FK20" s="167"/>
      <c r="FL20" s="167"/>
      <c r="FM20" s="167"/>
      <c r="FN20" s="167"/>
    </row>
    <row r="21" spans="1:170" s="162" customFormat="1" ht="15" customHeight="1">
      <c r="A21" s="407">
        <v>8</v>
      </c>
      <c r="B21" s="409" t="s">
        <v>310</v>
      </c>
      <c r="C21" s="359">
        <f t="shared" si="14"/>
        <v>7421.5149999999994</v>
      </c>
      <c r="D21" s="360">
        <f t="shared" si="0"/>
        <v>2817.6115300000001</v>
      </c>
      <c r="E21" s="368">
        <f t="shared" si="1"/>
        <v>37.965449507277157</v>
      </c>
      <c r="F21" s="362">
        <f t="shared" si="2"/>
        <v>1917.2080000000001</v>
      </c>
      <c r="G21" s="362">
        <f t="shared" si="3"/>
        <v>674.87713000000008</v>
      </c>
      <c r="H21" s="368">
        <f t="shared" si="15"/>
        <v>35.201038697939921</v>
      </c>
      <c r="I21" s="376">
        <f>Сят!C6</f>
        <v>111.54300000000001</v>
      </c>
      <c r="J21" s="370">
        <f>Сят!D6</f>
        <v>68.574650000000005</v>
      </c>
      <c r="K21" s="368">
        <f t="shared" si="16"/>
        <v>61.478219162116851</v>
      </c>
      <c r="L21" s="368">
        <f>Сят!C8</f>
        <v>195.33</v>
      </c>
      <c r="M21" s="368">
        <f>Сят!D8</f>
        <v>136.36412999999999</v>
      </c>
      <c r="N21" s="361">
        <f t="shared" si="17"/>
        <v>69.812179388726761</v>
      </c>
      <c r="O21" s="361">
        <f>Сят!C9</f>
        <v>2.0950000000000002</v>
      </c>
      <c r="P21" s="361">
        <f>Сят!D9</f>
        <v>1.0346200000000001</v>
      </c>
      <c r="Q21" s="361">
        <f t="shared" si="18"/>
        <v>49.385202863961815</v>
      </c>
      <c r="R21" s="361">
        <f>Сят!C10</f>
        <v>326.24</v>
      </c>
      <c r="S21" s="361">
        <f>Сят!D10</f>
        <v>188.96489</v>
      </c>
      <c r="T21" s="361">
        <f t="shared" si="19"/>
        <v>57.922048185384988</v>
      </c>
      <c r="U21" s="361">
        <f>Сят!C11</f>
        <v>0</v>
      </c>
      <c r="V21" s="365">
        <f>Сят!D11</f>
        <v>-25.974309999999999</v>
      </c>
      <c r="W21" s="361" t="e">
        <f t="shared" si="20"/>
        <v>#DIV/0!</v>
      </c>
      <c r="X21" s="376">
        <f>Сят!C13</f>
        <v>45</v>
      </c>
      <c r="Y21" s="376">
        <f>Сят!D13</f>
        <v>98.753339999999994</v>
      </c>
      <c r="Z21" s="368">
        <f t="shared" si="21"/>
        <v>219.45186666666666</v>
      </c>
      <c r="AA21" s="376">
        <f>Сят!C15</f>
        <v>138</v>
      </c>
      <c r="AB21" s="367">
        <f>Сят!D15</f>
        <v>7.8413899999999996</v>
      </c>
      <c r="AC21" s="368">
        <f t="shared" si="22"/>
        <v>5.6821666666666664</v>
      </c>
      <c r="AD21" s="376">
        <f>Сят!C16</f>
        <v>1000</v>
      </c>
      <c r="AE21" s="376">
        <f>Сят!D16</f>
        <v>169.42715000000001</v>
      </c>
      <c r="AF21" s="368">
        <f t="shared" si="4"/>
        <v>16.942715</v>
      </c>
      <c r="AG21" s="368">
        <f>Сят!C18</f>
        <v>10</v>
      </c>
      <c r="AH21" s="368">
        <f>Сят!D18</f>
        <v>3.15</v>
      </c>
      <c r="AI21" s="368">
        <f t="shared" si="23"/>
        <v>31.5</v>
      </c>
      <c r="AJ21" s="368">
        <f>Сят!C22</f>
        <v>0</v>
      </c>
      <c r="AK21" s="368">
        <f>Сят!D20</f>
        <v>0</v>
      </c>
      <c r="AL21" s="368" t="e">
        <f t="shared" si="5"/>
        <v>#DIV/0!</v>
      </c>
      <c r="AM21" s="376">
        <v>0</v>
      </c>
      <c r="AN21" s="376">
        <v>0</v>
      </c>
      <c r="AO21" s="368" t="e">
        <f t="shared" si="6"/>
        <v>#DIV/0!</v>
      </c>
      <c r="AP21" s="376">
        <f>Сят!C27</f>
        <v>83</v>
      </c>
      <c r="AQ21" s="377">
        <f>Сят!D27</f>
        <v>21.01</v>
      </c>
      <c r="AR21" s="368">
        <f t="shared" si="24"/>
        <v>25.313253012048193</v>
      </c>
      <c r="AS21" s="370">
        <f>Сят!C28</f>
        <v>6</v>
      </c>
      <c r="AT21" s="377">
        <f>Сят!D28</f>
        <v>3.3868800000000001</v>
      </c>
      <c r="AU21" s="368">
        <f t="shared" si="25"/>
        <v>56.448</v>
      </c>
      <c r="AV21" s="376"/>
      <c r="AW21" s="376"/>
      <c r="AX21" s="368" t="e">
        <f t="shared" si="26"/>
        <v>#DIV/0!</v>
      </c>
      <c r="AY21" s="368">
        <f>Сят!C30</f>
        <v>0</v>
      </c>
      <c r="AZ21" s="371">
        <f>Сят!D30</f>
        <v>2.3443900000000002</v>
      </c>
      <c r="BA21" s="368" t="e">
        <f t="shared" si="27"/>
        <v>#DIV/0!</v>
      </c>
      <c r="BB21" s="368"/>
      <c r="BC21" s="368"/>
      <c r="BD21" s="368"/>
      <c r="BE21" s="368">
        <f>Сят!C33</f>
        <v>0</v>
      </c>
      <c r="BF21" s="368">
        <f>Сят!D33</f>
        <v>0</v>
      </c>
      <c r="BG21" s="368" t="e">
        <f t="shared" si="28"/>
        <v>#DIV/0!</v>
      </c>
      <c r="BH21" s="368"/>
      <c r="BI21" s="368"/>
      <c r="BJ21" s="368" t="e">
        <f t="shared" si="29"/>
        <v>#DIV/0!</v>
      </c>
      <c r="BK21" s="368"/>
      <c r="BL21" s="368"/>
      <c r="BM21" s="368"/>
      <c r="BN21" s="368">
        <f>Сят!C34</f>
        <v>0</v>
      </c>
      <c r="BO21" s="379">
        <f>Сят!D34</f>
        <v>0</v>
      </c>
      <c r="BP21" s="361" t="e">
        <f t="shared" si="30"/>
        <v>#DIV/0!</v>
      </c>
      <c r="BQ21" s="368">
        <f>Сят!C36</f>
        <v>0</v>
      </c>
      <c r="BR21" s="368">
        <f>Сят!D36</f>
        <v>0</v>
      </c>
      <c r="BS21" s="368" t="e">
        <f t="shared" si="31"/>
        <v>#DIV/0!</v>
      </c>
      <c r="BT21" s="368"/>
      <c r="BU21" s="368"/>
      <c r="BV21" s="380" t="e">
        <f t="shared" si="32"/>
        <v>#DIV/0!</v>
      </c>
      <c r="BW21" s="380"/>
      <c r="BX21" s="380"/>
      <c r="BY21" s="380" t="e">
        <f t="shared" si="33"/>
        <v>#DIV/0!</v>
      </c>
      <c r="BZ21" s="366">
        <f t="shared" si="34"/>
        <v>5504.3069999999998</v>
      </c>
      <c r="CA21" s="366">
        <f t="shared" si="35"/>
        <v>2142.7343999999998</v>
      </c>
      <c r="CB21" s="368">
        <f t="shared" si="53"/>
        <v>38.928322856991805</v>
      </c>
      <c r="CC21" s="368">
        <f>Сят!C41</f>
        <v>2862</v>
      </c>
      <c r="CD21" s="368">
        <f>Сят!D41</f>
        <v>1431</v>
      </c>
      <c r="CE21" s="368">
        <f t="shared" si="36"/>
        <v>50</v>
      </c>
      <c r="CF21" s="368">
        <f>Сят!C42</f>
        <v>0</v>
      </c>
      <c r="CG21" s="368">
        <f>Сят!D42</f>
        <v>0</v>
      </c>
      <c r="CH21" s="368" t="e">
        <f t="shared" si="37"/>
        <v>#DIV/0!</v>
      </c>
      <c r="CI21" s="368">
        <f>Сят!C43</f>
        <v>2060.44</v>
      </c>
      <c r="CJ21" s="368">
        <f>Сят!D43</f>
        <v>396.66399999999999</v>
      </c>
      <c r="CK21" s="368">
        <f t="shared" si="7"/>
        <v>19.251422026363301</v>
      </c>
      <c r="CL21" s="368">
        <f>Сят!C44</f>
        <v>182.04300000000001</v>
      </c>
      <c r="CM21" s="368">
        <f>Сят!D44</f>
        <v>90.246399999999994</v>
      </c>
      <c r="CN21" s="368">
        <f t="shared" si="8"/>
        <v>49.574221475145983</v>
      </c>
      <c r="CO21" s="368">
        <f>Сят!C48</f>
        <v>175</v>
      </c>
      <c r="CP21" s="368">
        <f>Сят!D48</f>
        <v>0</v>
      </c>
      <c r="CQ21" s="368">
        <f>CP21/CO21*100</f>
        <v>0</v>
      </c>
      <c r="CR21" s="382">
        <f>Сят!C49</f>
        <v>224.82400000000001</v>
      </c>
      <c r="CS21" s="368">
        <f>Сят!D49</f>
        <v>224.82400000000001</v>
      </c>
      <c r="CT21" s="368">
        <f t="shared" si="9"/>
        <v>100</v>
      </c>
      <c r="CU21" s="368"/>
      <c r="CV21" s="368">
        <f>Сят!D50</f>
        <v>0</v>
      </c>
      <c r="CW21" s="368"/>
      <c r="CX21" s="376"/>
      <c r="CY21" s="376"/>
      <c r="CZ21" s="368" t="e">
        <f t="shared" si="38"/>
        <v>#DIV/0!</v>
      </c>
      <c r="DA21" s="368"/>
      <c r="DB21" s="368"/>
      <c r="DC21" s="368"/>
      <c r="DD21" s="368"/>
      <c r="DE21" s="368"/>
      <c r="DF21" s="368"/>
      <c r="DG21" s="370">
        <f t="shared" si="39"/>
        <v>7710.0388500000008</v>
      </c>
      <c r="DH21" s="370">
        <f t="shared" si="39"/>
        <v>2369.3398699999998</v>
      </c>
      <c r="DI21" s="368">
        <f t="shared" si="40"/>
        <v>30.730582764832626</v>
      </c>
      <c r="DJ21" s="376">
        <f t="shared" si="41"/>
        <v>1377.5060000000001</v>
      </c>
      <c r="DK21" s="376">
        <f>Сят!D56</f>
        <v>612.38807999999995</v>
      </c>
      <c r="DL21" s="368">
        <f t="shared" si="42"/>
        <v>44.456291297460766</v>
      </c>
      <c r="DM21" s="368">
        <f>Сят!C58</f>
        <v>1348</v>
      </c>
      <c r="DN21" s="368">
        <f>Сят!D58</f>
        <v>607.88257999999996</v>
      </c>
      <c r="DO21" s="368">
        <f t="shared" si="43"/>
        <v>45.095146884272999</v>
      </c>
      <c r="DP21" s="368">
        <f>Сят!C61</f>
        <v>0</v>
      </c>
      <c r="DQ21" s="368">
        <f>Сят!D61</f>
        <v>0</v>
      </c>
      <c r="DR21" s="368" t="e">
        <f t="shared" si="44"/>
        <v>#DIV/0!</v>
      </c>
      <c r="DS21" s="368">
        <f>Сят!C62</f>
        <v>5</v>
      </c>
      <c r="DT21" s="368">
        <f>Сят!D62</f>
        <v>0</v>
      </c>
      <c r="DU21" s="368">
        <f t="shared" si="45"/>
        <v>0</v>
      </c>
      <c r="DV21" s="368">
        <f>Сят!C63</f>
        <v>24.506</v>
      </c>
      <c r="DW21" s="368">
        <f>Сят!D63</f>
        <v>4.5054999999999996</v>
      </c>
      <c r="DX21" s="368">
        <f t="shared" si="46"/>
        <v>18.385293397535296</v>
      </c>
      <c r="DY21" s="368">
        <f>Сят!C65</f>
        <v>179.892</v>
      </c>
      <c r="DZ21" s="368">
        <f>Сят!D65</f>
        <v>78.514330000000001</v>
      </c>
      <c r="EA21" s="368">
        <f t="shared" si="47"/>
        <v>43.64525937784893</v>
      </c>
      <c r="EB21" s="368">
        <f>Сят!C66</f>
        <v>9.6999999999999993</v>
      </c>
      <c r="EC21" s="368">
        <f>Сят!D66</f>
        <v>0.65</v>
      </c>
      <c r="ED21" s="368">
        <f t="shared" si="48"/>
        <v>6.7010309278350526</v>
      </c>
      <c r="EE21" s="376">
        <f>Сят!C72</f>
        <v>3450.3148500000002</v>
      </c>
      <c r="EF21" s="376">
        <f>Сят!D72</f>
        <v>525.43029000000001</v>
      </c>
      <c r="EG21" s="368">
        <f t="shared" si="49"/>
        <v>15.228473714507532</v>
      </c>
      <c r="EH21" s="376">
        <f>Сят!C77</f>
        <v>639.46900000000005</v>
      </c>
      <c r="EI21" s="376">
        <f>Сят!D77</f>
        <v>99.35</v>
      </c>
      <c r="EJ21" s="368">
        <f t="shared" si="50"/>
        <v>15.536327796969045</v>
      </c>
      <c r="EK21" s="376">
        <f>Сят!C81</f>
        <v>2028.6880000000001</v>
      </c>
      <c r="EL21" s="383">
        <f>Сят!D81</f>
        <v>1048.53817</v>
      </c>
      <c r="EM21" s="368">
        <f t="shared" si="10"/>
        <v>51.685531239894942</v>
      </c>
      <c r="EN21" s="368">
        <f>Сят!C83</f>
        <v>0</v>
      </c>
      <c r="EO21" s="368">
        <f>Сят!D83</f>
        <v>0</v>
      </c>
      <c r="EP21" s="368" t="e">
        <f t="shared" si="11"/>
        <v>#DIV/0!</v>
      </c>
      <c r="EQ21" s="384">
        <f>Сят!C88</f>
        <v>24.469000000000001</v>
      </c>
      <c r="ER21" s="384">
        <f>Сят!D88</f>
        <v>4.4690000000000003</v>
      </c>
      <c r="ES21" s="368">
        <f t="shared" si="51"/>
        <v>18.263925783644609</v>
      </c>
      <c r="ET21" s="368">
        <f>Сят!C94</f>
        <v>0</v>
      </c>
      <c r="EU21" s="368">
        <f>Сят!D94</f>
        <v>0</v>
      </c>
      <c r="EV21" s="361" t="e">
        <f t="shared" si="52"/>
        <v>#DIV/0!</v>
      </c>
      <c r="EW21" s="375">
        <f t="shared" si="12"/>
        <v>-288.5238500000014</v>
      </c>
      <c r="EX21" s="375">
        <f t="shared" si="13"/>
        <v>448.27166000000034</v>
      </c>
      <c r="EY21" s="361">
        <f t="shared" si="54"/>
        <v>-155.36728072913147</v>
      </c>
      <c r="EZ21" s="164"/>
      <c r="FA21" s="165"/>
      <c r="FB21" s="167"/>
      <c r="FC21" s="165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</row>
    <row r="22" spans="1:170" s="187" customFormat="1" ht="15" customHeight="1">
      <c r="A22" s="410">
        <v>9</v>
      </c>
      <c r="B22" s="411" t="s">
        <v>311</v>
      </c>
      <c r="C22" s="387">
        <f>F22+BZ22</f>
        <v>9302.2994299999991</v>
      </c>
      <c r="D22" s="388">
        <f t="shared" si="0"/>
        <v>2353.2841000000003</v>
      </c>
      <c r="E22" s="371">
        <f t="shared" si="1"/>
        <v>25.297875194284092</v>
      </c>
      <c r="F22" s="389">
        <f>I22+X22+AA22+AD22+AG22+AM22+AS22+BE22+BQ22+BN22+AJ22+AY22+L22+R22+O22+U22+AP22</f>
        <v>1839.3039999999999</v>
      </c>
      <c r="G22" s="389">
        <f t="shared" si="3"/>
        <v>854.40110000000004</v>
      </c>
      <c r="H22" s="371">
        <f t="shared" si="15"/>
        <v>46.452413521636451</v>
      </c>
      <c r="I22" s="370">
        <f>Тор!C6</f>
        <v>105.069</v>
      </c>
      <c r="J22" s="370">
        <f>Тор!D6</f>
        <v>52.051850000000002</v>
      </c>
      <c r="K22" s="371">
        <f t="shared" si="16"/>
        <v>49.540635201629406</v>
      </c>
      <c r="L22" s="371">
        <f>Тор!C8</f>
        <v>270.89</v>
      </c>
      <c r="M22" s="371">
        <f>Тор!D8</f>
        <v>189.11403999999999</v>
      </c>
      <c r="N22" s="371">
        <f t="shared" si="17"/>
        <v>69.812115618885898</v>
      </c>
      <c r="O22" s="371">
        <f>Тор!C9</f>
        <v>2.9049999999999998</v>
      </c>
      <c r="P22" s="371">
        <f>Тор!D9</f>
        <v>1.43483</v>
      </c>
      <c r="Q22" s="371">
        <f t="shared" si="18"/>
        <v>49.391738382099831</v>
      </c>
      <c r="R22" s="371">
        <f>Тор!C10</f>
        <v>452.44</v>
      </c>
      <c r="S22" s="371">
        <f>Тор!D10</f>
        <v>262.06243000000001</v>
      </c>
      <c r="T22" s="371">
        <f t="shared" si="19"/>
        <v>57.922029440367787</v>
      </c>
      <c r="U22" s="371">
        <f>Тор!C11</f>
        <v>0</v>
      </c>
      <c r="V22" s="390">
        <f>Тор!D11</f>
        <v>-36.021979999999999</v>
      </c>
      <c r="W22" s="371" t="e">
        <f t="shared" si="20"/>
        <v>#DIV/0!</v>
      </c>
      <c r="X22" s="370">
        <f>Тор!C13</f>
        <v>25</v>
      </c>
      <c r="Y22" s="370">
        <f>Тор!D13</f>
        <v>52.619700000000002</v>
      </c>
      <c r="Z22" s="371">
        <f t="shared" si="21"/>
        <v>210.47880000000001</v>
      </c>
      <c r="AA22" s="370">
        <f>Тор!C15</f>
        <v>153</v>
      </c>
      <c r="AB22" s="367">
        <f>Тор!D15</f>
        <v>7.2134299999999998</v>
      </c>
      <c r="AC22" s="371">
        <f t="shared" si="22"/>
        <v>4.7146601307189542</v>
      </c>
      <c r="AD22" s="370">
        <f>Тор!C16</f>
        <v>470</v>
      </c>
      <c r="AE22" s="370">
        <f>Тор!D16</f>
        <v>-141.75921</v>
      </c>
      <c r="AF22" s="371">
        <f t="shared" si="4"/>
        <v>-30.161534042553189</v>
      </c>
      <c r="AG22" s="371">
        <f>Тор!C18</f>
        <v>10</v>
      </c>
      <c r="AH22" s="371">
        <f>Тор!D18</f>
        <v>4.7</v>
      </c>
      <c r="AI22" s="371">
        <f t="shared" si="23"/>
        <v>47</v>
      </c>
      <c r="AJ22" s="371"/>
      <c r="AK22" s="371">
        <f>Тор!D20</f>
        <v>0</v>
      </c>
      <c r="AL22" s="371" t="e">
        <f t="shared" si="5"/>
        <v>#DIV/0!</v>
      </c>
      <c r="AM22" s="370">
        <v>0</v>
      </c>
      <c r="AN22" s="370">
        <v>0</v>
      </c>
      <c r="AO22" s="371" t="e">
        <f t="shared" si="6"/>
        <v>#DIV/0!</v>
      </c>
      <c r="AP22" s="370">
        <f>Тор!C27</f>
        <v>300</v>
      </c>
      <c r="AQ22" s="367">
        <f>Тор!D27</f>
        <v>402.13209999999998</v>
      </c>
      <c r="AR22" s="371">
        <f t="shared" si="24"/>
        <v>134.04403333333332</v>
      </c>
      <c r="AS22" s="370">
        <f>Тор!C28</f>
        <v>50</v>
      </c>
      <c r="AT22" s="367">
        <f>Тор!D28</f>
        <v>38.51952</v>
      </c>
      <c r="AU22" s="371">
        <f t="shared" si="25"/>
        <v>77.03904</v>
      </c>
      <c r="AV22" s="370"/>
      <c r="AW22" s="370"/>
      <c r="AX22" s="371" t="e">
        <f t="shared" si="26"/>
        <v>#DIV/0!</v>
      </c>
      <c r="AY22" s="371">
        <f>Тор!C29</f>
        <v>0</v>
      </c>
      <c r="AZ22" s="371">
        <f>Тор!D29</f>
        <v>22.334389999999999</v>
      </c>
      <c r="BA22" s="371" t="e">
        <f t="shared" si="27"/>
        <v>#DIV/0!</v>
      </c>
      <c r="BB22" s="371"/>
      <c r="BC22" s="371"/>
      <c r="BD22" s="371"/>
      <c r="BE22" s="371">
        <f>Тор!C34+Тор!C33</f>
        <v>0</v>
      </c>
      <c r="BF22" s="371">
        <f>Тор!D32</f>
        <v>0</v>
      </c>
      <c r="BG22" s="371" t="e">
        <f t="shared" si="28"/>
        <v>#DIV/0!</v>
      </c>
      <c r="BH22" s="371"/>
      <c r="BI22" s="371"/>
      <c r="BJ22" s="371" t="e">
        <f t="shared" si="29"/>
        <v>#DIV/0!</v>
      </c>
      <c r="BK22" s="371"/>
      <c r="BL22" s="371"/>
      <c r="BM22" s="371"/>
      <c r="BN22" s="371"/>
      <c r="BO22" s="391">
        <f>Тор!D35</f>
        <v>0</v>
      </c>
      <c r="BP22" s="361" t="e">
        <f t="shared" si="30"/>
        <v>#DIV/0!</v>
      </c>
      <c r="BQ22" s="371">
        <f>Тор!C37</f>
        <v>0</v>
      </c>
      <c r="BR22" s="371">
        <f>Тор!D37</f>
        <v>0</v>
      </c>
      <c r="BS22" s="371" t="e">
        <f t="shared" si="31"/>
        <v>#DIV/0!</v>
      </c>
      <c r="BT22" s="371"/>
      <c r="BU22" s="371"/>
      <c r="BV22" s="392" t="e">
        <f t="shared" si="32"/>
        <v>#DIV/0!</v>
      </c>
      <c r="BW22" s="392"/>
      <c r="BX22" s="392"/>
      <c r="BY22" s="392" t="e">
        <f t="shared" si="33"/>
        <v>#DIV/0!</v>
      </c>
      <c r="BZ22" s="370">
        <f t="shared" si="34"/>
        <v>7462.9954299999999</v>
      </c>
      <c r="CA22" s="366">
        <f t="shared" si="35"/>
        <v>1498.8830000000003</v>
      </c>
      <c r="CB22" s="371">
        <f t="shared" si="53"/>
        <v>20.084200962722555</v>
      </c>
      <c r="CC22" s="371">
        <f>Тор!C42</f>
        <v>1424.6</v>
      </c>
      <c r="CD22" s="371">
        <f>Тор!D42</f>
        <v>712.30200000000002</v>
      </c>
      <c r="CE22" s="371">
        <f t="shared" si="36"/>
        <v>50.000140390284997</v>
      </c>
      <c r="CF22" s="371">
        <f>Тор!C43</f>
        <v>280</v>
      </c>
      <c r="CG22" s="371">
        <f>Тор!D43</f>
        <v>130</v>
      </c>
      <c r="CH22" s="371">
        <f t="shared" si="37"/>
        <v>46.428571428571431</v>
      </c>
      <c r="CI22" s="371">
        <f>Тор!C44</f>
        <v>4448.5478199999998</v>
      </c>
      <c r="CJ22" s="371">
        <f>Тор!D44</f>
        <v>377.03199999999998</v>
      </c>
      <c r="CK22" s="371">
        <f t="shared" si="7"/>
        <v>8.4753950110398044</v>
      </c>
      <c r="CL22" s="371">
        <f>Тор!C45</f>
        <v>181.68199999999999</v>
      </c>
      <c r="CM22" s="371">
        <f>Тор!D45</f>
        <v>89.649000000000001</v>
      </c>
      <c r="CN22" s="371">
        <f t="shared" si="8"/>
        <v>49.343908587532063</v>
      </c>
      <c r="CO22" s="371">
        <f>Тор!C46</f>
        <v>620</v>
      </c>
      <c r="CP22" s="371">
        <f>Тор!D46</f>
        <v>0</v>
      </c>
      <c r="CQ22" s="371"/>
      <c r="CR22" s="390">
        <f>Тор!C48</f>
        <v>508.16561000000002</v>
      </c>
      <c r="CS22" s="371">
        <f>Тор!D48</f>
        <v>189.9</v>
      </c>
      <c r="CT22" s="371">
        <f t="shared" si="9"/>
        <v>37.369707092142654</v>
      </c>
      <c r="CU22" s="371"/>
      <c r="CV22" s="371">
        <f>Тор!D49</f>
        <v>0</v>
      </c>
      <c r="CW22" s="371"/>
      <c r="CX22" s="370"/>
      <c r="CY22" s="370"/>
      <c r="CZ22" s="371" t="e">
        <f t="shared" si="38"/>
        <v>#DIV/0!</v>
      </c>
      <c r="DA22" s="371"/>
      <c r="DB22" s="371"/>
      <c r="DC22" s="371"/>
      <c r="DD22" s="371"/>
      <c r="DE22" s="371"/>
      <c r="DF22" s="371"/>
      <c r="DG22" s="370">
        <f t="shared" si="39"/>
        <v>9736.5230700000011</v>
      </c>
      <c r="DH22" s="370">
        <f t="shared" si="39"/>
        <v>1724.6896099999999</v>
      </c>
      <c r="DI22" s="371">
        <f t="shared" si="40"/>
        <v>17.71360882730389</v>
      </c>
      <c r="DJ22" s="370">
        <f t="shared" si="41"/>
        <v>1109.4089999999999</v>
      </c>
      <c r="DK22" s="370">
        <f t="shared" si="41"/>
        <v>446.76800000000003</v>
      </c>
      <c r="DL22" s="371">
        <f t="shared" si="42"/>
        <v>40.270810855149008</v>
      </c>
      <c r="DM22" s="371">
        <f>Тор!C58</f>
        <v>1079.2149999999999</v>
      </c>
      <c r="DN22" s="371">
        <f>Тор!D58</f>
        <v>441.57400000000001</v>
      </c>
      <c r="DO22" s="371">
        <f t="shared" si="43"/>
        <v>40.916221512858883</v>
      </c>
      <c r="DP22" s="371">
        <f>Тор!C61</f>
        <v>0</v>
      </c>
      <c r="DQ22" s="371">
        <f>Тор!D61</f>
        <v>0</v>
      </c>
      <c r="DR22" s="371" t="e">
        <f t="shared" si="44"/>
        <v>#DIV/0!</v>
      </c>
      <c r="DS22" s="371">
        <f>Тор!C62</f>
        <v>5</v>
      </c>
      <c r="DT22" s="371">
        <f>Тор!D62</f>
        <v>0</v>
      </c>
      <c r="DU22" s="371">
        <f t="shared" si="45"/>
        <v>0</v>
      </c>
      <c r="DV22" s="371">
        <f>Тор!C63</f>
        <v>25.193999999999999</v>
      </c>
      <c r="DW22" s="371">
        <f>Тор!D63</f>
        <v>5.194</v>
      </c>
      <c r="DX22" s="371">
        <f t="shared" si="46"/>
        <v>20.616019687227119</v>
      </c>
      <c r="DY22" s="371">
        <f>Тор!C65</f>
        <v>179.892</v>
      </c>
      <c r="DZ22" s="371">
        <f>+Тор!D64</f>
        <v>79.729690000000005</v>
      </c>
      <c r="EA22" s="371">
        <f t="shared" si="47"/>
        <v>44.32086474106687</v>
      </c>
      <c r="EB22" s="371">
        <f>Тор!C66</f>
        <v>38.99</v>
      </c>
      <c r="EC22" s="371">
        <f>Тор!D66</f>
        <v>34.79</v>
      </c>
      <c r="ED22" s="371">
        <f t="shared" si="48"/>
        <v>89.228007181328536</v>
      </c>
      <c r="EE22" s="370">
        <f>Тор!C72</f>
        <v>6183.4035700000004</v>
      </c>
      <c r="EF22" s="370">
        <f>Тор!D72</f>
        <v>460.93525</v>
      </c>
      <c r="EG22" s="371">
        <f t="shared" si="49"/>
        <v>7.4543937619779195</v>
      </c>
      <c r="EH22" s="370">
        <f>Тор!C78</f>
        <v>699.72850000000005</v>
      </c>
      <c r="EI22" s="370">
        <f>Тор!D78</f>
        <v>90.152670000000001</v>
      </c>
      <c r="EJ22" s="371">
        <f t="shared" si="50"/>
        <v>12.883949989174374</v>
      </c>
      <c r="EK22" s="370">
        <f>Тор!C82</f>
        <v>1500.1</v>
      </c>
      <c r="EL22" s="393">
        <f>Тор!D82</f>
        <v>612.31399999999996</v>
      </c>
      <c r="EM22" s="371">
        <f t="shared" si="10"/>
        <v>40.818212119192054</v>
      </c>
      <c r="EN22" s="371">
        <f>Тор!C84</f>
        <v>0</v>
      </c>
      <c r="EO22" s="371">
        <f>Тор!D84</f>
        <v>0</v>
      </c>
      <c r="EP22" s="371" t="e">
        <f t="shared" si="11"/>
        <v>#DIV/0!</v>
      </c>
      <c r="EQ22" s="389">
        <f>Тор!C97</f>
        <v>25</v>
      </c>
      <c r="ER22" s="389">
        <f>Тор!D97</f>
        <v>0</v>
      </c>
      <c r="ES22" s="371">
        <f t="shared" si="51"/>
        <v>0</v>
      </c>
      <c r="ET22" s="371">
        <f>Тор!C95</f>
        <v>0</v>
      </c>
      <c r="EU22" s="371">
        <f>Тор!D95</f>
        <v>0</v>
      </c>
      <c r="EV22" s="371" t="e">
        <f t="shared" si="52"/>
        <v>#DIV/0!</v>
      </c>
      <c r="EW22" s="394">
        <f t="shared" si="12"/>
        <v>-434.22364000000198</v>
      </c>
      <c r="EX22" s="394">
        <f t="shared" si="13"/>
        <v>628.59449000000041</v>
      </c>
      <c r="EY22" s="371">
        <f t="shared" si="54"/>
        <v>-144.76284386543244</v>
      </c>
      <c r="EZ22" s="185"/>
      <c r="FA22" s="186"/>
      <c r="FC22" s="186"/>
      <c r="FF22" s="230"/>
      <c r="FG22" s="230"/>
      <c r="FH22" s="230"/>
      <c r="FI22" s="230"/>
      <c r="FJ22" s="230"/>
      <c r="FK22" s="230"/>
      <c r="FL22" s="230"/>
      <c r="FM22" s="230"/>
      <c r="FN22" s="230"/>
    </row>
    <row r="23" spans="1:170" s="162" customFormat="1" ht="15" customHeight="1">
      <c r="A23" s="407">
        <v>10</v>
      </c>
      <c r="B23" s="409" t="s">
        <v>312</v>
      </c>
      <c r="C23" s="359">
        <f t="shared" si="14"/>
        <v>5061.2496300000003</v>
      </c>
      <c r="D23" s="360">
        <f t="shared" si="0"/>
        <v>1490.2784099999999</v>
      </c>
      <c r="E23" s="368">
        <f t="shared" si="1"/>
        <v>29.444870712689976</v>
      </c>
      <c r="F23" s="362">
        <f t="shared" si="2"/>
        <v>1029.2919999999999</v>
      </c>
      <c r="G23" s="362">
        <f t="shared" si="3"/>
        <v>599.06320999999991</v>
      </c>
      <c r="H23" s="368">
        <f t="shared" si="15"/>
        <v>58.20148315541168</v>
      </c>
      <c r="I23" s="376">
        <f>Хор!C6</f>
        <v>79.421999999999997</v>
      </c>
      <c r="J23" s="370">
        <f>Хор!D6</f>
        <v>30.972619999999999</v>
      </c>
      <c r="K23" s="368">
        <f t="shared" si="16"/>
        <v>38.99753216992773</v>
      </c>
      <c r="L23" s="368">
        <f>Хор!C8</f>
        <v>123.79</v>
      </c>
      <c r="M23" s="368">
        <f>Хор!D8</f>
        <v>86.420069999999996</v>
      </c>
      <c r="N23" s="361">
        <f t="shared" si="17"/>
        <v>69.811834558526527</v>
      </c>
      <c r="O23" s="361">
        <f>Хор!C9</f>
        <v>1.33</v>
      </c>
      <c r="P23" s="361">
        <f>Хор!D9</f>
        <v>0.65568000000000004</v>
      </c>
      <c r="Q23" s="361">
        <f t="shared" si="18"/>
        <v>49.299248120300753</v>
      </c>
      <c r="R23" s="361">
        <f>Хор!C10</f>
        <v>206.75</v>
      </c>
      <c r="S23" s="361">
        <f>Хор!D10</f>
        <v>119.75554</v>
      </c>
      <c r="T23" s="361">
        <f t="shared" si="19"/>
        <v>57.922873035066502</v>
      </c>
      <c r="U23" s="361">
        <f>Хор!C11</f>
        <v>0</v>
      </c>
      <c r="V23" s="365">
        <f>Хор!D11</f>
        <v>-16.461089999999999</v>
      </c>
      <c r="W23" s="361" t="e">
        <f t="shared" si="20"/>
        <v>#DIV/0!</v>
      </c>
      <c r="X23" s="376">
        <f>Хор!C13</f>
        <v>5</v>
      </c>
      <c r="Y23" s="376">
        <f>Хор!D13</f>
        <v>5.5998900000000003</v>
      </c>
      <c r="Z23" s="368">
        <f t="shared" si="21"/>
        <v>111.99780000000001</v>
      </c>
      <c r="AA23" s="376">
        <f>Хор!C15</f>
        <v>179</v>
      </c>
      <c r="AB23" s="367">
        <f>Хор!D15</f>
        <v>244.01373000000001</v>
      </c>
      <c r="AC23" s="368">
        <f t="shared" si="22"/>
        <v>136.32051955307261</v>
      </c>
      <c r="AD23" s="376">
        <f>Хор!C16</f>
        <v>392</v>
      </c>
      <c r="AE23" s="376">
        <f>Хор!D16</f>
        <v>48.739379999999997</v>
      </c>
      <c r="AF23" s="368">
        <f t="shared" si="4"/>
        <v>12.433515306122448</v>
      </c>
      <c r="AG23" s="368">
        <f>Хор!C18</f>
        <v>10</v>
      </c>
      <c r="AH23" s="368">
        <f>Хор!D18</f>
        <v>2.4</v>
      </c>
      <c r="AI23" s="368">
        <f t="shared" si="23"/>
        <v>24</v>
      </c>
      <c r="AJ23" s="368"/>
      <c r="AK23" s="368"/>
      <c r="AL23" s="368" t="e">
        <f t="shared" si="5"/>
        <v>#DIV/0!</v>
      </c>
      <c r="AM23" s="376">
        <v>0</v>
      </c>
      <c r="AN23" s="376">
        <v>0</v>
      </c>
      <c r="AO23" s="368" t="e">
        <f t="shared" si="6"/>
        <v>#DIV/0!</v>
      </c>
      <c r="AP23" s="376">
        <f>Хор!C27</f>
        <v>32</v>
      </c>
      <c r="AQ23" s="377">
        <f>Хор!D27</f>
        <v>76.967389999999995</v>
      </c>
      <c r="AR23" s="368">
        <f t="shared" si="24"/>
        <v>240.52309374999999</v>
      </c>
      <c r="AS23" s="370">
        <f>Хор!C28</f>
        <v>0</v>
      </c>
      <c r="AT23" s="377">
        <f>Хор!D28</f>
        <v>0</v>
      </c>
      <c r="AU23" s="368" t="e">
        <f t="shared" si="25"/>
        <v>#DIV/0!</v>
      </c>
      <c r="AV23" s="376"/>
      <c r="AW23" s="376"/>
      <c r="AX23" s="368" t="e">
        <f t="shared" si="26"/>
        <v>#DIV/0!</v>
      </c>
      <c r="AY23" s="368">
        <f>Хор!C29</f>
        <v>0</v>
      </c>
      <c r="AZ23" s="371">
        <f>Хор!D29</f>
        <v>0</v>
      </c>
      <c r="BA23" s="368" t="e">
        <f t="shared" si="27"/>
        <v>#DIV/0!</v>
      </c>
      <c r="BB23" s="368"/>
      <c r="BC23" s="368"/>
      <c r="BD23" s="368"/>
      <c r="BE23" s="368">
        <f>Хор!C33</f>
        <v>0</v>
      </c>
      <c r="BF23" s="368">
        <f>Хор!D33</f>
        <v>0</v>
      </c>
      <c r="BG23" s="368" t="e">
        <f t="shared" si="28"/>
        <v>#DIV/0!</v>
      </c>
      <c r="BH23" s="368"/>
      <c r="BI23" s="368"/>
      <c r="BJ23" s="368" t="e">
        <f t="shared" si="29"/>
        <v>#DIV/0!</v>
      </c>
      <c r="BK23" s="368"/>
      <c r="BL23" s="368"/>
      <c r="BM23" s="368"/>
      <c r="BN23" s="368"/>
      <c r="BO23" s="379"/>
      <c r="BP23" s="361" t="e">
        <f t="shared" si="30"/>
        <v>#DIV/0!</v>
      </c>
      <c r="BQ23" s="368">
        <f>Хор!C34</f>
        <v>0</v>
      </c>
      <c r="BR23" s="368">
        <f>Хор!D34</f>
        <v>0</v>
      </c>
      <c r="BS23" s="368" t="e">
        <f t="shared" si="31"/>
        <v>#DIV/0!</v>
      </c>
      <c r="BT23" s="368"/>
      <c r="BU23" s="368"/>
      <c r="BV23" s="380" t="e">
        <f t="shared" si="32"/>
        <v>#DIV/0!</v>
      </c>
      <c r="BW23" s="380"/>
      <c r="BX23" s="380"/>
      <c r="BY23" s="380" t="e">
        <f t="shared" si="33"/>
        <v>#DIV/0!</v>
      </c>
      <c r="BZ23" s="366">
        <f t="shared" si="34"/>
        <v>4031.9576300000003</v>
      </c>
      <c r="CA23" s="366">
        <f t="shared" si="35"/>
        <v>891.21519999999998</v>
      </c>
      <c r="CB23" s="368">
        <f t="shared" si="53"/>
        <v>22.103783863423185</v>
      </c>
      <c r="CC23" s="368">
        <f>Хор!C39</f>
        <v>1275.4000000000001</v>
      </c>
      <c r="CD23" s="368">
        <f>Хор!D39</f>
        <v>637.69799999999998</v>
      </c>
      <c r="CE23" s="368">
        <f t="shared" si="36"/>
        <v>49.999843186451301</v>
      </c>
      <c r="CF23" s="368">
        <f>Хор!C41</f>
        <v>90</v>
      </c>
      <c r="CG23" s="368">
        <f>Хор!D41</f>
        <v>45</v>
      </c>
      <c r="CH23" s="368">
        <f t="shared" si="37"/>
        <v>50</v>
      </c>
      <c r="CI23" s="368">
        <f>Хор!C42</f>
        <v>1537.9304299999999</v>
      </c>
      <c r="CJ23" s="368">
        <f>Хор!D42</f>
        <v>157.52000000000001</v>
      </c>
      <c r="CK23" s="368">
        <f t="shared" si="7"/>
        <v>10.242335864308245</v>
      </c>
      <c r="CL23" s="368">
        <f>Хор!C43</f>
        <v>92.456000000000003</v>
      </c>
      <c r="CM23" s="368">
        <f>Хор!D43</f>
        <v>44.826000000000001</v>
      </c>
      <c r="CN23" s="368">
        <f t="shared" si="8"/>
        <v>48.48360301116206</v>
      </c>
      <c r="CO23" s="368">
        <f>Хор!C44</f>
        <v>1030</v>
      </c>
      <c r="CP23" s="368">
        <f>Хор!D44</f>
        <v>0</v>
      </c>
      <c r="CQ23" s="368"/>
      <c r="CR23" s="382">
        <f>Хор!C45</f>
        <v>6.1711999999999998</v>
      </c>
      <c r="CS23" s="368">
        <f>Хор!D45</f>
        <v>6.1711999999999998</v>
      </c>
      <c r="CT23" s="368">
        <f t="shared" si="9"/>
        <v>100</v>
      </c>
      <c r="CU23" s="368"/>
      <c r="CV23" s="368"/>
      <c r="CW23" s="368"/>
      <c r="CX23" s="376"/>
      <c r="CY23" s="376"/>
      <c r="CZ23" s="368" t="e">
        <f t="shared" si="38"/>
        <v>#DIV/0!</v>
      </c>
      <c r="DA23" s="368"/>
      <c r="DB23" s="368"/>
      <c r="DC23" s="368"/>
      <c r="DD23" s="368"/>
      <c r="DE23" s="368">
        <f>Хор!D48</f>
        <v>0</v>
      </c>
      <c r="DF23" s="368"/>
      <c r="DG23" s="370">
        <f t="shared" si="39"/>
        <v>5344.80213</v>
      </c>
      <c r="DH23" s="370">
        <f t="shared" si="39"/>
        <v>1219.1018899999999</v>
      </c>
      <c r="DI23" s="368">
        <f t="shared" si="40"/>
        <v>22.80911173787457</v>
      </c>
      <c r="DJ23" s="376">
        <f t="shared" si="41"/>
        <v>992.09100000000001</v>
      </c>
      <c r="DK23" s="376">
        <f t="shared" si="41"/>
        <v>458.74009999999998</v>
      </c>
      <c r="DL23" s="368">
        <f t="shared" si="42"/>
        <v>46.239719945045358</v>
      </c>
      <c r="DM23" s="368">
        <f>Хор!C56</f>
        <v>984.4</v>
      </c>
      <c r="DN23" s="368">
        <f>Хор!D56</f>
        <v>456.0496</v>
      </c>
      <c r="DO23" s="368">
        <f t="shared" si="43"/>
        <v>46.327671678179605</v>
      </c>
      <c r="DP23" s="368">
        <f>Хор!C59</f>
        <v>0</v>
      </c>
      <c r="DQ23" s="368">
        <f>Хор!D59</f>
        <v>0</v>
      </c>
      <c r="DR23" s="368" t="e">
        <f t="shared" si="44"/>
        <v>#DIV/0!</v>
      </c>
      <c r="DS23" s="368">
        <f>Хор!C60</f>
        <v>5</v>
      </c>
      <c r="DT23" s="368">
        <f>Хор!D60</f>
        <v>0</v>
      </c>
      <c r="DU23" s="368">
        <f t="shared" si="45"/>
        <v>0</v>
      </c>
      <c r="DV23" s="368">
        <f>Хор!C61</f>
        <v>2.6909999999999998</v>
      </c>
      <c r="DW23" s="368">
        <f>Хор!D61</f>
        <v>2.6905000000000001</v>
      </c>
      <c r="DX23" s="368">
        <f t="shared" si="46"/>
        <v>99.981419546636957</v>
      </c>
      <c r="DY23" s="368">
        <f>Хор!C63</f>
        <v>89.944999999999993</v>
      </c>
      <c r="DZ23" s="368">
        <f>Хор!D63</f>
        <v>40.049379999999999</v>
      </c>
      <c r="EA23" s="368">
        <f t="shared" si="47"/>
        <v>44.526521763299797</v>
      </c>
      <c r="EB23" s="368">
        <f>Хор!C64</f>
        <v>6.4</v>
      </c>
      <c r="EC23" s="368">
        <f>Хор!D64</f>
        <v>0</v>
      </c>
      <c r="ED23" s="368">
        <f t="shared" si="48"/>
        <v>0</v>
      </c>
      <c r="EE23" s="376">
        <f>Хор!C70</f>
        <v>2148.5418299999997</v>
      </c>
      <c r="EF23" s="376">
        <f>Хор!D70</f>
        <v>202.83500000000001</v>
      </c>
      <c r="EG23" s="368">
        <f t="shared" si="49"/>
        <v>9.4405888294946543</v>
      </c>
      <c r="EH23" s="376">
        <f>Хор!C75</f>
        <v>238.12430000000001</v>
      </c>
      <c r="EI23" s="376">
        <f>Хор!D75</f>
        <v>83.477410000000006</v>
      </c>
      <c r="EJ23" s="368">
        <f t="shared" si="50"/>
        <v>35.056233236171195</v>
      </c>
      <c r="EK23" s="376">
        <f>Хор!C79</f>
        <v>1863.7</v>
      </c>
      <c r="EL23" s="383">
        <f>Хор!D79</f>
        <v>432</v>
      </c>
      <c r="EM23" s="368">
        <f t="shared" si="10"/>
        <v>23.179696303053067</v>
      </c>
      <c r="EN23" s="368">
        <f>Хор!C81</f>
        <v>0</v>
      </c>
      <c r="EO23" s="368">
        <f>Хор!D81</f>
        <v>0</v>
      </c>
      <c r="EP23" s="368" t="e">
        <f t="shared" si="11"/>
        <v>#DIV/0!</v>
      </c>
      <c r="EQ23" s="384">
        <f>Хор!C86</f>
        <v>6</v>
      </c>
      <c r="ER23" s="384">
        <f>Хор!D86</f>
        <v>2</v>
      </c>
      <c r="ES23" s="368">
        <f t="shared" si="51"/>
        <v>33.333333333333329</v>
      </c>
      <c r="ET23" s="368">
        <f>Хор!C92</f>
        <v>0</v>
      </c>
      <c r="EU23" s="368">
        <f>Хор!D92</f>
        <v>0</v>
      </c>
      <c r="EV23" s="361" t="e">
        <f t="shared" si="52"/>
        <v>#DIV/0!</v>
      </c>
      <c r="EW23" s="375">
        <f t="shared" si="12"/>
        <v>-283.55249999999978</v>
      </c>
      <c r="EX23" s="375">
        <f t="shared" si="13"/>
        <v>271.17651999999998</v>
      </c>
      <c r="EY23" s="361">
        <f t="shared" si="54"/>
        <v>-95.635383218275337</v>
      </c>
      <c r="EZ23" s="164"/>
      <c r="FA23" s="165"/>
      <c r="FC23" s="165"/>
    </row>
    <row r="24" spans="1:170" s="281" customFormat="1" ht="15" customHeight="1">
      <c r="A24" s="412">
        <v>11</v>
      </c>
      <c r="B24" s="409" t="s">
        <v>313</v>
      </c>
      <c r="C24" s="385">
        <f t="shared" si="14"/>
        <v>6108.9151000000011</v>
      </c>
      <c r="D24" s="360">
        <f t="shared" si="0"/>
        <v>2666.3249099999998</v>
      </c>
      <c r="E24" s="368">
        <f t="shared" si="1"/>
        <v>43.646455489289728</v>
      </c>
      <c r="F24" s="384">
        <f t="shared" si="2"/>
        <v>1081.296</v>
      </c>
      <c r="G24" s="384">
        <f t="shared" si="3"/>
        <v>445.90991000000002</v>
      </c>
      <c r="H24" s="368">
        <f t="shared" si="15"/>
        <v>41.238468467468671</v>
      </c>
      <c r="I24" s="376">
        <f>Чум!C6</f>
        <v>86.510999999999996</v>
      </c>
      <c r="J24" s="370">
        <f>Чум!D6</f>
        <v>52.87594</v>
      </c>
      <c r="K24" s="368">
        <f t="shared" si="16"/>
        <v>61.120481788443094</v>
      </c>
      <c r="L24" s="368">
        <f>Чум!C8</f>
        <v>118.16</v>
      </c>
      <c r="M24" s="368">
        <f>Чум!D8</f>
        <v>82.491870000000006</v>
      </c>
      <c r="N24" s="368">
        <f t="shared" si="17"/>
        <v>69.813701760324989</v>
      </c>
      <c r="O24" s="368">
        <f>Чум!C9</f>
        <v>1.2649999999999999</v>
      </c>
      <c r="P24" s="368">
        <f>Чум!D9</f>
        <v>0.62587000000000004</v>
      </c>
      <c r="Q24" s="368">
        <f t="shared" si="18"/>
        <v>49.475889328063246</v>
      </c>
      <c r="R24" s="368">
        <f>Чум!C10</f>
        <v>197.36</v>
      </c>
      <c r="S24" s="368">
        <f>Чум!D10</f>
        <v>114.3121</v>
      </c>
      <c r="T24" s="368">
        <f t="shared" si="19"/>
        <v>57.920601945683018</v>
      </c>
      <c r="U24" s="368">
        <f>Чум!C11</f>
        <v>0</v>
      </c>
      <c r="V24" s="382">
        <f>Чум!D11</f>
        <v>-15.71284</v>
      </c>
      <c r="W24" s="368" t="e">
        <f t="shared" si="20"/>
        <v>#DIV/0!</v>
      </c>
      <c r="X24" s="376">
        <f>Чум!C13</f>
        <v>65</v>
      </c>
      <c r="Y24" s="376">
        <f>Чум!D13</f>
        <v>69.128699999999995</v>
      </c>
      <c r="Z24" s="368">
        <f t="shared" si="21"/>
        <v>106.35184615384614</v>
      </c>
      <c r="AA24" s="376">
        <f>Чум!C15</f>
        <v>88</v>
      </c>
      <c r="AB24" s="367">
        <f>Чум!D15</f>
        <v>5.1663899999999998</v>
      </c>
      <c r="AC24" s="368">
        <f t="shared" si="22"/>
        <v>5.8708977272727276</v>
      </c>
      <c r="AD24" s="376">
        <f>Чум!C16</f>
        <v>460</v>
      </c>
      <c r="AE24" s="376">
        <f>Чум!D16</f>
        <v>68.296700000000001</v>
      </c>
      <c r="AF24" s="368">
        <f t="shared" si="4"/>
        <v>14.847108695652175</v>
      </c>
      <c r="AG24" s="368">
        <f>Чум!C18</f>
        <v>10</v>
      </c>
      <c r="AH24" s="368">
        <f>Чум!D18</f>
        <v>2.75</v>
      </c>
      <c r="AI24" s="368">
        <f t="shared" si="23"/>
        <v>27.500000000000004</v>
      </c>
      <c r="AJ24" s="368">
        <f>Чум!C22</f>
        <v>0</v>
      </c>
      <c r="AK24" s="368">
        <f>Чум!D20</f>
        <v>0</v>
      </c>
      <c r="AL24" s="368" t="e">
        <f>AK24/AJ24*100</f>
        <v>#DIV/0!</v>
      </c>
      <c r="AM24" s="376">
        <v>0</v>
      </c>
      <c r="AN24" s="376"/>
      <c r="AO24" s="368" t="e">
        <f t="shared" si="6"/>
        <v>#DIV/0!</v>
      </c>
      <c r="AP24" s="376">
        <f>Чум!C27</f>
        <v>55</v>
      </c>
      <c r="AQ24" s="377">
        <f>Чум!D27</f>
        <v>43.258000000000003</v>
      </c>
      <c r="AR24" s="368">
        <f t="shared" si="24"/>
        <v>78.650909090909096</v>
      </c>
      <c r="AS24" s="376">
        <f>Чум!C28</f>
        <v>0</v>
      </c>
      <c r="AT24" s="377">
        <f>Чум!D28</f>
        <v>0</v>
      </c>
      <c r="AU24" s="368" t="e">
        <f t="shared" si="25"/>
        <v>#DIV/0!</v>
      </c>
      <c r="AV24" s="376"/>
      <c r="AW24" s="376"/>
      <c r="AX24" s="368" t="e">
        <f t="shared" si="26"/>
        <v>#DIV/0!</v>
      </c>
      <c r="AY24" s="368">
        <f>Чум!C30</f>
        <v>0</v>
      </c>
      <c r="AZ24" s="371">
        <f>Чум!D30</f>
        <v>22.717179999999999</v>
      </c>
      <c r="BA24" s="368" t="e">
        <f t="shared" si="27"/>
        <v>#DIV/0!</v>
      </c>
      <c r="BB24" s="368"/>
      <c r="BC24" s="368"/>
      <c r="BD24" s="368"/>
      <c r="BE24" s="368">
        <f>Чум!C33</f>
        <v>0</v>
      </c>
      <c r="BF24" s="368">
        <f>Чум!D33</f>
        <v>0</v>
      </c>
      <c r="BG24" s="368" t="e">
        <f t="shared" si="28"/>
        <v>#DIV/0!</v>
      </c>
      <c r="BH24" s="368"/>
      <c r="BI24" s="368"/>
      <c r="BJ24" s="368" t="e">
        <f t="shared" si="29"/>
        <v>#DIV/0!</v>
      </c>
      <c r="BK24" s="368"/>
      <c r="BL24" s="368"/>
      <c r="BM24" s="368"/>
      <c r="BN24" s="368"/>
      <c r="BO24" s="379">
        <f>Чум!D34</f>
        <v>0</v>
      </c>
      <c r="BP24" s="361" t="e">
        <f t="shared" si="30"/>
        <v>#DIV/0!</v>
      </c>
      <c r="BQ24" s="368">
        <f>Чум!C37</f>
        <v>0</v>
      </c>
      <c r="BR24" s="368">
        <f>Чум!D37</f>
        <v>0</v>
      </c>
      <c r="BS24" s="368" t="e">
        <f t="shared" si="31"/>
        <v>#DIV/0!</v>
      </c>
      <c r="BT24" s="368"/>
      <c r="BU24" s="368"/>
      <c r="BV24" s="380" t="e">
        <f t="shared" si="32"/>
        <v>#DIV/0!</v>
      </c>
      <c r="BW24" s="380"/>
      <c r="BX24" s="380"/>
      <c r="BY24" s="380" t="e">
        <f t="shared" si="33"/>
        <v>#DIV/0!</v>
      </c>
      <c r="BZ24" s="376">
        <f t="shared" si="34"/>
        <v>5027.6191000000008</v>
      </c>
      <c r="CA24" s="376">
        <f t="shared" si="35"/>
        <v>2220.415</v>
      </c>
      <c r="CB24" s="368">
        <f t="shared" si="53"/>
        <v>44.164344112703361</v>
      </c>
      <c r="CC24" s="368">
        <f>Чум!C42</f>
        <v>1969.9</v>
      </c>
      <c r="CD24" s="368">
        <f>Чум!D42</f>
        <v>984.94799999999998</v>
      </c>
      <c r="CE24" s="368">
        <f t="shared" si="36"/>
        <v>49.99989847200365</v>
      </c>
      <c r="CF24" s="368">
        <f>Чум!C43</f>
        <v>685</v>
      </c>
      <c r="CG24" s="368">
        <f>Чум!D43</f>
        <v>650</v>
      </c>
      <c r="CH24" s="368">
        <f t="shared" si="37"/>
        <v>94.890510948905103</v>
      </c>
      <c r="CI24" s="368">
        <f>Чум!C44</f>
        <v>1825.30438</v>
      </c>
      <c r="CJ24" s="368">
        <f>Чум!D44</f>
        <v>211.2</v>
      </c>
      <c r="CK24" s="368">
        <f t="shared" si="7"/>
        <v>11.570672941682197</v>
      </c>
      <c r="CL24" s="368">
        <f>Чум!C45</f>
        <v>92.710999999999999</v>
      </c>
      <c r="CM24" s="368">
        <f>Чум!D45</f>
        <v>44.826000000000001</v>
      </c>
      <c r="CN24" s="368">
        <f t="shared" si="8"/>
        <v>48.350249700682767</v>
      </c>
      <c r="CO24" s="368">
        <f>Чум!C46</f>
        <v>125.26285</v>
      </c>
      <c r="CP24" s="368">
        <f>Чум!D46</f>
        <v>0</v>
      </c>
      <c r="CQ24" s="368"/>
      <c r="CR24" s="382">
        <f>Чум!C50</f>
        <v>329.44087000000002</v>
      </c>
      <c r="CS24" s="368">
        <f>Чум!D50</f>
        <v>329.44099999999997</v>
      </c>
      <c r="CT24" s="368">
        <f t="shared" si="9"/>
        <v>100.00003946079912</v>
      </c>
      <c r="CU24" s="368"/>
      <c r="CV24" s="368"/>
      <c r="CW24" s="368"/>
      <c r="CX24" s="376"/>
      <c r="CY24" s="376"/>
      <c r="CZ24" s="368" t="e">
        <f t="shared" si="38"/>
        <v>#DIV/0!</v>
      </c>
      <c r="DA24" s="368"/>
      <c r="DB24" s="368"/>
      <c r="DC24" s="368"/>
      <c r="DD24" s="368"/>
      <c r="DE24" s="368"/>
      <c r="DF24" s="368"/>
      <c r="DG24" s="370">
        <f t="shared" si="39"/>
        <v>6278.9986200000003</v>
      </c>
      <c r="DH24" s="370">
        <f t="shared" si="39"/>
        <v>2245.2093100000002</v>
      </c>
      <c r="DI24" s="368">
        <f t="shared" si="40"/>
        <v>35.757442322865174</v>
      </c>
      <c r="DJ24" s="376">
        <f t="shared" si="41"/>
        <v>1308.2380000000001</v>
      </c>
      <c r="DK24" s="376">
        <f t="shared" si="41"/>
        <v>554.09888000000001</v>
      </c>
      <c r="DL24" s="368">
        <f t="shared" si="42"/>
        <v>42.354592971615254</v>
      </c>
      <c r="DM24" s="368">
        <f>Чум!C58</f>
        <v>1280</v>
      </c>
      <c r="DN24" s="368">
        <f>Чум!D58</f>
        <v>550.86087999999995</v>
      </c>
      <c r="DO24" s="368">
        <f t="shared" si="43"/>
        <v>43.03600625</v>
      </c>
      <c r="DP24" s="368">
        <f>Чум!C61</f>
        <v>0</v>
      </c>
      <c r="DQ24" s="368">
        <f>Чум!D61</f>
        <v>0</v>
      </c>
      <c r="DR24" s="368" t="e">
        <f t="shared" si="44"/>
        <v>#DIV/0!</v>
      </c>
      <c r="DS24" s="368">
        <f>Чум!C62</f>
        <v>5</v>
      </c>
      <c r="DT24" s="368">
        <f>Чум!D62</f>
        <v>0</v>
      </c>
      <c r="DU24" s="368">
        <f t="shared" si="45"/>
        <v>0</v>
      </c>
      <c r="DV24" s="368">
        <f>Чум!C63</f>
        <v>23.238</v>
      </c>
      <c r="DW24" s="368">
        <f>Чум!D63</f>
        <v>3.238</v>
      </c>
      <c r="DX24" s="368">
        <f t="shared" si="46"/>
        <v>13.934073500301231</v>
      </c>
      <c r="DY24" s="368">
        <f>Чум!C65</f>
        <v>89.945999999999998</v>
      </c>
      <c r="DZ24" s="368">
        <f>Чум!D65</f>
        <v>39.232399999999998</v>
      </c>
      <c r="EA24" s="368">
        <f t="shared" si="47"/>
        <v>43.617726191270314</v>
      </c>
      <c r="EB24" s="368">
        <f>Чум!C66</f>
        <v>6.8</v>
      </c>
      <c r="EC24" s="368">
        <f>Чум!D66</f>
        <v>1.2</v>
      </c>
      <c r="ED24" s="368">
        <f t="shared" si="48"/>
        <v>17.647058823529413</v>
      </c>
      <c r="EE24" s="376">
        <f>Чум!C72</f>
        <v>2534.8808400000003</v>
      </c>
      <c r="EF24" s="376">
        <f>Чум!D72</f>
        <v>344.08591000000001</v>
      </c>
      <c r="EG24" s="368">
        <f t="shared" si="49"/>
        <v>13.574046739017524</v>
      </c>
      <c r="EH24" s="376">
        <f>Чум!C77</f>
        <v>687.73378000000002</v>
      </c>
      <c r="EI24" s="376">
        <f>Чум!D77</f>
        <v>164.3109</v>
      </c>
      <c r="EJ24" s="368">
        <f t="shared" si="50"/>
        <v>23.891643071538525</v>
      </c>
      <c r="EK24" s="376">
        <f>Чум!C81</f>
        <v>1615.4</v>
      </c>
      <c r="EL24" s="383">
        <f>Чум!D81</f>
        <v>1135.20622</v>
      </c>
      <c r="EM24" s="368">
        <f t="shared" si="10"/>
        <v>70.274001485700126</v>
      </c>
      <c r="EN24" s="368">
        <f>Чум!C83</f>
        <v>0</v>
      </c>
      <c r="EO24" s="368">
        <f>Чум!D83</f>
        <v>0</v>
      </c>
      <c r="EP24" s="368" t="e">
        <f t="shared" si="11"/>
        <v>#DIV/0!</v>
      </c>
      <c r="EQ24" s="384">
        <f>Чум!C88</f>
        <v>36</v>
      </c>
      <c r="ER24" s="384">
        <f>Чум!D88</f>
        <v>7.0750000000000002</v>
      </c>
      <c r="ES24" s="368">
        <f t="shared" si="51"/>
        <v>19.652777777777779</v>
      </c>
      <c r="ET24" s="368">
        <f>Чум!C94</f>
        <v>0</v>
      </c>
      <c r="EU24" s="368">
        <f>Чум!D94</f>
        <v>0</v>
      </c>
      <c r="EV24" s="368" t="e">
        <f t="shared" si="52"/>
        <v>#DIV/0!</v>
      </c>
      <c r="EW24" s="395">
        <f t="shared" si="12"/>
        <v>-170.08351999999923</v>
      </c>
      <c r="EX24" s="395">
        <f t="shared" si="13"/>
        <v>421.11559999999963</v>
      </c>
      <c r="EY24" s="368">
        <f t="shared" si="54"/>
        <v>-247.59341763387869</v>
      </c>
      <c r="EZ24" s="279"/>
      <c r="FA24" s="280"/>
      <c r="FC24" s="280"/>
    </row>
    <row r="25" spans="1:170" s="187" customFormat="1" ht="15" customHeight="1">
      <c r="A25" s="410">
        <v>12</v>
      </c>
      <c r="B25" s="411" t="s">
        <v>314</v>
      </c>
      <c r="C25" s="387">
        <f t="shared" si="14"/>
        <v>4099.6331199999995</v>
      </c>
      <c r="D25" s="388">
        <f t="shared" si="0"/>
        <v>1470.3151700000001</v>
      </c>
      <c r="E25" s="371">
        <f t="shared" si="1"/>
        <v>35.864554875095756</v>
      </c>
      <c r="F25" s="389">
        <f t="shared" si="2"/>
        <v>833.452</v>
      </c>
      <c r="G25" s="389">
        <f t="shared" si="3"/>
        <v>358.28717</v>
      </c>
      <c r="H25" s="371">
        <f t="shared" si="15"/>
        <v>42.988338860546257</v>
      </c>
      <c r="I25" s="370">
        <f>Шать!C6</f>
        <v>37.046999999999997</v>
      </c>
      <c r="J25" s="370">
        <f>Шать!D6</f>
        <v>22.682030000000001</v>
      </c>
      <c r="K25" s="371">
        <f t="shared" si="16"/>
        <v>61.225011471914058</v>
      </c>
      <c r="L25" s="371">
        <f>Шать!C8</f>
        <v>121.37</v>
      </c>
      <c r="M25" s="371">
        <f>Шать!D8</f>
        <v>84.736549999999994</v>
      </c>
      <c r="N25" s="371">
        <f t="shared" si="17"/>
        <v>69.816717475488161</v>
      </c>
      <c r="O25" s="371">
        <f>Шать!C9</f>
        <v>1.3049999999999999</v>
      </c>
      <c r="P25" s="371">
        <f>Шать!D9</f>
        <v>0.64292000000000005</v>
      </c>
      <c r="Q25" s="371">
        <f t="shared" si="18"/>
        <v>49.265900383141769</v>
      </c>
      <c r="R25" s="371">
        <f>Шать!C10</f>
        <v>202.73</v>
      </c>
      <c r="S25" s="371">
        <f>Шать!D10</f>
        <v>117.42264</v>
      </c>
      <c r="T25" s="371">
        <f t="shared" si="19"/>
        <v>57.920702412075173</v>
      </c>
      <c r="U25" s="371">
        <f>Шать!C11</f>
        <v>0</v>
      </c>
      <c r="V25" s="390">
        <f>Шать!D11</f>
        <v>-16.140409999999999</v>
      </c>
      <c r="W25" s="371" t="e">
        <f t="shared" si="20"/>
        <v>#DIV/0!</v>
      </c>
      <c r="X25" s="370">
        <f>Шать!C13</f>
        <v>10</v>
      </c>
      <c r="Y25" s="370">
        <f>Шать!D13</f>
        <v>41.775889999999997</v>
      </c>
      <c r="Z25" s="371">
        <f t="shared" si="21"/>
        <v>417.75889999999993</v>
      </c>
      <c r="AA25" s="370">
        <f>Шать!C15</f>
        <v>42</v>
      </c>
      <c r="AB25" s="367">
        <f>Шать!D15</f>
        <v>4.4540699999999998</v>
      </c>
      <c r="AC25" s="371">
        <f t="shared" si="22"/>
        <v>10.604928571428571</v>
      </c>
      <c r="AD25" s="370">
        <f>Шать!C16</f>
        <v>305</v>
      </c>
      <c r="AE25" s="370">
        <f>Шать!D16</f>
        <v>30.78096</v>
      </c>
      <c r="AF25" s="371">
        <f t="shared" si="4"/>
        <v>10.092118032786885</v>
      </c>
      <c r="AG25" s="371">
        <f>Шать!C18</f>
        <v>5</v>
      </c>
      <c r="AH25" s="371">
        <f>Шать!D18</f>
        <v>2.15</v>
      </c>
      <c r="AI25" s="371">
        <f t="shared" si="23"/>
        <v>43</v>
      </c>
      <c r="AJ25" s="371"/>
      <c r="AK25" s="371"/>
      <c r="AL25" s="371" t="e">
        <f>AJ25/AK25*100</f>
        <v>#DIV/0!</v>
      </c>
      <c r="AM25" s="370">
        <v>0</v>
      </c>
      <c r="AN25" s="370">
        <f>0</f>
        <v>0</v>
      </c>
      <c r="AO25" s="371" t="e">
        <f t="shared" si="6"/>
        <v>#DIV/0!</v>
      </c>
      <c r="AP25" s="370">
        <f>Шать!C27</f>
        <v>62</v>
      </c>
      <c r="AQ25" s="377">
        <f>Шать!D27</f>
        <v>51.997799999999998</v>
      </c>
      <c r="AR25" s="371">
        <f t="shared" si="24"/>
        <v>83.867419354838702</v>
      </c>
      <c r="AS25" s="370">
        <f>Шать!C28</f>
        <v>17</v>
      </c>
      <c r="AT25" s="367">
        <f>Шать!D28</f>
        <v>13.005599999999999</v>
      </c>
      <c r="AU25" s="371">
        <f t="shared" si="25"/>
        <v>76.503529411764703</v>
      </c>
      <c r="AV25" s="370"/>
      <c r="AW25" s="370"/>
      <c r="AX25" s="371" t="e">
        <f t="shared" si="26"/>
        <v>#DIV/0!</v>
      </c>
      <c r="AY25" s="371">
        <f>Шать!C29</f>
        <v>30</v>
      </c>
      <c r="AZ25" s="371">
        <f>Шать!D29</f>
        <v>4.7791199999999998</v>
      </c>
      <c r="BA25" s="371">
        <f t="shared" si="27"/>
        <v>15.930400000000001</v>
      </c>
      <c r="BB25" s="371"/>
      <c r="BC25" s="371"/>
      <c r="BD25" s="371"/>
      <c r="BE25" s="371">
        <f>Шать!C33</f>
        <v>0</v>
      </c>
      <c r="BF25" s="371">
        <f>Шать!D33</f>
        <v>0</v>
      </c>
      <c r="BG25" s="371" t="e">
        <f t="shared" si="28"/>
        <v>#DIV/0!</v>
      </c>
      <c r="BH25" s="371"/>
      <c r="BI25" s="371"/>
      <c r="BJ25" s="371" t="e">
        <f t="shared" si="29"/>
        <v>#DIV/0!</v>
      </c>
      <c r="BK25" s="371"/>
      <c r="BL25" s="371"/>
      <c r="BM25" s="371"/>
      <c r="BN25" s="371">
        <f>Шать!C34</f>
        <v>0</v>
      </c>
      <c r="BO25" s="391">
        <f>Шать!D34</f>
        <v>0</v>
      </c>
      <c r="BP25" s="361" t="e">
        <f t="shared" si="30"/>
        <v>#DIV/0!</v>
      </c>
      <c r="BQ25" s="371">
        <f>Шать!C37</f>
        <v>0</v>
      </c>
      <c r="BR25" s="371">
        <f>Шать!D39</f>
        <v>0</v>
      </c>
      <c r="BS25" s="371" t="e">
        <f t="shared" si="31"/>
        <v>#DIV/0!</v>
      </c>
      <c r="BT25" s="371"/>
      <c r="BU25" s="371"/>
      <c r="BV25" s="392" t="e">
        <f t="shared" si="32"/>
        <v>#DIV/0!</v>
      </c>
      <c r="BW25" s="392"/>
      <c r="BX25" s="392"/>
      <c r="BY25" s="392" t="e">
        <f t="shared" si="33"/>
        <v>#DIV/0!</v>
      </c>
      <c r="BZ25" s="370">
        <f t="shared" si="34"/>
        <v>3266.1811199999997</v>
      </c>
      <c r="CA25" s="366">
        <f t="shared" si="35"/>
        <v>1112.028</v>
      </c>
      <c r="CB25" s="371">
        <f t="shared" si="53"/>
        <v>34.046734064766135</v>
      </c>
      <c r="CC25" s="371">
        <f>Шать!C42</f>
        <v>1347.9</v>
      </c>
      <c r="CD25" s="371">
        <f>Шать!D42</f>
        <v>673.95</v>
      </c>
      <c r="CE25" s="371">
        <f t="shared" si="36"/>
        <v>50</v>
      </c>
      <c r="CF25" s="371">
        <f>Шать!C43</f>
        <v>320</v>
      </c>
      <c r="CG25" s="371">
        <f>Шать!D43</f>
        <v>145</v>
      </c>
      <c r="CH25" s="371">
        <f t="shared" si="37"/>
        <v>45.3125</v>
      </c>
      <c r="CI25" s="371">
        <f>Шать!C44</f>
        <v>1213.53934</v>
      </c>
      <c r="CJ25" s="371">
        <f>Шать!D44</f>
        <v>173.25200000000001</v>
      </c>
      <c r="CK25" s="371">
        <f t="shared" si="7"/>
        <v>14.276587028484796</v>
      </c>
      <c r="CL25" s="371">
        <f>Шать!C45</f>
        <v>91.480999999999995</v>
      </c>
      <c r="CM25" s="371">
        <f>Шать!D45</f>
        <v>44.826000000000001</v>
      </c>
      <c r="CN25" s="371">
        <f t="shared" si="8"/>
        <v>49.000338868180279</v>
      </c>
      <c r="CO25" s="371">
        <f>Шать!C46</f>
        <v>175</v>
      </c>
      <c r="CP25" s="371">
        <f>Шать!D46</f>
        <v>75</v>
      </c>
      <c r="CQ25" s="371"/>
      <c r="CR25" s="390">
        <f>Шать!C50</f>
        <v>118.26078</v>
      </c>
      <c r="CS25" s="371">
        <f>Шать!D50</f>
        <v>0</v>
      </c>
      <c r="CT25" s="371">
        <f t="shared" si="9"/>
        <v>0</v>
      </c>
      <c r="CU25" s="371"/>
      <c r="CV25" s="371"/>
      <c r="CW25" s="371"/>
      <c r="CX25" s="370"/>
      <c r="CY25" s="370"/>
      <c r="CZ25" s="371" t="e">
        <f t="shared" si="38"/>
        <v>#DIV/0!</v>
      </c>
      <c r="DA25" s="371"/>
      <c r="DB25" s="371"/>
      <c r="DC25" s="371"/>
      <c r="DD25" s="371"/>
      <c r="DE25" s="371"/>
      <c r="DF25" s="371"/>
      <c r="DG25" s="370">
        <f t="shared" si="39"/>
        <v>4269.7824899999996</v>
      </c>
      <c r="DH25" s="370">
        <f t="shared" si="39"/>
        <v>1428.28494</v>
      </c>
      <c r="DI25" s="371">
        <f>DH25/DG25*100</f>
        <v>33.450999982905458</v>
      </c>
      <c r="DJ25" s="370">
        <f t="shared" si="41"/>
        <v>1090.578</v>
      </c>
      <c r="DK25" s="370">
        <f t="shared" si="41"/>
        <v>462.29465999999996</v>
      </c>
      <c r="DL25" s="371">
        <f t="shared" si="42"/>
        <v>42.389875827313588</v>
      </c>
      <c r="DM25" s="371">
        <f>Шать!C58</f>
        <v>1078.4780000000001</v>
      </c>
      <c r="DN25" s="371">
        <f>Шать!D58</f>
        <v>459.71665999999999</v>
      </c>
      <c r="DO25" s="371">
        <f t="shared" si="43"/>
        <v>42.626429097301937</v>
      </c>
      <c r="DP25" s="371">
        <f>Шать!C61</f>
        <v>0</v>
      </c>
      <c r="DQ25" s="371">
        <f>Шать!D61</f>
        <v>0</v>
      </c>
      <c r="DR25" s="371" t="e">
        <f t="shared" si="44"/>
        <v>#DIV/0!</v>
      </c>
      <c r="DS25" s="371">
        <f>Шать!C62</f>
        <v>5</v>
      </c>
      <c r="DT25" s="371">
        <f>Шать!D62</f>
        <v>0</v>
      </c>
      <c r="DU25" s="371">
        <f t="shared" si="45"/>
        <v>0</v>
      </c>
      <c r="DV25" s="371">
        <f>Шать!C63</f>
        <v>7.1</v>
      </c>
      <c r="DW25" s="371">
        <f>Шать!D63</f>
        <v>2.5779999999999998</v>
      </c>
      <c r="DX25" s="371">
        <f t="shared" si="46"/>
        <v>36.309859154929576</v>
      </c>
      <c r="DY25" s="371">
        <f>Шать!C65</f>
        <v>89.944999999999993</v>
      </c>
      <c r="DZ25" s="371">
        <f>Шать!D65</f>
        <v>39.739049999999999</v>
      </c>
      <c r="EA25" s="371">
        <f t="shared" si="47"/>
        <v>44.181499805436658</v>
      </c>
      <c r="EB25" s="371">
        <f>Шать!C66</f>
        <v>9.4</v>
      </c>
      <c r="EC25" s="371">
        <f>Шать!D66</f>
        <v>0</v>
      </c>
      <c r="ED25" s="371">
        <f t="shared" si="48"/>
        <v>0</v>
      </c>
      <c r="EE25" s="370">
        <f>Шать!C72</f>
        <v>1891.95949</v>
      </c>
      <c r="EF25" s="370">
        <f>Шать!D72</f>
        <v>251.58485999999999</v>
      </c>
      <c r="EG25" s="371">
        <f t="shared" si="49"/>
        <v>13.297581757419131</v>
      </c>
      <c r="EH25" s="370">
        <f>Шать!C77</f>
        <v>385.5</v>
      </c>
      <c r="EI25" s="370">
        <f>Шать!D77</f>
        <v>264.46636999999998</v>
      </c>
      <c r="EJ25" s="371">
        <f t="shared" si="50"/>
        <v>68.603468223086892</v>
      </c>
      <c r="EK25" s="370">
        <f>Шать!C81</f>
        <v>801.4</v>
      </c>
      <c r="EL25" s="393">
        <f>Шать!D81</f>
        <v>410.2</v>
      </c>
      <c r="EM25" s="371">
        <f t="shared" si="10"/>
        <v>51.185425505365615</v>
      </c>
      <c r="EN25" s="371">
        <f>Шать!C83</f>
        <v>0</v>
      </c>
      <c r="EO25" s="371">
        <f>Шать!D83</f>
        <v>0</v>
      </c>
      <c r="EP25" s="371" t="e">
        <f t="shared" si="11"/>
        <v>#DIV/0!</v>
      </c>
      <c r="EQ25" s="389">
        <f>Шать!C88</f>
        <v>1</v>
      </c>
      <c r="ER25" s="389">
        <f>Шать!D88</f>
        <v>0</v>
      </c>
      <c r="ES25" s="371">
        <f t="shared" si="51"/>
        <v>0</v>
      </c>
      <c r="ET25" s="371">
        <f>Шать!C94</f>
        <v>0</v>
      </c>
      <c r="EU25" s="371">
        <f>Шать!D94</f>
        <v>0</v>
      </c>
      <c r="EV25" s="371" t="e">
        <f t="shared" si="52"/>
        <v>#DIV/0!</v>
      </c>
      <c r="EW25" s="394">
        <f t="shared" si="12"/>
        <v>-170.14937000000009</v>
      </c>
      <c r="EX25" s="394">
        <f t="shared" si="13"/>
        <v>42.030230000000074</v>
      </c>
      <c r="EY25" s="371">
        <f t="shared" si="54"/>
        <v>-24.701960401028845</v>
      </c>
      <c r="EZ25" s="185"/>
      <c r="FA25" s="186"/>
      <c r="FC25" s="186"/>
    </row>
    <row r="26" spans="1:170" s="281" customFormat="1" ht="15" customHeight="1">
      <c r="A26" s="413">
        <v>13</v>
      </c>
      <c r="B26" s="409" t="s">
        <v>315</v>
      </c>
      <c r="C26" s="385">
        <f t="shared" si="14"/>
        <v>6572.53262</v>
      </c>
      <c r="D26" s="360">
        <f t="shared" si="0"/>
        <v>1800.6373799999999</v>
      </c>
      <c r="E26" s="368">
        <f t="shared" si="1"/>
        <v>27.396400810864289</v>
      </c>
      <c r="F26" s="384">
        <f t="shared" si="2"/>
        <v>2928.6920000000005</v>
      </c>
      <c r="G26" s="384">
        <f t="shared" si="3"/>
        <v>1097.8593799999999</v>
      </c>
      <c r="H26" s="368">
        <f t="shared" si="15"/>
        <v>37.486337928331139</v>
      </c>
      <c r="I26" s="376">
        <f>Юнг!C6</f>
        <v>132.63200000000001</v>
      </c>
      <c r="J26" s="370">
        <f>Юнг!D6</f>
        <v>56.827190000000002</v>
      </c>
      <c r="K26" s="368">
        <f t="shared" si="16"/>
        <v>42.845761203932689</v>
      </c>
      <c r="L26" s="368">
        <f>Юнг!C8</f>
        <v>186.49</v>
      </c>
      <c r="M26" s="368">
        <f>Юнг!D8</f>
        <v>130.19126</v>
      </c>
      <c r="N26" s="368">
        <f t="shared" si="17"/>
        <v>69.811389350635423</v>
      </c>
      <c r="O26" s="368">
        <f>Юнг!C9</f>
        <v>2</v>
      </c>
      <c r="P26" s="368">
        <f>Юнг!D9</f>
        <v>0.98775999999999997</v>
      </c>
      <c r="Q26" s="368">
        <f t="shared" si="18"/>
        <v>49.387999999999998</v>
      </c>
      <c r="R26" s="368">
        <f>Юнг!C10</f>
        <v>311.47000000000003</v>
      </c>
      <c r="S26" s="368">
        <f>Юнг!D10</f>
        <v>180.41093000000001</v>
      </c>
      <c r="T26" s="368">
        <f t="shared" si="19"/>
        <v>57.92240986290814</v>
      </c>
      <c r="U26" s="368">
        <f>Юнг!C11</f>
        <v>0</v>
      </c>
      <c r="V26" s="382">
        <f>Юнг!D11</f>
        <v>-24.798490000000001</v>
      </c>
      <c r="W26" s="368" t="e">
        <f t="shared" si="20"/>
        <v>#DIV/0!</v>
      </c>
      <c r="X26" s="376">
        <f>Юнг!C13</f>
        <v>40</v>
      </c>
      <c r="Y26" s="376">
        <f>Юнг!D13</f>
        <v>13.89498</v>
      </c>
      <c r="Z26" s="368">
        <f t="shared" si="21"/>
        <v>34.737450000000003</v>
      </c>
      <c r="AA26" s="376">
        <f>Юнг!C15</f>
        <v>229</v>
      </c>
      <c r="AB26" s="367">
        <f>Юнг!D15</f>
        <v>18.115760000000002</v>
      </c>
      <c r="AC26" s="368">
        <f t="shared" si="22"/>
        <v>7.9108122270742358</v>
      </c>
      <c r="AD26" s="376">
        <f>Юнг!C16</f>
        <v>1700</v>
      </c>
      <c r="AE26" s="376">
        <f>Юнг!D16</f>
        <v>511.55185</v>
      </c>
      <c r="AF26" s="368">
        <f t="shared" si="4"/>
        <v>30.091285294117647</v>
      </c>
      <c r="AG26" s="368">
        <f>Юнг!C18</f>
        <v>12</v>
      </c>
      <c r="AH26" s="368">
        <f>Юнг!D18</f>
        <v>5.4</v>
      </c>
      <c r="AI26" s="368">
        <f t="shared" si="23"/>
        <v>45</v>
      </c>
      <c r="AJ26" s="368"/>
      <c r="AK26" s="368"/>
      <c r="AL26" s="368" t="e">
        <f>AJ26/AK26*100</f>
        <v>#DIV/0!</v>
      </c>
      <c r="AM26" s="376">
        <v>0</v>
      </c>
      <c r="AN26" s="376"/>
      <c r="AO26" s="368" t="e">
        <f t="shared" si="6"/>
        <v>#DIV/0!</v>
      </c>
      <c r="AP26" s="376">
        <f>Юнг!C27</f>
        <v>224.4</v>
      </c>
      <c r="AQ26" s="377">
        <f>Юнг!D27</f>
        <v>108.77233</v>
      </c>
      <c r="AR26" s="368">
        <f t="shared" si="24"/>
        <v>48.47251782531194</v>
      </c>
      <c r="AS26" s="376">
        <f>Юнг!C28</f>
        <v>50.7</v>
      </c>
      <c r="AT26" s="377">
        <f>Юнг!D28</f>
        <v>34.913499999999999</v>
      </c>
      <c r="AU26" s="368">
        <f t="shared" si="25"/>
        <v>68.862919132149898</v>
      </c>
      <c r="AV26" s="376"/>
      <c r="AW26" s="376"/>
      <c r="AX26" s="368" t="e">
        <f t="shared" si="26"/>
        <v>#DIV/0!</v>
      </c>
      <c r="AY26" s="368">
        <f>Юнг!C30</f>
        <v>40</v>
      </c>
      <c r="AZ26" s="371">
        <f>Юнг!D30</f>
        <v>61.592309999999998</v>
      </c>
      <c r="BA26" s="368">
        <f t="shared" si="27"/>
        <v>153.98077499999999</v>
      </c>
      <c r="BB26" s="368"/>
      <c r="BC26" s="368"/>
      <c r="BD26" s="368"/>
      <c r="BE26" s="368">
        <f>Юнг!C33</f>
        <v>0</v>
      </c>
      <c r="BF26" s="368">
        <f>Юнг!D31</f>
        <v>0</v>
      </c>
      <c r="BG26" s="368" t="e">
        <f t="shared" si="28"/>
        <v>#DIV/0!</v>
      </c>
      <c r="BH26" s="368"/>
      <c r="BI26" s="368"/>
      <c r="BJ26" s="368" t="e">
        <f t="shared" si="29"/>
        <v>#DIV/0!</v>
      </c>
      <c r="BK26" s="368"/>
      <c r="BL26" s="368"/>
      <c r="BM26" s="368"/>
      <c r="BN26" s="368"/>
      <c r="BO26" s="379">
        <f>Юнг!D34</f>
        <v>0</v>
      </c>
      <c r="BP26" s="361" t="e">
        <f t="shared" si="30"/>
        <v>#DIV/0!</v>
      </c>
      <c r="BQ26" s="368">
        <f>Юнг!C36</f>
        <v>0</v>
      </c>
      <c r="BR26" s="368">
        <f>Юнг!D36</f>
        <v>0</v>
      </c>
      <c r="BS26" s="368" t="e">
        <f t="shared" si="31"/>
        <v>#DIV/0!</v>
      </c>
      <c r="BT26" s="368"/>
      <c r="BU26" s="368"/>
      <c r="BV26" s="380" t="e">
        <f t="shared" si="32"/>
        <v>#DIV/0!</v>
      </c>
      <c r="BW26" s="380"/>
      <c r="BX26" s="380"/>
      <c r="BY26" s="380" t="e">
        <f t="shared" si="33"/>
        <v>#DIV/0!</v>
      </c>
      <c r="BZ26" s="376">
        <f t="shared" si="34"/>
        <v>3643.8406199999995</v>
      </c>
      <c r="CA26" s="376">
        <f t="shared" si="35"/>
        <v>702.77800000000002</v>
      </c>
      <c r="CB26" s="368">
        <f t="shared" si="53"/>
        <v>19.286738177917346</v>
      </c>
      <c r="CC26" s="368">
        <f>Юнг!C41</f>
        <v>767.8</v>
      </c>
      <c r="CD26" s="368">
        <f>Юнг!D41</f>
        <v>383.89800000000002</v>
      </c>
      <c r="CE26" s="368">
        <f t="shared" si="36"/>
        <v>49.999739515498838</v>
      </c>
      <c r="CF26" s="368">
        <f>Юнг!C42</f>
        <v>830</v>
      </c>
      <c r="CG26" s="368">
        <f>Юнг!D42</f>
        <v>0</v>
      </c>
      <c r="CH26" s="368">
        <f t="shared" si="37"/>
        <v>0</v>
      </c>
      <c r="CI26" s="368">
        <f>Юнг!C43</f>
        <v>1855.8026199999999</v>
      </c>
      <c r="CJ26" s="368">
        <f>Юнг!D43</f>
        <v>274.05399999999997</v>
      </c>
      <c r="CK26" s="368">
        <f t="shared" si="7"/>
        <v>14.767410986842986</v>
      </c>
      <c r="CL26" s="368">
        <f>Юнг!C44</f>
        <v>91.736000000000004</v>
      </c>
      <c r="CM26" s="368">
        <f>Юнг!D44</f>
        <v>44.826000000000001</v>
      </c>
      <c r="CN26" s="368">
        <f t="shared" si="8"/>
        <v>48.864131856632071</v>
      </c>
      <c r="CO26" s="368">
        <f>Юнг!C45</f>
        <v>98.501999999999995</v>
      </c>
      <c r="CP26" s="368">
        <f>Юнг!D45</f>
        <v>0</v>
      </c>
      <c r="CQ26" s="368"/>
      <c r="CR26" s="382">
        <f>Юнг!C48</f>
        <v>0</v>
      </c>
      <c r="CS26" s="368">
        <f>Юнг!D48</f>
        <v>0</v>
      </c>
      <c r="CT26" s="368" t="e">
        <f t="shared" si="9"/>
        <v>#DIV/0!</v>
      </c>
      <c r="CU26" s="368"/>
      <c r="CV26" s="368">
        <f>Юнг!D47</f>
        <v>0</v>
      </c>
      <c r="CW26" s="368"/>
      <c r="CX26" s="376"/>
      <c r="CY26" s="376"/>
      <c r="CZ26" s="368" t="e">
        <f t="shared" si="38"/>
        <v>#DIV/0!</v>
      </c>
      <c r="DA26" s="368"/>
      <c r="DB26" s="368"/>
      <c r="DC26" s="368"/>
      <c r="DD26" s="368"/>
      <c r="DE26" s="368"/>
      <c r="DF26" s="368"/>
      <c r="DG26" s="370">
        <f t="shared" si="39"/>
        <v>6755.4331399999992</v>
      </c>
      <c r="DH26" s="370">
        <f t="shared" si="39"/>
        <v>1744.5128</v>
      </c>
      <c r="DI26" s="368">
        <f t="shared" si="40"/>
        <v>25.823848209975775</v>
      </c>
      <c r="DJ26" s="376">
        <f t="shared" si="41"/>
        <v>1454.2819999999999</v>
      </c>
      <c r="DK26" s="376">
        <f t="shared" si="41"/>
        <v>625.45965000000001</v>
      </c>
      <c r="DL26" s="368">
        <f t="shared" si="42"/>
        <v>43.008140787000052</v>
      </c>
      <c r="DM26" s="368">
        <f>Юнг!C57</f>
        <v>1425.6</v>
      </c>
      <c r="DN26" s="368">
        <f>Юнг!D57</f>
        <v>621.77764999999999</v>
      </c>
      <c r="DO26" s="368">
        <f t="shared" si="43"/>
        <v>43.615155022446686</v>
      </c>
      <c r="DP26" s="368">
        <f>Юнг!C60</f>
        <v>0</v>
      </c>
      <c r="DQ26" s="368">
        <f>Юнг!D60</f>
        <v>0</v>
      </c>
      <c r="DR26" s="368" t="e">
        <f t="shared" si="44"/>
        <v>#DIV/0!</v>
      </c>
      <c r="DS26" s="368">
        <f>Юнг!C61</f>
        <v>5</v>
      </c>
      <c r="DT26" s="368">
        <f>Юнг!D61</f>
        <v>0</v>
      </c>
      <c r="DU26" s="368">
        <f t="shared" si="45"/>
        <v>0</v>
      </c>
      <c r="DV26" s="368">
        <f>Юнг!C62</f>
        <v>23.681999999999999</v>
      </c>
      <c r="DW26" s="368">
        <f>Юнг!D62</f>
        <v>3.6819999999999999</v>
      </c>
      <c r="DX26" s="368">
        <f t="shared" si="46"/>
        <v>15.547673338400472</v>
      </c>
      <c r="DY26" s="368">
        <f>Юнг!C64</f>
        <v>89.945999999999998</v>
      </c>
      <c r="DZ26" s="368">
        <f>Юнг!D64</f>
        <v>44.44341</v>
      </c>
      <c r="EA26" s="368">
        <f t="shared" si="47"/>
        <v>49.411213394703488</v>
      </c>
      <c r="EB26" s="368">
        <f>Юнг!C65</f>
        <v>24.314999999999998</v>
      </c>
      <c r="EC26" s="368">
        <f>Юнг!D65</f>
        <v>8.8130000000000006</v>
      </c>
      <c r="ED26" s="368">
        <f t="shared" si="48"/>
        <v>36.245116183425871</v>
      </c>
      <c r="EE26" s="376">
        <f>Юнг!C71</f>
        <v>3106.1230399999999</v>
      </c>
      <c r="EF26" s="376">
        <f>Юнг!D71</f>
        <v>540.78216000000009</v>
      </c>
      <c r="EG26" s="368">
        <f t="shared" si="49"/>
        <v>17.410197633381582</v>
      </c>
      <c r="EH26" s="376">
        <f>Юнг!C76</f>
        <v>379.23410000000001</v>
      </c>
      <c r="EI26" s="376">
        <f>Юнг!D76</f>
        <v>86.791579999999996</v>
      </c>
      <c r="EJ26" s="368">
        <f t="shared" si="50"/>
        <v>22.886016842894662</v>
      </c>
      <c r="EK26" s="376">
        <f>Юнг!C80</f>
        <v>1681.2</v>
      </c>
      <c r="EL26" s="383">
        <f>Юнг!D80</f>
        <v>426.39</v>
      </c>
      <c r="EM26" s="368">
        <f t="shared" si="10"/>
        <v>25.362241256245539</v>
      </c>
      <c r="EN26" s="368">
        <f>Юнг!C82</f>
        <v>0</v>
      </c>
      <c r="EO26" s="368">
        <f>Юнг!D82</f>
        <v>0</v>
      </c>
      <c r="EP26" s="368" t="e">
        <f t="shared" si="11"/>
        <v>#DIV/0!</v>
      </c>
      <c r="EQ26" s="384">
        <f>Юнг!C87</f>
        <v>20.332999999999998</v>
      </c>
      <c r="ER26" s="384">
        <f>Юнг!D87</f>
        <v>11.833</v>
      </c>
      <c r="ES26" s="368">
        <f t="shared" si="51"/>
        <v>58.196036000590176</v>
      </c>
      <c r="ET26" s="368">
        <f>Юнг!C93</f>
        <v>0</v>
      </c>
      <c r="EU26" s="368">
        <f>Юнг!D93</f>
        <v>0</v>
      </c>
      <c r="EV26" s="368" t="e">
        <f t="shared" si="52"/>
        <v>#DIV/0!</v>
      </c>
      <c r="EW26" s="395">
        <f t="shared" si="12"/>
        <v>-182.90051999999923</v>
      </c>
      <c r="EX26" s="395">
        <f t="shared" si="13"/>
        <v>56.124579999999924</v>
      </c>
      <c r="EY26" s="368">
        <f t="shared" si="54"/>
        <v>-30.685850428418771</v>
      </c>
      <c r="EZ26" s="279"/>
      <c r="FA26" s="280"/>
      <c r="FC26" s="280"/>
    </row>
    <row r="27" spans="1:170" s="162" customFormat="1" ht="15" customHeight="1">
      <c r="A27" s="407">
        <v>14</v>
      </c>
      <c r="B27" s="409" t="s">
        <v>316</v>
      </c>
      <c r="C27" s="359">
        <f t="shared" si="14"/>
        <v>6769.0080000000007</v>
      </c>
      <c r="D27" s="360">
        <f t="shared" si="0"/>
        <v>3229.1475699999996</v>
      </c>
      <c r="E27" s="368">
        <f t="shared" si="1"/>
        <v>47.704886299440027</v>
      </c>
      <c r="F27" s="362">
        <f>I27+X27+AA27+AD27+AG27+AM27+AS27+BE27+BQ27+BN27+AJ27+AY27+L27+R27+O27+U27+AP27</f>
        <v>1522.8040000000001</v>
      </c>
      <c r="G27" s="362">
        <f t="shared" si="3"/>
        <v>716.27657000000011</v>
      </c>
      <c r="H27" s="368">
        <f t="shared" si="15"/>
        <v>47.036688240902969</v>
      </c>
      <c r="I27" s="376">
        <f>Юсь!C6</f>
        <v>132.44399999999999</v>
      </c>
      <c r="J27" s="370">
        <f>Юсь!D6</f>
        <v>70.763189999999994</v>
      </c>
      <c r="K27" s="368">
        <f t="shared" si="16"/>
        <v>53.428762344840088</v>
      </c>
      <c r="L27" s="368">
        <f>Юсь!C8</f>
        <v>250.79</v>
      </c>
      <c r="M27" s="368">
        <f>Юсь!D8</f>
        <v>175.08482000000001</v>
      </c>
      <c r="N27" s="361">
        <f t="shared" si="17"/>
        <v>69.813317915387387</v>
      </c>
      <c r="O27" s="361">
        <f>Юсь!C9</f>
        <v>2.69</v>
      </c>
      <c r="P27" s="361">
        <f>Юсь!D9</f>
        <v>1.3283799999999999</v>
      </c>
      <c r="Q27" s="361">
        <f t="shared" si="18"/>
        <v>49.382156133828992</v>
      </c>
      <c r="R27" s="361">
        <f>Юсь!C10</f>
        <v>418.88</v>
      </c>
      <c r="S27" s="361">
        <f>Юсь!D10</f>
        <v>242.62161</v>
      </c>
      <c r="T27" s="361">
        <f t="shared" si="19"/>
        <v>57.921507352941184</v>
      </c>
      <c r="U27" s="361">
        <f>Юсь!C11</f>
        <v>0</v>
      </c>
      <c r="V27" s="365">
        <f>Юсь!D11</f>
        <v>-33.349710000000002</v>
      </c>
      <c r="W27" s="361" t="e">
        <f t="shared" si="20"/>
        <v>#DIV/0!</v>
      </c>
      <c r="X27" s="376">
        <f>Юсь!C13</f>
        <v>10</v>
      </c>
      <c r="Y27" s="376">
        <f>Юсь!D13</f>
        <v>0.31428</v>
      </c>
      <c r="Z27" s="368">
        <f t="shared" si="21"/>
        <v>3.1427999999999998</v>
      </c>
      <c r="AA27" s="376">
        <f>Юсь!C15</f>
        <v>128</v>
      </c>
      <c r="AB27" s="367">
        <f>Юсь!D15</f>
        <v>5.4459200000000001</v>
      </c>
      <c r="AC27" s="368">
        <f t="shared" si="22"/>
        <v>4.2546249999999999</v>
      </c>
      <c r="AD27" s="376">
        <f>Юсь!C16</f>
        <v>325</v>
      </c>
      <c r="AE27" s="376">
        <f>Юсь!D16</f>
        <v>25.703009999999999</v>
      </c>
      <c r="AF27" s="368">
        <f t="shared" si="4"/>
        <v>7.9086184615384605</v>
      </c>
      <c r="AG27" s="368">
        <f>Юсь!C18</f>
        <v>5</v>
      </c>
      <c r="AH27" s="368">
        <f>Юсь!D18</f>
        <v>2.5</v>
      </c>
      <c r="AI27" s="368">
        <f t="shared" si="23"/>
        <v>50</v>
      </c>
      <c r="AJ27" s="368"/>
      <c r="AK27" s="368"/>
      <c r="AL27" s="368" t="e">
        <f>AJ27/AK27*100</f>
        <v>#DIV/0!</v>
      </c>
      <c r="AM27" s="376">
        <v>0</v>
      </c>
      <c r="AN27" s="376">
        <v>0</v>
      </c>
      <c r="AO27" s="368" t="e">
        <f t="shared" si="6"/>
        <v>#DIV/0!</v>
      </c>
      <c r="AP27" s="376">
        <f>Юсь!C27</f>
        <v>0</v>
      </c>
      <c r="AQ27" s="377">
        <f>Юсь!D27</f>
        <v>0</v>
      </c>
      <c r="AR27" s="368" t="e">
        <f t="shared" si="24"/>
        <v>#DIV/0!</v>
      </c>
      <c r="AS27" s="370">
        <f>Юсь!C28</f>
        <v>50</v>
      </c>
      <c r="AT27" s="377">
        <f>Юсь!D28</f>
        <v>12</v>
      </c>
      <c r="AU27" s="368">
        <f t="shared" si="25"/>
        <v>24</v>
      </c>
      <c r="AV27" s="376"/>
      <c r="AW27" s="376"/>
      <c r="AX27" s="368" t="e">
        <f t="shared" si="26"/>
        <v>#DIV/0!</v>
      </c>
      <c r="AY27" s="368">
        <f>Юсь!C30</f>
        <v>200</v>
      </c>
      <c r="AZ27" s="371">
        <f>Юсь!D30</f>
        <v>213.86507</v>
      </c>
      <c r="BA27" s="368">
        <f t="shared" si="27"/>
        <v>106.932535</v>
      </c>
      <c r="BB27" s="368"/>
      <c r="BC27" s="368"/>
      <c r="BD27" s="368"/>
      <c r="BE27" s="368">
        <f>Юсь!C31</f>
        <v>0</v>
      </c>
      <c r="BF27" s="368">
        <f>Юсь!D31</f>
        <v>0</v>
      </c>
      <c r="BG27" s="368" t="e">
        <f t="shared" si="28"/>
        <v>#DIV/0!</v>
      </c>
      <c r="BH27" s="368"/>
      <c r="BI27" s="368"/>
      <c r="BJ27" s="368" t="e">
        <f t="shared" si="29"/>
        <v>#DIV/0!</v>
      </c>
      <c r="BK27" s="368"/>
      <c r="BL27" s="368"/>
      <c r="BM27" s="368"/>
      <c r="BN27" s="368"/>
      <c r="BO27" s="379"/>
      <c r="BP27" s="361" t="e">
        <f t="shared" si="30"/>
        <v>#DIV/0!</v>
      </c>
      <c r="BQ27" s="368">
        <f>Юсь!C34</f>
        <v>0</v>
      </c>
      <c r="BR27" s="368">
        <f>Юсь!D34</f>
        <v>0</v>
      </c>
      <c r="BS27" s="368" t="e">
        <f t="shared" si="31"/>
        <v>#DIV/0!</v>
      </c>
      <c r="BT27" s="368"/>
      <c r="BU27" s="368"/>
      <c r="BV27" s="380" t="e">
        <f t="shared" si="32"/>
        <v>#DIV/0!</v>
      </c>
      <c r="BW27" s="380"/>
      <c r="BX27" s="380"/>
      <c r="BY27" s="380" t="e">
        <f t="shared" si="33"/>
        <v>#DIV/0!</v>
      </c>
      <c r="BZ27" s="366">
        <f t="shared" si="34"/>
        <v>5246.2040000000006</v>
      </c>
      <c r="CA27" s="366">
        <f t="shared" si="35"/>
        <v>2512.8709999999996</v>
      </c>
      <c r="CB27" s="368">
        <f t="shared" si="53"/>
        <v>47.898842667955712</v>
      </c>
      <c r="CC27" s="368">
        <f>Юсь!C39</f>
        <v>3029</v>
      </c>
      <c r="CD27" s="368">
        <f>Юсь!D39</f>
        <v>1514.502</v>
      </c>
      <c r="CE27" s="368">
        <f t="shared" si="36"/>
        <v>50.000066028392212</v>
      </c>
      <c r="CF27" s="379">
        <f>Юсь!C41</f>
        <v>712.5</v>
      </c>
      <c r="CG27" s="368">
        <f>Юсь!D41</f>
        <v>650</v>
      </c>
      <c r="CH27" s="368">
        <f t="shared" si="37"/>
        <v>91.228070175438589</v>
      </c>
      <c r="CI27" s="368">
        <f>Юсь!C42</f>
        <v>1262.047</v>
      </c>
      <c r="CJ27" s="368">
        <f>Юсь!D42</f>
        <v>258.72000000000003</v>
      </c>
      <c r="CK27" s="368">
        <f t="shared" si="7"/>
        <v>20.500028921268385</v>
      </c>
      <c r="CL27" s="368">
        <f>Юсь!C43</f>
        <v>182.65700000000001</v>
      </c>
      <c r="CM27" s="368">
        <f>Юсь!D43</f>
        <v>89.649000000000001</v>
      </c>
      <c r="CN27" s="368">
        <f t="shared" si="8"/>
        <v>49.080517034660595</v>
      </c>
      <c r="CO27" s="368">
        <f>Юсь!C50</f>
        <v>60</v>
      </c>
      <c r="CP27" s="368">
        <f>Юсь!D50</f>
        <v>0</v>
      </c>
      <c r="CQ27" s="368"/>
      <c r="CR27" s="382">
        <f>Юсь!C51</f>
        <v>0</v>
      </c>
      <c r="CS27" s="368">
        <f>Юсь!D51</f>
        <v>0</v>
      </c>
      <c r="CT27" s="368" t="e">
        <f t="shared" si="9"/>
        <v>#DIV/0!</v>
      </c>
      <c r="CU27" s="368"/>
      <c r="CV27" s="368"/>
      <c r="CW27" s="368"/>
      <c r="CX27" s="376"/>
      <c r="CY27" s="376"/>
      <c r="CZ27" s="368" t="e">
        <f t="shared" si="38"/>
        <v>#DIV/0!</v>
      </c>
      <c r="DA27" s="368"/>
      <c r="DB27" s="368"/>
      <c r="DC27" s="368"/>
      <c r="DD27" s="368"/>
      <c r="DE27" s="368"/>
      <c r="DF27" s="368"/>
      <c r="DG27" s="370">
        <f t="shared" si="39"/>
        <v>7029.57755</v>
      </c>
      <c r="DH27" s="370">
        <f t="shared" si="39"/>
        <v>3322.3544700000002</v>
      </c>
      <c r="DI27" s="368">
        <f t="shared" si="40"/>
        <v>47.26250541186505</v>
      </c>
      <c r="DJ27" s="376">
        <f t="shared" si="41"/>
        <v>1284.7919999999999</v>
      </c>
      <c r="DK27" s="376">
        <f t="shared" si="41"/>
        <v>590.13846000000001</v>
      </c>
      <c r="DL27" s="368">
        <f t="shared" si="42"/>
        <v>45.932606990080885</v>
      </c>
      <c r="DM27" s="368">
        <f>Юсь!C59</f>
        <v>1225.2919999999999</v>
      </c>
      <c r="DN27" s="368">
        <f>Юсь!D59</f>
        <v>535.94646</v>
      </c>
      <c r="DO27" s="368">
        <f t="shared" si="43"/>
        <v>43.740305168074222</v>
      </c>
      <c r="DP27" s="368">
        <f>Юсь!C62</f>
        <v>0</v>
      </c>
      <c r="DQ27" s="368">
        <f>Юсь!D62</f>
        <v>0</v>
      </c>
      <c r="DR27" s="368" t="e">
        <f t="shared" si="44"/>
        <v>#DIV/0!</v>
      </c>
      <c r="DS27" s="368">
        <f>Юсь!C63</f>
        <v>5</v>
      </c>
      <c r="DT27" s="368">
        <f>Юсь!D63</f>
        <v>0</v>
      </c>
      <c r="DU27" s="368">
        <f t="shared" si="45"/>
        <v>0</v>
      </c>
      <c r="DV27" s="368">
        <f>Юсь!C64</f>
        <v>54.5</v>
      </c>
      <c r="DW27" s="368">
        <f>Юсь!D64</f>
        <v>54.192</v>
      </c>
      <c r="DX27" s="368">
        <f t="shared" si="46"/>
        <v>99.434862385321097</v>
      </c>
      <c r="DY27" s="368">
        <f>Юсь!C66</f>
        <v>179.892</v>
      </c>
      <c r="DZ27" s="368">
        <f>Юсь!D66</f>
        <v>77.644999999999996</v>
      </c>
      <c r="EA27" s="368">
        <f t="shared" si="47"/>
        <v>43.162008316100767</v>
      </c>
      <c r="EB27" s="368">
        <f>Юсь!C67</f>
        <v>18.399999999999999</v>
      </c>
      <c r="EC27" s="368">
        <f>Юсь!D67</f>
        <v>3.5</v>
      </c>
      <c r="ED27" s="368">
        <f t="shared" si="48"/>
        <v>19.021739130434785</v>
      </c>
      <c r="EE27" s="376">
        <f>Юсь!C73</f>
        <v>2317.6485499999999</v>
      </c>
      <c r="EF27" s="376">
        <f>Юсь!D73</f>
        <v>529.471</v>
      </c>
      <c r="EG27" s="368">
        <f t="shared" si="49"/>
        <v>22.845180732859603</v>
      </c>
      <c r="EH27" s="376">
        <f>Юсь!C78</f>
        <v>504.66699999999997</v>
      </c>
      <c r="EI27" s="376">
        <f>Юсь!D78</f>
        <v>356.97426999999999</v>
      </c>
      <c r="EJ27" s="368">
        <f t="shared" si="50"/>
        <v>70.734617084136673</v>
      </c>
      <c r="EK27" s="376">
        <f>Юсь!C82</f>
        <v>2697.1779999999999</v>
      </c>
      <c r="EL27" s="383">
        <f>Юсь!D82</f>
        <v>1764.62574</v>
      </c>
      <c r="EM27" s="368">
        <f t="shared" si="10"/>
        <v>65.424890014674602</v>
      </c>
      <c r="EN27" s="368">
        <f>Юсь!C84</f>
        <v>0</v>
      </c>
      <c r="EO27" s="368">
        <f>Юсь!D84</f>
        <v>0</v>
      </c>
      <c r="EP27" s="368" t="e">
        <f t="shared" si="11"/>
        <v>#DIV/0!</v>
      </c>
      <c r="EQ27" s="384">
        <f>Юсь!C89</f>
        <v>27</v>
      </c>
      <c r="ER27" s="384">
        <f>Юсь!D89</f>
        <v>0</v>
      </c>
      <c r="ES27" s="368">
        <f t="shared" si="51"/>
        <v>0</v>
      </c>
      <c r="ET27" s="368">
        <f>Юсь!C95</f>
        <v>0</v>
      </c>
      <c r="EU27" s="368">
        <f>Юсь!D95</f>
        <v>0</v>
      </c>
      <c r="EV27" s="361" t="e">
        <f t="shared" si="52"/>
        <v>#DIV/0!</v>
      </c>
      <c r="EW27" s="375">
        <f t="shared" si="12"/>
        <v>-260.56954999999925</v>
      </c>
      <c r="EX27" s="375">
        <f t="shared" si="13"/>
        <v>-93.206900000000587</v>
      </c>
      <c r="EY27" s="361">
        <f t="shared" si="54"/>
        <v>35.770449770512656</v>
      </c>
      <c r="EZ27" s="164"/>
      <c r="FA27" s="165"/>
      <c r="FC27" s="165"/>
    </row>
    <row r="28" spans="1:170" s="162" customFormat="1" ht="15" customHeight="1">
      <c r="A28" s="407">
        <v>15</v>
      </c>
      <c r="B28" s="409" t="s">
        <v>317</v>
      </c>
      <c r="C28" s="385">
        <f t="shared" si="14"/>
        <v>13189.448579999998</v>
      </c>
      <c r="D28" s="360">
        <f>G28+CA28+CY28</f>
        <v>2417.6628600000004</v>
      </c>
      <c r="E28" s="368">
        <f>D28/C28*100</f>
        <v>18.330280036620007</v>
      </c>
      <c r="F28" s="362">
        <f t="shared" si="2"/>
        <v>3043.3092899999997</v>
      </c>
      <c r="G28" s="362">
        <f>J28+Y28+AB28+AE28+AH28+AN28+AT28+BF28+AK28+BR28+BO28+AZ28+M28+S28+P28+V28+AQ28</f>
        <v>797.7884600000001</v>
      </c>
      <c r="H28" s="368">
        <f>G28/F28*100</f>
        <v>26.214504803092169</v>
      </c>
      <c r="I28" s="376">
        <f>Яра!C6</f>
        <v>137.33699999999999</v>
      </c>
      <c r="J28" s="370">
        <f>Яра!D6</f>
        <v>61.02807</v>
      </c>
      <c r="K28" s="368">
        <f t="shared" si="16"/>
        <v>44.436728631031698</v>
      </c>
      <c r="L28" s="368">
        <f>Яра!C8</f>
        <v>274.90499999999997</v>
      </c>
      <c r="M28" s="368">
        <f>Яра!D8</f>
        <v>191.91990000000001</v>
      </c>
      <c r="N28" s="361">
        <f t="shared" si="17"/>
        <v>69.813171822993411</v>
      </c>
      <c r="O28" s="361">
        <f>Яра!C9</f>
        <v>2.948</v>
      </c>
      <c r="P28" s="361">
        <f>Яра!D9</f>
        <v>1.4561200000000001</v>
      </c>
      <c r="Q28" s="361">
        <f t="shared" si="18"/>
        <v>49.393487109905024</v>
      </c>
      <c r="R28" s="361">
        <f>Яра!C10</f>
        <v>459.15699999999998</v>
      </c>
      <c r="S28" s="361">
        <f>Яра!D10</f>
        <v>265.95058</v>
      </c>
      <c r="T28" s="361">
        <f t="shared" si="19"/>
        <v>57.921490906160642</v>
      </c>
      <c r="U28" s="361">
        <f>Яра!C11</f>
        <v>0</v>
      </c>
      <c r="V28" s="365">
        <f>Яра!D11</f>
        <v>-36.556440000000002</v>
      </c>
      <c r="W28" s="361" t="e">
        <f t="shared" si="20"/>
        <v>#DIV/0!</v>
      </c>
      <c r="X28" s="376">
        <f>Яра!C13</f>
        <v>21</v>
      </c>
      <c r="Y28" s="376">
        <f>Яра!D13</f>
        <v>18.549779999999998</v>
      </c>
      <c r="Z28" s="368">
        <f t="shared" si="21"/>
        <v>88.332285714285703</v>
      </c>
      <c r="AA28" s="376">
        <f>Яра!C15</f>
        <v>201</v>
      </c>
      <c r="AB28" s="367">
        <f>Яра!D15</f>
        <v>37.95158</v>
      </c>
      <c r="AC28" s="368">
        <f t="shared" si="22"/>
        <v>18.881383084577113</v>
      </c>
      <c r="AD28" s="376">
        <f>Яра!C16</f>
        <v>1494.3772899999999</v>
      </c>
      <c r="AE28" s="376">
        <f>Яра!D16</f>
        <v>136.17581999999999</v>
      </c>
      <c r="AF28" s="368">
        <f t="shared" si="4"/>
        <v>9.1125461361902786</v>
      </c>
      <c r="AG28" s="368">
        <f>Яра!C18</f>
        <v>12</v>
      </c>
      <c r="AH28" s="368">
        <f>Яра!D18</f>
        <v>4.2699999999999996</v>
      </c>
      <c r="AI28" s="368">
        <f t="shared" si="23"/>
        <v>35.583333333333329</v>
      </c>
      <c r="AJ28" s="368"/>
      <c r="AK28" s="368"/>
      <c r="AL28" s="368" t="e">
        <f>AJ28/AK28*100</f>
        <v>#DIV/0!</v>
      </c>
      <c r="AM28" s="376">
        <v>0</v>
      </c>
      <c r="AN28" s="376">
        <v>0</v>
      </c>
      <c r="AO28" s="368" t="e">
        <f t="shared" si="6"/>
        <v>#DIV/0!</v>
      </c>
      <c r="AP28" s="376">
        <f>Яра!C27</f>
        <v>10</v>
      </c>
      <c r="AQ28" s="377">
        <f>Яра!D27</f>
        <v>15.84501</v>
      </c>
      <c r="AR28" s="368">
        <f t="shared" si="24"/>
        <v>158.45009999999999</v>
      </c>
      <c r="AS28" s="370">
        <f>Яра!C28</f>
        <v>0</v>
      </c>
      <c r="AT28" s="377">
        <f>Яра!D28</f>
        <v>0</v>
      </c>
      <c r="AU28" s="368" t="e">
        <f t="shared" si="25"/>
        <v>#DIV/0!</v>
      </c>
      <c r="AV28" s="376"/>
      <c r="AW28" s="376"/>
      <c r="AX28" s="368" t="e">
        <f t="shared" si="26"/>
        <v>#DIV/0!</v>
      </c>
      <c r="AY28" s="368">
        <f>Яра!C31</f>
        <v>0</v>
      </c>
      <c r="AZ28" s="371">
        <f>Яра!D31</f>
        <v>62.318449999999999</v>
      </c>
      <c r="BA28" s="368" t="e">
        <f t="shared" si="27"/>
        <v>#DIV/0!</v>
      </c>
      <c r="BB28" s="368"/>
      <c r="BC28" s="368"/>
      <c r="BD28" s="368"/>
      <c r="BE28" s="368">
        <f>Яра!C34</f>
        <v>430.58499999999998</v>
      </c>
      <c r="BF28" s="368">
        <v>0</v>
      </c>
      <c r="BG28" s="368">
        <f t="shared" si="28"/>
        <v>0</v>
      </c>
      <c r="BH28" s="368"/>
      <c r="BI28" s="368"/>
      <c r="BJ28" s="368" t="e">
        <f t="shared" si="29"/>
        <v>#DIV/0!</v>
      </c>
      <c r="BK28" s="368"/>
      <c r="BL28" s="368"/>
      <c r="BM28" s="368"/>
      <c r="BN28" s="368">
        <f>Яра!C35</f>
        <v>0</v>
      </c>
      <c r="BO28" s="379">
        <f>Яра!D35</f>
        <v>38.87959</v>
      </c>
      <c r="BP28" s="361" t="e">
        <f t="shared" si="30"/>
        <v>#DIV/0!</v>
      </c>
      <c r="BQ28" s="368">
        <f>Яра!C37</f>
        <v>0</v>
      </c>
      <c r="BR28" s="368">
        <f>Яра!D37</f>
        <v>0</v>
      </c>
      <c r="BS28" s="368" t="e">
        <f t="shared" si="31"/>
        <v>#DIV/0!</v>
      </c>
      <c r="BT28" s="368"/>
      <c r="BU28" s="368"/>
      <c r="BV28" s="380" t="e">
        <f t="shared" si="32"/>
        <v>#DIV/0!</v>
      </c>
      <c r="BW28" s="380"/>
      <c r="BX28" s="380"/>
      <c r="BY28" s="380" t="e">
        <f t="shared" si="33"/>
        <v>#DIV/0!</v>
      </c>
      <c r="BZ28" s="366">
        <f t="shared" si="34"/>
        <v>10146.139289999999</v>
      </c>
      <c r="CA28" s="366">
        <f t="shared" si="35"/>
        <v>1619.8744000000002</v>
      </c>
      <c r="CB28" s="368">
        <f t="shared" si="53"/>
        <v>15.965426392248949</v>
      </c>
      <c r="CC28" s="368">
        <f>Яра!C42</f>
        <v>1852.8</v>
      </c>
      <c r="CD28" s="368">
        <f>Яра!D42</f>
        <v>926.4</v>
      </c>
      <c r="CE28" s="368">
        <f t="shared" si="36"/>
        <v>50</v>
      </c>
      <c r="CF28" s="368">
        <f>Яра!C43</f>
        <v>494</v>
      </c>
      <c r="CG28" s="368">
        <f>Яра!D43</f>
        <v>200</v>
      </c>
      <c r="CH28" s="368">
        <f t="shared" si="37"/>
        <v>40.48582995951417</v>
      </c>
      <c r="CI28" s="368">
        <f>Яра!C44</f>
        <v>4723.53629</v>
      </c>
      <c r="CJ28" s="368">
        <f>Яра!D44</f>
        <v>403.22800000000001</v>
      </c>
      <c r="CK28" s="368">
        <f t="shared" si="7"/>
        <v>8.5365703837960769</v>
      </c>
      <c r="CL28" s="368">
        <f>Яра!C45</f>
        <v>182.04300000000001</v>
      </c>
      <c r="CM28" s="368">
        <f>Яра!D45</f>
        <v>90.246399999999994</v>
      </c>
      <c r="CN28" s="368">
        <f t="shared" si="8"/>
        <v>49.574221475145983</v>
      </c>
      <c r="CO28" s="368">
        <f>Яра!C47</f>
        <v>2893.76</v>
      </c>
      <c r="CP28" s="368">
        <f>Яра!D47</f>
        <v>0</v>
      </c>
      <c r="CQ28" s="368"/>
      <c r="CR28" s="382">
        <f>Яра!C51</f>
        <v>0</v>
      </c>
      <c r="CS28" s="368">
        <f>Яра!D51</f>
        <v>0</v>
      </c>
      <c r="CT28" s="368" t="e">
        <f t="shared" si="9"/>
        <v>#DIV/0!</v>
      </c>
      <c r="CU28" s="368"/>
      <c r="CV28" s="368"/>
      <c r="CW28" s="368"/>
      <c r="CX28" s="376"/>
      <c r="CY28" s="376"/>
      <c r="CZ28" s="368" t="e">
        <f t="shared" si="38"/>
        <v>#DIV/0!</v>
      </c>
      <c r="DA28" s="368"/>
      <c r="DB28" s="368">
        <f>Яра!D46</f>
        <v>0</v>
      </c>
      <c r="DC28" s="368" t="e">
        <f>DB28/DA28</f>
        <v>#DIV/0!</v>
      </c>
      <c r="DD28" s="368"/>
      <c r="DE28" s="368"/>
      <c r="DF28" s="368"/>
      <c r="DG28" s="370">
        <f t="shared" si="39"/>
        <v>14404.347639999998</v>
      </c>
      <c r="DH28" s="370">
        <f t="shared" si="39"/>
        <v>2671.4196799999995</v>
      </c>
      <c r="DI28" s="368">
        <f t="shared" si="40"/>
        <v>18.545926179826633</v>
      </c>
      <c r="DJ28" s="376">
        <f t="shared" si="41"/>
        <v>1320</v>
      </c>
      <c r="DK28" s="376">
        <f t="shared" si="41"/>
        <v>668.74072999999999</v>
      </c>
      <c r="DL28" s="368">
        <f t="shared" si="42"/>
        <v>50.662176515151515</v>
      </c>
      <c r="DM28" s="368">
        <f>Яра!C59</f>
        <v>1267.0999999999999</v>
      </c>
      <c r="DN28" s="368">
        <f>Яра!D59</f>
        <v>660.97122999999999</v>
      </c>
      <c r="DO28" s="368">
        <f t="shared" si="43"/>
        <v>52.164093599558051</v>
      </c>
      <c r="DP28" s="368">
        <f>Яра!C62</f>
        <v>20.13</v>
      </c>
      <c r="DQ28" s="368">
        <f>Яра!D62</f>
        <v>0</v>
      </c>
      <c r="DR28" s="368">
        <f t="shared" si="44"/>
        <v>0</v>
      </c>
      <c r="DS28" s="368">
        <f>Яра!C63</f>
        <v>5</v>
      </c>
      <c r="DT28" s="368">
        <f>Яра!D63</f>
        <v>0</v>
      </c>
      <c r="DU28" s="368">
        <f t="shared" si="45"/>
        <v>0</v>
      </c>
      <c r="DV28" s="368">
        <f>Яра!C64</f>
        <v>27.77</v>
      </c>
      <c r="DW28" s="368">
        <f>Яра!D64</f>
        <v>7.7694999999999999</v>
      </c>
      <c r="DX28" s="368">
        <f t="shared" si="46"/>
        <v>27.97803384947785</v>
      </c>
      <c r="DY28" s="368">
        <f>Яра!C66</f>
        <v>179.892</v>
      </c>
      <c r="DZ28" s="368">
        <f>Яра!D65</f>
        <v>77.930790000000002</v>
      </c>
      <c r="EA28" s="368">
        <f t="shared" si="47"/>
        <v>43.320875858848645</v>
      </c>
      <c r="EB28" s="368">
        <f>Яра!C67</f>
        <v>12.175000000000001</v>
      </c>
      <c r="EC28" s="368">
        <f>Яра!D67</f>
        <v>1.175</v>
      </c>
      <c r="ED28" s="368">
        <f t="shared" si="48"/>
        <v>9.6509240246406574</v>
      </c>
      <c r="EE28" s="376">
        <f>Яра!C73</f>
        <v>5523.0478000000003</v>
      </c>
      <c r="EF28" s="376">
        <f>Яра!D73</f>
        <v>561.05334000000005</v>
      </c>
      <c r="EG28" s="368">
        <f t="shared" si="49"/>
        <v>10.158400946665717</v>
      </c>
      <c r="EH28" s="376">
        <f>Яра!C78</f>
        <v>770.34400000000005</v>
      </c>
      <c r="EI28" s="376">
        <f>Яра!D78</f>
        <v>204.07909000000001</v>
      </c>
      <c r="EJ28" s="368">
        <f t="shared" si="50"/>
        <v>26.491942560726116</v>
      </c>
      <c r="EK28" s="376">
        <f>Яра!C82</f>
        <v>6565.6698399999996</v>
      </c>
      <c r="EL28" s="383">
        <f>Яра!D82</f>
        <v>1132.67173</v>
      </c>
      <c r="EM28" s="368">
        <f t="shared" si="10"/>
        <v>17.251426855176746</v>
      </c>
      <c r="EN28" s="368">
        <f>Яра!C84</f>
        <v>0</v>
      </c>
      <c r="EO28" s="368">
        <f>Яра!D84</f>
        <v>0</v>
      </c>
      <c r="EP28" s="368" t="e">
        <f t="shared" si="11"/>
        <v>#DIV/0!</v>
      </c>
      <c r="EQ28" s="384">
        <f>Яра!C89</f>
        <v>33.219000000000001</v>
      </c>
      <c r="ER28" s="384">
        <f>Яра!D89</f>
        <v>25.768999999999998</v>
      </c>
      <c r="ES28" s="368">
        <f t="shared" si="51"/>
        <v>77.573075649477701</v>
      </c>
      <c r="ET28" s="368">
        <f>Яра!C95</f>
        <v>0</v>
      </c>
      <c r="EU28" s="368">
        <f>Яра!D95</f>
        <v>0</v>
      </c>
      <c r="EV28" s="361" t="e">
        <f t="shared" si="52"/>
        <v>#DIV/0!</v>
      </c>
      <c r="EW28" s="375">
        <f t="shared" si="12"/>
        <v>-1214.8990599999997</v>
      </c>
      <c r="EX28" s="375">
        <f t="shared" si="13"/>
        <v>-253.75681999999915</v>
      </c>
      <c r="EY28" s="361">
        <f t="shared" si="54"/>
        <v>20.887070239399083</v>
      </c>
      <c r="EZ28" s="164"/>
      <c r="FA28" s="165"/>
      <c r="FC28" s="165"/>
    </row>
    <row r="29" spans="1:170" s="162" customFormat="1" ht="15" customHeight="1">
      <c r="A29" s="407">
        <v>16</v>
      </c>
      <c r="B29" s="408" t="s">
        <v>318</v>
      </c>
      <c r="C29" s="359">
        <f t="shared" si="14"/>
        <v>12375.362450000001</v>
      </c>
      <c r="D29" s="360">
        <f t="shared" si="0"/>
        <v>4147.7667000000001</v>
      </c>
      <c r="E29" s="361">
        <f t="shared" si="1"/>
        <v>33.516325010747458</v>
      </c>
      <c r="F29" s="362">
        <f t="shared" si="2"/>
        <v>2115.6602800000001</v>
      </c>
      <c r="G29" s="362">
        <f t="shared" si="3"/>
        <v>597.54827999999998</v>
      </c>
      <c r="H29" s="361">
        <f t="shared" si="15"/>
        <v>28.244056271643004</v>
      </c>
      <c r="I29" s="366">
        <f>Яро!C6</f>
        <v>109.68899999999999</v>
      </c>
      <c r="J29" s="370">
        <f>Яро!D6</f>
        <v>51.848599999999998</v>
      </c>
      <c r="K29" s="361">
        <f t="shared" si="16"/>
        <v>47.268732507361719</v>
      </c>
      <c r="L29" s="361">
        <f>Яро!C8</f>
        <v>157.55000000000001</v>
      </c>
      <c r="M29" s="361">
        <f>Яро!D8</f>
        <v>109.98918999999999</v>
      </c>
      <c r="N29" s="361">
        <f t="shared" si="17"/>
        <v>69.812243732148517</v>
      </c>
      <c r="O29" s="361">
        <f>Яро!C9</f>
        <v>1.69</v>
      </c>
      <c r="P29" s="361">
        <f>Яро!D9</f>
        <v>0.83450999999999997</v>
      </c>
      <c r="Q29" s="361">
        <f t="shared" si="18"/>
        <v>49.3792899408284</v>
      </c>
      <c r="R29" s="361">
        <f>Яро!C10</f>
        <v>263.14</v>
      </c>
      <c r="S29" s="361">
        <f>Яро!D10</f>
        <v>152.41613000000001</v>
      </c>
      <c r="T29" s="361">
        <f t="shared" si="19"/>
        <v>57.922068100630852</v>
      </c>
      <c r="U29" s="361">
        <f>Яро!C11</f>
        <v>0</v>
      </c>
      <c r="V29" s="365">
        <f>Яро!D11</f>
        <v>-20.950479999999999</v>
      </c>
      <c r="W29" s="361" t="e">
        <f t="shared" si="20"/>
        <v>#DIV/0!</v>
      </c>
      <c r="X29" s="366">
        <f>Яро!C13</f>
        <v>5</v>
      </c>
      <c r="Y29" s="366">
        <f>Яро!D13</f>
        <v>0.77749999999999997</v>
      </c>
      <c r="Z29" s="361">
        <f t="shared" si="21"/>
        <v>15.55</v>
      </c>
      <c r="AA29" s="366">
        <f>Яро!C15</f>
        <v>228</v>
      </c>
      <c r="AB29" s="367">
        <f>Яро!D15</f>
        <v>94.759990000000002</v>
      </c>
      <c r="AC29" s="361">
        <f t="shared" si="22"/>
        <v>41.561399122807018</v>
      </c>
      <c r="AD29" s="366">
        <f>Яро!C16</f>
        <v>1028</v>
      </c>
      <c r="AE29" s="366">
        <f>Яро!D16</f>
        <v>87.621449999999996</v>
      </c>
      <c r="AF29" s="361">
        <f t="shared" si="4"/>
        <v>8.5234873540856029</v>
      </c>
      <c r="AG29" s="361">
        <f>Яро!C18</f>
        <v>5</v>
      </c>
      <c r="AH29" s="361">
        <f>Яро!D18</f>
        <v>2.95</v>
      </c>
      <c r="AI29" s="361">
        <f t="shared" si="23"/>
        <v>59.000000000000007</v>
      </c>
      <c r="AJ29" s="361"/>
      <c r="AK29" s="361"/>
      <c r="AL29" s="361" t="e">
        <f>AJ29/AK29*100</f>
        <v>#DIV/0!</v>
      </c>
      <c r="AM29" s="366">
        <v>0</v>
      </c>
      <c r="AN29" s="366">
        <v>0</v>
      </c>
      <c r="AO29" s="361" t="e">
        <f t="shared" si="6"/>
        <v>#DIV/0!</v>
      </c>
      <c r="AP29" s="366">
        <f>Яро!C26</f>
        <v>300</v>
      </c>
      <c r="AQ29" s="369">
        <f>Яро!D27</f>
        <v>102.7928</v>
      </c>
      <c r="AR29" s="361">
        <f t="shared" si="24"/>
        <v>34.264266666666664</v>
      </c>
      <c r="AS29" s="370">
        <v>0</v>
      </c>
      <c r="AT29" s="369">
        <f>Яро!D28</f>
        <v>0</v>
      </c>
      <c r="AU29" s="361" t="e">
        <f t="shared" si="25"/>
        <v>#DIV/0!</v>
      </c>
      <c r="AV29" s="366"/>
      <c r="AW29" s="366"/>
      <c r="AX29" s="361" t="e">
        <f t="shared" si="26"/>
        <v>#DIV/0!</v>
      </c>
      <c r="AY29" s="361"/>
      <c r="AZ29" s="371">
        <f>Яро!D29</f>
        <v>5.4325999999999999</v>
      </c>
      <c r="BA29" s="361" t="e">
        <f t="shared" si="27"/>
        <v>#DIV/0!</v>
      </c>
      <c r="BB29" s="361"/>
      <c r="BC29" s="361"/>
      <c r="BD29" s="361"/>
      <c r="BE29" s="361">
        <f>Яро!C33</f>
        <v>17.591280000000001</v>
      </c>
      <c r="BF29" s="361">
        <f>Яро!D31</f>
        <v>6.399</v>
      </c>
      <c r="BG29" s="361">
        <f t="shared" si="28"/>
        <v>36.37597718869803</v>
      </c>
      <c r="BH29" s="361"/>
      <c r="BI29" s="361"/>
      <c r="BJ29" s="361" t="e">
        <f t="shared" si="29"/>
        <v>#DIV/0!</v>
      </c>
      <c r="BK29" s="361"/>
      <c r="BL29" s="361"/>
      <c r="BM29" s="361"/>
      <c r="BN29" s="361"/>
      <c r="BO29" s="372">
        <f>Яро!D34</f>
        <v>2.67699</v>
      </c>
      <c r="BP29" s="361" t="e">
        <f t="shared" si="30"/>
        <v>#DIV/0!</v>
      </c>
      <c r="BQ29" s="361">
        <f>Яро!C34</f>
        <v>0</v>
      </c>
      <c r="BR29" s="361">
        <v>0</v>
      </c>
      <c r="BS29" s="361" t="e">
        <f t="shared" si="31"/>
        <v>#DIV/0!</v>
      </c>
      <c r="BT29" s="361"/>
      <c r="BU29" s="361"/>
      <c r="BV29" s="373" t="e">
        <f t="shared" si="32"/>
        <v>#DIV/0!</v>
      </c>
      <c r="BW29" s="373"/>
      <c r="BX29" s="373"/>
      <c r="BY29" s="373" t="e">
        <f t="shared" si="33"/>
        <v>#DIV/0!</v>
      </c>
      <c r="BZ29" s="366">
        <f t="shared" si="34"/>
        <v>10259.70217</v>
      </c>
      <c r="CA29" s="366">
        <f t="shared" si="35"/>
        <v>3550.2184200000002</v>
      </c>
      <c r="CB29" s="361">
        <f t="shared" si="53"/>
        <v>34.603523193695203</v>
      </c>
      <c r="CC29" s="368">
        <f>Яро!C39</f>
        <v>550.70000000000005</v>
      </c>
      <c r="CD29" s="368">
        <f>Яро!D39</f>
        <v>275.35199999999998</v>
      </c>
      <c r="CE29" s="361">
        <f t="shared" si="36"/>
        <v>50.000363174141995</v>
      </c>
      <c r="CF29" s="361">
        <f>Яро!C40</f>
        <v>3415</v>
      </c>
      <c r="CG29" s="361">
        <f>Яро!D40</f>
        <v>1525.04556</v>
      </c>
      <c r="CH29" s="361">
        <f t="shared" si="37"/>
        <v>44.65726383601757</v>
      </c>
      <c r="CI29" s="361">
        <f>Яро!C41</f>
        <v>1841.14267</v>
      </c>
      <c r="CJ29" s="361">
        <f>Яро!D41</f>
        <v>269.904</v>
      </c>
      <c r="CK29" s="361">
        <f t="shared" si="7"/>
        <v>14.659591806646901</v>
      </c>
      <c r="CL29" s="361">
        <f>Яро!C42</f>
        <v>93.018000000000001</v>
      </c>
      <c r="CM29" s="361">
        <f>Яро!D42</f>
        <v>44.829000000000001</v>
      </c>
      <c r="CN29" s="361">
        <f t="shared" si="8"/>
        <v>48.193897955234469</v>
      </c>
      <c r="CO29" s="361">
        <f>Яро!C44</f>
        <v>4119.3578200000002</v>
      </c>
      <c r="CP29" s="361">
        <f>Яро!D44</f>
        <v>1194.60418</v>
      </c>
      <c r="CQ29" s="361">
        <f>Яро!E44</f>
        <v>28.999767250129295</v>
      </c>
      <c r="CR29" s="365">
        <f>Яро!C45</f>
        <v>240.48367999999999</v>
      </c>
      <c r="CS29" s="361">
        <f>Яро!D45</f>
        <v>240.48367999999999</v>
      </c>
      <c r="CT29" s="361">
        <f t="shared" si="9"/>
        <v>100</v>
      </c>
      <c r="CU29" s="361"/>
      <c r="CV29" s="361"/>
      <c r="CW29" s="361"/>
      <c r="CX29" s="366"/>
      <c r="CY29" s="366"/>
      <c r="CZ29" s="361" t="e">
        <f t="shared" si="38"/>
        <v>#DIV/0!</v>
      </c>
      <c r="DA29" s="361"/>
      <c r="DB29" s="361"/>
      <c r="DC29" s="361"/>
      <c r="DD29" s="361"/>
      <c r="DE29" s="361"/>
      <c r="DF29" s="361"/>
      <c r="DG29" s="370">
        <f t="shared" si="39"/>
        <v>12427.636879999998</v>
      </c>
      <c r="DH29" s="370">
        <f t="shared" si="39"/>
        <v>4073.8293199999998</v>
      </c>
      <c r="DI29" s="361">
        <f t="shared" si="40"/>
        <v>32.780401932696321</v>
      </c>
      <c r="DJ29" s="366">
        <f t="shared" si="41"/>
        <v>1294.6619999999998</v>
      </c>
      <c r="DK29" s="366">
        <f t="shared" si="41"/>
        <v>559.76155000000006</v>
      </c>
      <c r="DL29" s="361">
        <f t="shared" si="42"/>
        <v>43.236114908756122</v>
      </c>
      <c r="DM29" s="361">
        <f>Яро!C55</f>
        <v>1286.5719999999999</v>
      </c>
      <c r="DN29" s="361">
        <f>Яро!D55</f>
        <v>556.67205000000001</v>
      </c>
      <c r="DO29" s="361">
        <f t="shared" si="43"/>
        <v>43.267850536153439</v>
      </c>
      <c r="DP29" s="361">
        <f>Яро!C58</f>
        <v>0</v>
      </c>
      <c r="DQ29" s="361">
        <f>Яро!D58</f>
        <v>0</v>
      </c>
      <c r="DR29" s="361" t="e">
        <f t="shared" si="44"/>
        <v>#DIV/0!</v>
      </c>
      <c r="DS29" s="361">
        <f>Яро!C59</f>
        <v>5</v>
      </c>
      <c r="DT29" s="361">
        <f>Яро!D59</f>
        <v>0</v>
      </c>
      <c r="DU29" s="361">
        <f t="shared" si="45"/>
        <v>0</v>
      </c>
      <c r="DV29" s="361">
        <f>Яро!C60</f>
        <v>3.09</v>
      </c>
      <c r="DW29" s="361">
        <f>Яро!D60</f>
        <v>3.0895000000000001</v>
      </c>
      <c r="DX29" s="361">
        <f t="shared" si="46"/>
        <v>99.983818770226549</v>
      </c>
      <c r="DY29" s="361">
        <f>Яро!C61</f>
        <v>89.944999999999993</v>
      </c>
      <c r="DZ29" s="361">
        <f>Яро!D61</f>
        <v>24.889849999999999</v>
      </c>
      <c r="EA29" s="361">
        <f t="shared" si="47"/>
        <v>27.672299738729222</v>
      </c>
      <c r="EB29" s="361">
        <f>Яро!C63</f>
        <v>18.399999999999999</v>
      </c>
      <c r="EC29" s="361">
        <f>Яро!D63</f>
        <v>4.6354300000000004</v>
      </c>
      <c r="ED29" s="361">
        <f t="shared" si="48"/>
        <v>25.192554347826089</v>
      </c>
      <c r="EE29" s="366">
        <f>Яро!C69</f>
        <v>4188.95093</v>
      </c>
      <c r="EF29" s="366">
        <f>Яро!D69</f>
        <v>1615.8894</v>
      </c>
      <c r="EG29" s="361">
        <f t="shared" si="49"/>
        <v>38.575037688493524</v>
      </c>
      <c r="EH29" s="366">
        <f>Яро!C74</f>
        <v>448.59332999999998</v>
      </c>
      <c r="EI29" s="366">
        <f>Яро!D74</f>
        <v>147.71834999999999</v>
      </c>
      <c r="EJ29" s="361">
        <f t="shared" si="50"/>
        <v>32.929234592052445</v>
      </c>
      <c r="EK29" s="366">
        <f>Яро!C79</f>
        <v>6384.80062</v>
      </c>
      <c r="EL29" s="374">
        <f>Яро!D78</f>
        <v>1719.6497400000001</v>
      </c>
      <c r="EM29" s="361">
        <f t="shared" si="10"/>
        <v>26.933491620917682</v>
      </c>
      <c r="EN29" s="361">
        <f>Яро!C80</f>
        <v>0</v>
      </c>
      <c r="EO29" s="361">
        <f>Яро!D80</f>
        <v>0</v>
      </c>
      <c r="EP29" s="361" t="e">
        <f t="shared" si="11"/>
        <v>#DIV/0!</v>
      </c>
      <c r="EQ29" s="362">
        <f>Яро!C85</f>
        <v>2.2850000000000001</v>
      </c>
      <c r="ER29" s="362">
        <f>Яро!D85</f>
        <v>1.2849999999999999</v>
      </c>
      <c r="ES29" s="361">
        <f t="shared" si="51"/>
        <v>56.236323851203494</v>
      </c>
      <c r="ET29" s="361">
        <f>Яро!C91</f>
        <v>0</v>
      </c>
      <c r="EU29" s="361">
        <f>Яро!D91</f>
        <v>0</v>
      </c>
      <c r="EV29" s="361" t="e">
        <f t="shared" si="52"/>
        <v>#DIV/0!</v>
      </c>
      <c r="EW29" s="375">
        <f t="shared" si="12"/>
        <v>-52.274429999997665</v>
      </c>
      <c r="EX29" s="375">
        <f t="shared" si="13"/>
        <v>73.937380000000303</v>
      </c>
      <c r="EY29" s="361">
        <f t="shared" si="54"/>
        <v>-141.44081532788326</v>
      </c>
      <c r="EZ29" s="164"/>
      <c r="FA29" s="165"/>
      <c r="FC29" s="165"/>
    </row>
    <row r="30" spans="1:170" s="162" customFormat="1" ht="17.25" customHeight="1">
      <c r="A30" s="414"/>
      <c r="B30" s="415"/>
      <c r="C30" s="396"/>
      <c r="D30" s="397"/>
      <c r="E30" s="361"/>
      <c r="F30" s="362"/>
      <c r="G30" s="366"/>
      <c r="H30" s="361"/>
      <c r="I30" s="366"/>
      <c r="J30" s="398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99"/>
      <c r="W30" s="361"/>
      <c r="X30" s="366"/>
      <c r="Y30" s="366"/>
      <c r="Z30" s="361"/>
      <c r="AA30" s="366"/>
      <c r="AB30" s="366"/>
      <c r="AC30" s="361"/>
      <c r="AD30" s="366"/>
      <c r="AE30" s="366"/>
      <c r="AF30" s="361"/>
      <c r="AG30" s="361"/>
      <c r="AH30" s="361"/>
      <c r="AI30" s="361"/>
      <c r="AJ30" s="361"/>
      <c r="AK30" s="361"/>
      <c r="AL30" s="361"/>
      <c r="AM30" s="366"/>
      <c r="AN30" s="366"/>
      <c r="AO30" s="361"/>
      <c r="AP30" s="366"/>
      <c r="AQ30" s="366"/>
      <c r="AR30" s="361"/>
      <c r="AS30" s="366"/>
      <c r="AT30" s="369"/>
      <c r="AU30" s="361"/>
      <c r="AV30" s="366"/>
      <c r="AW30" s="366"/>
      <c r="AX30" s="361"/>
      <c r="AY30" s="361"/>
      <c r="AZ30" s="371"/>
      <c r="BA30" s="361" t="e">
        <f t="shared" si="27"/>
        <v>#DIV/0!</v>
      </c>
      <c r="BB30" s="361"/>
      <c r="BC30" s="361"/>
      <c r="BD30" s="361"/>
      <c r="BE30" s="361"/>
      <c r="BF30" s="361"/>
      <c r="BG30" s="361"/>
      <c r="BH30" s="361"/>
      <c r="BI30" s="361"/>
      <c r="BJ30" s="361"/>
      <c r="BK30" s="361"/>
      <c r="BL30" s="361"/>
      <c r="BM30" s="361"/>
      <c r="BN30" s="361"/>
      <c r="BO30" s="361"/>
      <c r="BP30" s="361"/>
      <c r="BQ30" s="361"/>
      <c r="BR30" s="361"/>
      <c r="BS30" s="361"/>
      <c r="BT30" s="361"/>
      <c r="BU30" s="361"/>
      <c r="BV30" s="373"/>
      <c r="BW30" s="373"/>
      <c r="BX30" s="373"/>
      <c r="BY30" s="373"/>
      <c r="BZ30" s="398"/>
      <c r="CA30" s="366"/>
      <c r="CB30" s="361"/>
      <c r="CC30" s="361"/>
      <c r="CD30" s="361"/>
      <c r="CE30" s="361"/>
      <c r="CF30" s="361"/>
      <c r="CG30" s="361"/>
      <c r="CH30" s="361"/>
      <c r="CI30" s="361"/>
      <c r="CJ30" s="361"/>
      <c r="CK30" s="361"/>
      <c r="CL30" s="361"/>
      <c r="CM30" s="361"/>
      <c r="CN30" s="361"/>
      <c r="CO30" s="361"/>
      <c r="CP30" s="361"/>
      <c r="CQ30" s="361"/>
      <c r="CR30" s="399"/>
      <c r="CS30" s="361"/>
      <c r="CT30" s="361"/>
      <c r="CU30" s="361"/>
      <c r="CV30" s="361"/>
      <c r="CW30" s="361"/>
      <c r="CX30" s="366"/>
      <c r="CY30" s="366"/>
      <c r="CZ30" s="361"/>
      <c r="DA30" s="361"/>
      <c r="DB30" s="361"/>
      <c r="DC30" s="361"/>
      <c r="DD30" s="361"/>
      <c r="DE30" s="361"/>
      <c r="DF30" s="361"/>
      <c r="DG30" s="366"/>
      <c r="DH30" s="366"/>
      <c r="DI30" s="361"/>
      <c r="DJ30" s="366"/>
      <c r="DK30" s="398"/>
      <c r="DL30" s="361"/>
      <c r="DM30" s="361"/>
      <c r="DN30" s="361"/>
      <c r="DO30" s="361"/>
      <c r="DP30" s="361"/>
      <c r="DQ30" s="361"/>
      <c r="DR30" s="361"/>
      <c r="DS30" s="361"/>
      <c r="DT30" s="361"/>
      <c r="DU30" s="361"/>
      <c r="DV30" s="361"/>
      <c r="DW30" s="361"/>
      <c r="DX30" s="361"/>
      <c r="DY30" s="361"/>
      <c r="DZ30" s="372"/>
      <c r="EA30" s="361"/>
      <c r="EB30" s="361"/>
      <c r="EC30" s="361"/>
      <c r="ED30" s="361"/>
      <c r="EE30" s="366"/>
      <c r="EF30" s="366"/>
      <c r="EG30" s="361"/>
      <c r="EH30" s="366"/>
      <c r="EI30" s="366"/>
      <c r="EJ30" s="361"/>
      <c r="EK30" s="366"/>
      <c r="EL30" s="366"/>
      <c r="EM30" s="361"/>
      <c r="EN30" s="361"/>
      <c r="EO30" s="361"/>
      <c r="EP30" s="361"/>
      <c r="EQ30" s="362"/>
      <c r="ER30" s="362"/>
      <c r="ES30" s="361"/>
      <c r="ET30" s="361"/>
      <c r="EU30" s="361"/>
      <c r="EV30" s="361"/>
      <c r="EW30" s="375"/>
      <c r="EX30" s="375"/>
      <c r="EY30" s="361" t="e">
        <f t="shared" si="54"/>
        <v>#DIV/0!</v>
      </c>
      <c r="FA30" s="165"/>
      <c r="FC30" s="165"/>
    </row>
    <row r="31" spans="1:170" s="168" customFormat="1" ht="18.75">
      <c r="A31" s="540" t="s">
        <v>179</v>
      </c>
      <c r="B31" s="541"/>
      <c r="C31" s="400">
        <f>SUM(C14:C29)</f>
        <v>142287.82339000001</v>
      </c>
      <c r="D31" s="400">
        <f>SUM(D14:D29)</f>
        <v>42791.286990000001</v>
      </c>
      <c r="E31" s="401">
        <f>D31/C31*100</f>
        <v>30.073751899846247</v>
      </c>
      <c r="F31" s="402">
        <f>SUM(F14:F29)</f>
        <v>39271.26857</v>
      </c>
      <c r="G31" s="403">
        <f>SUM(G14:G29)</f>
        <v>13022.349969999999</v>
      </c>
      <c r="H31" s="401">
        <f>G31/F31*100</f>
        <v>33.159993155780043</v>
      </c>
      <c r="I31" s="403">
        <f>SUM(I14:I29)</f>
        <v>5296.6999999999989</v>
      </c>
      <c r="J31" s="403">
        <f>SUM(J14:J29)</f>
        <v>2557.9198299999994</v>
      </c>
      <c r="K31" s="401">
        <f>J31/I31*100</f>
        <v>48.292707346083411</v>
      </c>
      <c r="L31" s="401">
        <f>SUM(L14:L29)</f>
        <v>3048.8849999999993</v>
      </c>
      <c r="M31" s="401">
        <f>SUM(M14:M29)</f>
        <v>2128.5150100000001</v>
      </c>
      <c r="N31" s="401">
        <f>M31/L31*100</f>
        <v>69.812899141817439</v>
      </c>
      <c r="O31" s="401">
        <f>SUM(O14:O29)</f>
        <v>32.633000000000003</v>
      </c>
      <c r="P31" s="401">
        <f>SUM(P14:P29)</f>
        <v>16.1493</v>
      </c>
      <c r="Q31" s="401">
        <f>P31/O31*100</f>
        <v>49.487635215885753</v>
      </c>
      <c r="R31" s="401">
        <f>SUM(R14:R29)</f>
        <v>5092.3970000000008</v>
      </c>
      <c r="S31" s="401">
        <f>SUM(S14:S29)</f>
        <v>2949.5631800000001</v>
      </c>
      <c r="T31" s="401">
        <f>S31/R31*100</f>
        <v>57.920919755470749</v>
      </c>
      <c r="U31" s="401">
        <f>SUM(U14:U29)</f>
        <v>0</v>
      </c>
      <c r="V31" s="401">
        <f>SUM(V14:V29)</f>
        <v>-405.43423999999993</v>
      </c>
      <c r="W31" s="401" t="e">
        <f>V31/U31*100</f>
        <v>#DIV/0!</v>
      </c>
      <c r="X31" s="403">
        <f>SUM(X14:X29)</f>
        <v>470</v>
      </c>
      <c r="Y31" s="403">
        <f>SUM(Y14:Y29)</f>
        <v>526.61486000000002</v>
      </c>
      <c r="Z31" s="401">
        <f>Y31/X31*100</f>
        <v>112.04571489361703</v>
      </c>
      <c r="AA31" s="403">
        <f>SUM(AA14:AA29)</f>
        <v>4631</v>
      </c>
      <c r="AB31" s="403">
        <f>SUM(AB14:AB29)</f>
        <v>696.52227000000005</v>
      </c>
      <c r="AC31" s="401">
        <f>AB31/AA31*100</f>
        <v>15.040429064996763</v>
      </c>
      <c r="AD31" s="403">
        <f>SUM(AD14:AD29)</f>
        <v>17719.37729</v>
      </c>
      <c r="AE31" s="403">
        <f>SUM(AE14:AE29)</f>
        <v>2672.3929200000002</v>
      </c>
      <c r="AF31" s="401">
        <f>AE31/AD31*100</f>
        <v>15.081754151192298</v>
      </c>
      <c r="AG31" s="404">
        <f>SUM(AG14:AG29)</f>
        <v>147</v>
      </c>
      <c r="AH31" s="401">
        <f>SUM(AH14:AH29)</f>
        <v>56.28</v>
      </c>
      <c r="AI31" s="361">
        <f t="shared" si="23"/>
        <v>38.285714285714285</v>
      </c>
      <c r="AJ31" s="403">
        <f>AJ14+AJ15+AJ16+AJ17+AJ18+AJ19+AJ20+AJ21+AJ22+AJ23+AJ24+AJ25+AJ26+AJ27+AJ28+AJ29</f>
        <v>0</v>
      </c>
      <c r="AK31" s="403">
        <f>AK14+AK15+AK16+AK17+AK18+AK19+AK20+AK21+AK22+AK23+AK24+AK25+AK26+AK27+AK28+AK29</f>
        <v>0</v>
      </c>
      <c r="AL31" s="361" t="e">
        <f>AK31/AJ31*100</f>
        <v>#DIV/0!</v>
      </c>
      <c r="AM31" s="403">
        <f>SUM(AM14:AM29)</f>
        <v>0</v>
      </c>
      <c r="AN31" s="403">
        <f>SUM(AN14:AN29)</f>
        <v>0</v>
      </c>
      <c r="AO31" s="401" t="e">
        <f>AN31/AM31*100</f>
        <v>#DIV/0!</v>
      </c>
      <c r="AP31" s="403">
        <f>SUM(AP14:AP29)</f>
        <v>1611.4</v>
      </c>
      <c r="AQ31" s="403">
        <f>SUM(AQ14:AQ29)</f>
        <v>973.88580999999999</v>
      </c>
      <c r="AR31" s="401">
        <f>AQ31/AP31*100</f>
        <v>60.437247734888913</v>
      </c>
      <c r="AS31" s="403">
        <f>SUM(AS14:AS29)</f>
        <v>243.7</v>
      </c>
      <c r="AT31" s="403">
        <f>SUM(AT14:AT29)</f>
        <v>175.5984</v>
      </c>
      <c r="AU31" s="401">
        <f>AT31/AS31*100</f>
        <v>72.055149774312682</v>
      </c>
      <c r="AV31" s="403">
        <f>SUM(AV14:AV29)</f>
        <v>0</v>
      </c>
      <c r="AW31" s="403">
        <f>SUM(AW14:AW29)</f>
        <v>0</v>
      </c>
      <c r="AX31" s="401" t="e">
        <f>AW31/AV31*100</f>
        <v>#DIV/0!</v>
      </c>
      <c r="AY31" s="401">
        <f>SUM(AY14:AY29)</f>
        <v>530</v>
      </c>
      <c r="AZ31" s="401">
        <f>SUM(AZ14:AZ29)</f>
        <v>599.12308999999993</v>
      </c>
      <c r="BA31" s="361">
        <f t="shared" si="27"/>
        <v>113.04209245283016</v>
      </c>
      <c r="BB31" s="361">
        <f>SUM(BB14:BB29)</f>
        <v>0</v>
      </c>
      <c r="BC31" s="361">
        <f>SUM(BC14:BC29)</f>
        <v>6.3845299999999998</v>
      </c>
      <c r="BD31" s="361" t="e">
        <f>BC31/BB31*100</f>
        <v>#DIV/0!</v>
      </c>
      <c r="BE31" s="402">
        <f>SUM(BE14:BE29)</f>
        <v>448.17627999999996</v>
      </c>
      <c r="BF31" s="403">
        <f>SUM(BF14:BF29)</f>
        <v>6.399</v>
      </c>
      <c r="BG31" s="403">
        <f t="shared" si="28"/>
        <v>1.4277864058312055</v>
      </c>
      <c r="BH31" s="403">
        <f>SUM(BH14:BH29)</f>
        <v>0</v>
      </c>
      <c r="BI31" s="403">
        <f>SUM(BI14:BI29)</f>
        <v>0</v>
      </c>
      <c r="BJ31" s="401" t="e">
        <f>BI31/BH31*100</f>
        <v>#DIV/0!</v>
      </c>
      <c r="BK31" s="401">
        <f>SUM(BK14:BK29)</f>
        <v>0</v>
      </c>
      <c r="BL31" s="401">
        <f>BL15+BL27+BL28+BL19+BL22+BL26+BL18</f>
        <v>0</v>
      </c>
      <c r="BM31" s="401" t="e">
        <f>BL31/BK31*100</f>
        <v>#DIV/0!</v>
      </c>
      <c r="BN31" s="401">
        <f>BN14+BN15+BN16+BN17+BN18+BN19+BN20+BN21+BN22+BN23+BN24+BN25+BN26+BN27+BN28+BN29</f>
        <v>0</v>
      </c>
      <c r="BO31" s="401">
        <f>BO14+BO15+BO16+BO17+BO18+BO19+BO20+BO21+BO22+BO23+BO24+BO25+BO26+BO27+BO28+BO29</f>
        <v>59.070540000000008</v>
      </c>
      <c r="BP31" s="401" t="e">
        <f>BO31/BN31*100</f>
        <v>#DIV/0!</v>
      </c>
      <c r="BQ31" s="403">
        <f>SUM(BQ14:BQ29)</f>
        <v>0</v>
      </c>
      <c r="BR31" s="403">
        <f>SUM(BR14:BR29)</f>
        <v>9.75</v>
      </c>
      <c r="BS31" s="401" t="e">
        <f>BR31/BQ31*100</f>
        <v>#DIV/0!</v>
      </c>
      <c r="BT31" s="401">
        <f t="shared" ref="BT31:BY31" si="55">SUM(BT14:BT29)</f>
        <v>0</v>
      </c>
      <c r="BU31" s="401"/>
      <c r="BV31" s="401" t="e">
        <f t="shared" si="55"/>
        <v>#DIV/0!</v>
      </c>
      <c r="BW31" s="401">
        <f t="shared" si="55"/>
        <v>0</v>
      </c>
      <c r="BX31" s="401">
        <f t="shared" si="55"/>
        <v>0</v>
      </c>
      <c r="BY31" s="405" t="e">
        <f t="shared" si="55"/>
        <v>#DIV/0!</v>
      </c>
      <c r="BZ31" s="402">
        <f>SUM(BZ14:BZ29)</f>
        <v>103016.55481999999</v>
      </c>
      <c r="CA31" s="403">
        <f>SUM(CA14:CA29)</f>
        <v>29768.937019999998</v>
      </c>
      <c r="CB31" s="403">
        <f t="shared" si="53"/>
        <v>28.897236052996554</v>
      </c>
      <c r="CC31" s="403">
        <f>SUM(CC14:CC29)</f>
        <v>28294.000000000004</v>
      </c>
      <c r="CD31" s="403">
        <f>SUM(CD14:CD29)</f>
        <v>14697.250000000002</v>
      </c>
      <c r="CE31" s="403">
        <f>CD31/CC31*100</f>
        <v>51.944758606064887</v>
      </c>
      <c r="CF31" s="402">
        <f>SUM(CF14:CF29)</f>
        <v>8416.8080000000009</v>
      </c>
      <c r="CG31" s="403">
        <f>SUM(CG14:CG29)</f>
        <v>3517.54556</v>
      </c>
      <c r="CH31" s="403">
        <f>CG31/CF31*100</f>
        <v>41.791918741641723</v>
      </c>
      <c r="CI31" s="403">
        <f>SUM(CI14:CI29)</f>
        <v>48724.073790000009</v>
      </c>
      <c r="CJ31" s="403">
        <f>SUM(CJ14:CJ29)</f>
        <v>5719.6994800000011</v>
      </c>
      <c r="CK31" s="403">
        <f>CJ31/CI31*100</f>
        <v>11.738959892089106</v>
      </c>
      <c r="CL31" s="403">
        <f>SUM(CL14:CL29)</f>
        <v>2201.1</v>
      </c>
      <c r="CM31" s="403">
        <f>SUM(CM14:CM29)</f>
        <v>1078.787</v>
      </c>
      <c r="CN31" s="403">
        <f t="shared" si="8"/>
        <v>49.01126709372587</v>
      </c>
      <c r="CO31" s="403">
        <f>SUM(CO14:CO29)</f>
        <v>11862.204950000001</v>
      </c>
      <c r="CP31" s="403">
        <f>SUM(CP14:CP29)</f>
        <v>1726.5111900000002</v>
      </c>
      <c r="CQ31" s="403">
        <f>CP31/CO31*100</f>
        <v>14.554723993366849</v>
      </c>
      <c r="CR31" s="403">
        <f>SUM(CR14:CR29)</f>
        <v>3518.3680800000002</v>
      </c>
      <c r="CS31" s="403">
        <f>SUM(CS14:CS29)</f>
        <v>3029.1437900000001</v>
      </c>
      <c r="CT31" s="403">
        <f t="shared" si="9"/>
        <v>86.095136185978589</v>
      </c>
      <c r="CU31" s="403">
        <f>SUM(CU14:CU29)</f>
        <v>0</v>
      </c>
      <c r="CV31" s="403">
        <f>SUM(CV14:CV29)</f>
        <v>0</v>
      </c>
      <c r="CW31" s="403" t="e">
        <f>CV31/CU31*100</f>
        <v>#DIV/0!</v>
      </c>
      <c r="CX31" s="403">
        <f>SUM(CX14:CX29)</f>
        <v>0</v>
      </c>
      <c r="CY31" s="403">
        <f>SUM(CY14:CY29)</f>
        <v>0</v>
      </c>
      <c r="CZ31" s="401" t="e">
        <f>CY31/CX31*100</f>
        <v>#DIV/0!</v>
      </c>
      <c r="DA31" s="401">
        <f>DA14+DA15+DA16+DA17+DA18+DA19+DA20+DA21+DA22+DA23+DA24+DA25+DA26+DA27+DA28+DA29</f>
        <v>0</v>
      </c>
      <c r="DB31" s="401">
        <f>DB14+DB15+DB16+DB17+DB18+DB19+DB20+DB21+DB22+DB23+DB24+DB25+DB26+DB27+DB28+DB29</f>
        <v>0</v>
      </c>
      <c r="DC31" s="401" t="e">
        <f>DB31/DA31*100</f>
        <v>#DIV/0!</v>
      </c>
      <c r="DD31" s="401">
        <f>DD14+DD15+DD16+DD17+DD18+DD19+DD20+DD21+DD22+DD23+DD24+DD25+DD26+DD27+DD28+DD29</f>
        <v>0</v>
      </c>
      <c r="DE31" s="401">
        <f>DE14+DE15+DE16+DE17+DE18+DE19+DE20+DE21+DE22+DE23+DE24+DE25+DE26+DE27+DE28+DE29</f>
        <v>0</v>
      </c>
      <c r="DF31" s="401">
        <v>0</v>
      </c>
      <c r="DG31" s="402">
        <f>SUM(DG14:DG29)</f>
        <v>149884.12114999999</v>
      </c>
      <c r="DH31" s="402">
        <f>SUM(DH14:DH29)</f>
        <v>42202.536469999992</v>
      </c>
      <c r="DI31" s="401">
        <f>DH31/DG31*100</f>
        <v>28.156776145596389</v>
      </c>
      <c r="DJ31" s="402">
        <f>SUM(DJ14:DJ29)</f>
        <v>22322.542000000001</v>
      </c>
      <c r="DK31" s="402">
        <f>SUM(DK14:DK29)</f>
        <v>9754.7165899999964</v>
      </c>
      <c r="DL31" s="401">
        <f>DK31/DJ31*100</f>
        <v>43.698950549628243</v>
      </c>
      <c r="DM31" s="403">
        <f>SUM(DM14:DM29)</f>
        <v>21712.286</v>
      </c>
      <c r="DN31" s="402">
        <f>SUM(DN14:DN29)</f>
        <v>9446.6810199999982</v>
      </c>
      <c r="DO31" s="401">
        <f>DN31/DM31*100</f>
        <v>43.508458851361844</v>
      </c>
      <c r="DP31" s="403">
        <f>SUM(DP14:DP29)</f>
        <v>20.13</v>
      </c>
      <c r="DQ31" s="403">
        <f>SUM(DQ14:DQ29)</f>
        <v>0</v>
      </c>
      <c r="DR31" s="401">
        <f>DQ31/DP31*100</f>
        <v>0</v>
      </c>
      <c r="DS31" s="406">
        <f>SUM(DS14:DS29)</f>
        <v>80</v>
      </c>
      <c r="DT31" s="401">
        <f>SUM(DT14:DT29)</f>
        <v>0</v>
      </c>
      <c r="DU31" s="401">
        <f>DT31/DS31*100</f>
        <v>0</v>
      </c>
      <c r="DV31" s="401">
        <f>SUM(DV14:DV29)</f>
        <v>510.12599999999998</v>
      </c>
      <c r="DW31" s="401">
        <f>SUM(DW14:DW29)</f>
        <v>308.03557000000001</v>
      </c>
      <c r="DX31" s="361">
        <f>DW31/DV31*100</f>
        <v>60.38421291994527</v>
      </c>
      <c r="DY31" s="401">
        <f>SUM(DY14:DY29)</f>
        <v>2158.6999999999998</v>
      </c>
      <c r="DZ31" s="406">
        <f>SUM(DZ14:DZ29)</f>
        <v>924.78237999999999</v>
      </c>
      <c r="EA31" s="403">
        <f t="shared" si="47"/>
        <v>42.839782276370045</v>
      </c>
      <c r="EB31" s="406">
        <f>SUM(EB14:EB29)</f>
        <v>236.78000000000003</v>
      </c>
      <c r="EC31" s="406">
        <f>SUM(EC14:EC29)</f>
        <v>65.613430000000008</v>
      </c>
      <c r="ED31" s="361">
        <f t="shared" si="48"/>
        <v>27.710714587380693</v>
      </c>
      <c r="EE31" s="403">
        <f>SUM(EE14:EE29)</f>
        <v>62181.332559999995</v>
      </c>
      <c r="EF31" s="402">
        <f>SUM(EF14:EF29)</f>
        <v>12179.331460000001</v>
      </c>
      <c r="EG31" s="401">
        <f>EF31/EE31*100</f>
        <v>19.586797127977153</v>
      </c>
      <c r="EH31" s="403">
        <f>SUM(EH14:EH29)</f>
        <v>22969.880730000004</v>
      </c>
      <c r="EI31" s="402">
        <f>SUM(EI14:EI29)</f>
        <v>5011.0888599999998</v>
      </c>
      <c r="EJ31" s="401">
        <f>EI31/EH31*100</f>
        <v>21.815911536080488</v>
      </c>
      <c r="EK31" s="402">
        <f>SUM(EK14:EK29)</f>
        <v>39696.489860000009</v>
      </c>
      <c r="EL31" s="402">
        <f>SUM(EL14:EL29)</f>
        <v>14195.482750000001</v>
      </c>
      <c r="EM31" s="401">
        <f>EL31/EK31*100</f>
        <v>35.760045283762018</v>
      </c>
      <c r="EN31" s="402">
        <f>SUM(EN14:EN29)</f>
        <v>0</v>
      </c>
      <c r="EO31" s="402">
        <f>SUM(EO14:EO29)</f>
        <v>0</v>
      </c>
      <c r="EP31" s="401" t="e">
        <f>EO31/EN31*100</f>
        <v>#DIV/0!</v>
      </c>
      <c r="EQ31" s="403">
        <f>SUM(EQ14:EQ29)</f>
        <v>318.39600000000002</v>
      </c>
      <c r="ER31" s="403">
        <f>SUM(ER14:ER29)</f>
        <v>71.520999999999987</v>
      </c>
      <c r="ES31" s="401">
        <f>ER31/EQ31*100</f>
        <v>22.462907825475188</v>
      </c>
      <c r="ET31" s="401">
        <f>SUM(ET14:ET29)</f>
        <v>0</v>
      </c>
      <c r="EU31" s="404">
        <f>SUM(EU14:EU29)</f>
        <v>0</v>
      </c>
      <c r="EV31" s="361" t="e">
        <f>EU31/ET31*100</f>
        <v>#DIV/0!</v>
      </c>
      <c r="EW31" s="406">
        <f>SUM(EW14:EW29)</f>
        <v>-7596.2977599999922</v>
      </c>
      <c r="EX31" s="401">
        <f>SUM(EX14:EX29)</f>
        <v>588.7505200000021</v>
      </c>
      <c r="EY31" s="361">
        <f>EX31/EW31*100</f>
        <v>-7.7504929190664411</v>
      </c>
    </row>
    <row r="32" spans="1:170" ht="0.75" customHeight="1">
      <c r="C32" s="169">
        <v>85422.769</v>
      </c>
      <c r="D32" s="170">
        <v>6971.8725999999997</v>
      </c>
      <c r="F32" s="171">
        <v>29714</v>
      </c>
      <c r="G32" s="172">
        <v>2141.1016</v>
      </c>
      <c r="I32" s="172">
        <v>4023</v>
      </c>
      <c r="J32" s="172">
        <v>517.83318999999995</v>
      </c>
      <c r="L32" s="153">
        <v>2648.3</v>
      </c>
      <c r="M32" s="173">
        <v>275.27994000000001</v>
      </c>
      <c r="O32" s="153">
        <v>72.06</v>
      </c>
      <c r="P32" s="174">
        <v>5.5919400000000001</v>
      </c>
      <c r="R32" s="175">
        <v>5285.44</v>
      </c>
      <c r="S32" s="153">
        <v>437.64443</v>
      </c>
      <c r="V32" s="174">
        <v>-57.366509999999998</v>
      </c>
      <c r="X32" s="172">
        <v>450</v>
      </c>
      <c r="Y32" s="172">
        <v>50.572130000000001</v>
      </c>
      <c r="AA32" s="172">
        <v>1552</v>
      </c>
      <c r="AB32" s="172">
        <v>33.929760000000002</v>
      </c>
      <c r="AD32" s="172">
        <v>14314</v>
      </c>
      <c r="AE32" s="176">
        <v>765.26733999999999</v>
      </c>
      <c r="AG32" s="172">
        <v>264</v>
      </c>
      <c r="AH32" s="172">
        <v>28.45</v>
      </c>
      <c r="AJ32" s="172"/>
      <c r="AK32" s="176">
        <v>4.1130100000000001</v>
      </c>
      <c r="AM32" s="172">
        <v>2902</v>
      </c>
      <c r="AN32" s="172"/>
      <c r="AP32" s="153">
        <v>400</v>
      </c>
      <c r="AQ32" s="153">
        <v>102</v>
      </c>
      <c r="AS32" s="177">
        <v>325.2</v>
      </c>
      <c r="AT32" s="177">
        <v>214</v>
      </c>
      <c r="AY32" s="174"/>
      <c r="AZ32" s="174"/>
      <c r="BC32" s="178"/>
      <c r="BE32" s="179">
        <v>380</v>
      </c>
      <c r="BF32" s="172">
        <v>0</v>
      </c>
      <c r="BH32" s="180"/>
      <c r="BI32" s="172"/>
      <c r="BL32" s="179"/>
      <c r="BN32" s="172"/>
      <c r="BO32" s="172">
        <v>20</v>
      </c>
      <c r="BQ32" s="175"/>
      <c r="BR32" s="177">
        <v>13.81555</v>
      </c>
      <c r="BZ32" s="181">
        <v>55708.769</v>
      </c>
      <c r="CA32" s="172">
        <v>4830.7709999999997</v>
      </c>
      <c r="CC32" s="179">
        <v>26193.4</v>
      </c>
      <c r="CD32" s="179">
        <v>4365.5829999999996</v>
      </c>
      <c r="CE32" s="177"/>
      <c r="CF32" s="181">
        <v>2800</v>
      </c>
      <c r="CG32" s="172">
        <v>0</v>
      </c>
      <c r="CH32" s="177"/>
      <c r="CI32" s="172">
        <v>20988.289000000001</v>
      </c>
      <c r="CJ32" s="172">
        <v>226.78800000000001</v>
      </c>
      <c r="CK32" s="177"/>
      <c r="CL32" s="172">
        <v>5727.08</v>
      </c>
      <c r="CM32" s="172">
        <v>238.4</v>
      </c>
      <c r="CN32" s="177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DA32" s="175"/>
      <c r="DB32" s="175"/>
      <c r="DD32" s="171"/>
      <c r="DE32" s="181">
        <v>0</v>
      </c>
      <c r="DG32" s="181">
        <v>86467.619000000006</v>
      </c>
      <c r="DH32" s="181">
        <v>8044.3139600000004</v>
      </c>
      <c r="DJ32" s="177">
        <v>18659.286</v>
      </c>
      <c r="DK32" s="171">
        <v>1993.6542099999999</v>
      </c>
      <c r="DM32" s="172">
        <v>18579.286</v>
      </c>
      <c r="DN32" s="172">
        <v>1993.6542099999999</v>
      </c>
      <c r="DP32" s="181"/>
      <c r="DQ32" s="179"/>
      <c r="DS32" s="172">
        <v>80</v>
      </c>
      <c r="DT32" s="172"/>
      <c r="DV32" s="172">
        <v>0</v>
      </c>
      <c r="DW32" s="181">
        <v>0</v>
      </c>
      <c r="DY32" s="171">
        <v>1682.5</v>
      </c>
      <c r="DZ32" s="171">
        <v>141.53659999999999</v>
      </c>
      <c r="EB32" s="172">
        <v>191.3</v>
      </c>
      <c r="EC32" s="181">
        <v>8.5</v>
      </c>
      <c r="EE32" s="177">
        <v>29388.388999999999</v>
      </c>
      <c r="EF32" s="171">
        <v>1077.7133699999999</v>
      </c>
      <c r="EH32" s="171">
        <v>15404.812</v>
      </c>
      <c r="EI32" s="171">
        <v>1328.9402500000001</v>
      </c>
      <c r="EK32" s="171">
        <v>24128.7</v>
      </c>
      <c r="EL32" s="171">
        <v>3489.1705299999999</v>
      </c>
      <c r="EN32" s="172">
        <v>0</v>
      </c>
      <c r="EO32" s="172">
        <v>0</v>
      </c>
      <c r="EQ32" s="172">
        <v>112</v>
      </c>
      <c r="ER32" s="182">
        <v>4.8</v>
      </c>
      <c r="ET32" s="172"/>
      <c r="EU32" s="172"/>
      <c r="EW32" s="177"/>
    </row>
    <row r="33" spans="3:155" ht="24" hidden="1" customHeight="1">
      <c r="C33" s="172">
        <f>C32-C31</f>
        <v>-56865.054390000005</v>
      </c>
      <c r="D33" s="172">
        <f t="shared" ref="D33:BO33" si="56">D32-D31</f>
        <v>-35819.414389999998</v>
      </c>
      <c r="E33" s="172"/>
      <c r="F33" s="172">
        <f t="shared" si="56"/>
        <v>-9557.2685700000002</v>
      </c>
      <c r="G33" s="172">
        <f t="shared" si="56"/>
        <v>-10881.248369999999</v>
      </c>
      <c r="H33" s="172"/>
      <c r="I33" s="172">
        <f t="shared" si="56"/>
        <v>-1273.6999999999989</v>
      </c>
      <c r="J33" s="172">
        <f t="shared" si="56"/>
        <v>-2040.0866399999995</v>
      </c>
      <c r="K33" s="172"/>
      <c r="L33" s="172">
        <f t="shared" si="56"/>
        <v>-400.58499999999913</v>
      </c>
      <c r="M33" s="172">
        <f t="shared" si="56"/>
        <v>-1853.2350700000002</v>
      </c>
      <c r="N33" s="172"/>
      <c r="O33" s="172">
        <f t="shared" si="56"/>
        <v>39.427</v>
      </c>
      <c r="P33" s="172">
        <f t="shared" si="56"/>
        <v>-10.557359999999999</v>
      </c>
      <c r="Q33" s="172"/>
      <c r="R33" s="172">
        <f t="shared" si="56"/>
        <v>193.04299999999876</v>
      </c>
      <c r="S33" s="172">
        <f t="shared" si="56"/>
        <v>-2511.9187500000003</v>
      </c>
      <c r="T33" s="172"/>
      <c r="U33" s="172">
        <f t="shared" si="56"/>
        <v>0</v>
      </c>
      <c r="V33" s="172">
        <f t="shared" si="56"/>
        <v>348.06772999999993</v>
      </c>
      <c r="W33" s="172" t="e">
        <f t="shared" si="56"/>
        <v>#DIV/0!</v>
      </c>
      <c r="X33" s="172">
        <f t="shared" si="56"/>
        <v>-20</v>
      </c>
      <c r="Y33" s="172">
        <f t="shared" si="56"/>
        <v>-476.04273000000001</v>
      </c>
      <c r="Z33" s="172"/>
      <c r="AA33" s="172">
        <f t="shared" si="56"/>
        <v>-3079</v>
      </c>
      <c r="AB33" s="172">
        <f t="shared" si="56"/>
        <v>-662.59251000000006</v>
      </c>
      <c r="AC33" s="172"/>
      <c r="AD33" s="172">
        <f t="shared" si="56"/>
        <v>-3405.3772900000004</v>
      </c>
      <c r="AE33" s="172">
        <f t="shared" si="56"/>
        <v>-1907.1255800000004</v>
      </c>
      <c r="AF33" s="172"/>
      <c r="AG33" s="172">
        <f t="shared" si="56"/>
        <v>117</v>
      </c>
      <c r="AH33" s="172">
        <f t="shared" si="56"/>
        <v>-27.830000000000002</v>
      </c>
      <c r="AI33" s="172"/>
      <c r="AJ33" s="172">
        <f t="shared" si="56"/>
        <v>0</v>
      </c>
      <c r="AK33" s="172">
        <f t="shared" si="56"/>
        <v>4.1130100000000001</v>
      </c>
      <c r="AL33" s="172"/>
      <c r="AM33" s="172">
        <f t="shared" si="56"/>
        <v>2902</v>
      </c>
      <c r="AN33" s="172">
        <f t="shared" si="56"/>
        <v>0</v>
      </c>
      <c r="AO33" s="172" t="e">
        <f t="shared" si="56"/>
        <v>#DIV/0!</v>
      </c>
      <c r="AP33" s="172">
        <f t="shared" si="56"/>
        <v>-1211.4000000000001</v>
      </c>
      <c r="AQ33" s="172">
        <f t="shared" si="56"/>
        <v>-871.88580999999999</v>
      </c>
      <c r="AR33" s="172"/>
      <c r="AS33" s="172">
        <f t="shared" si="56"/>
        <v>81.5</v>
      </c>
      <c r="AT33" s="172">
        <f t="shared" si="56"/>
        <v>38.401600000000002</v>
      </c>
      <c r="AU33" s="172"/>
      <c r="AV33" s="172">
        <f t="shared" si="56"/>
        <v>0</v>
      </c>
      <c r="AW33" s="172">
        <f t="shared" si="56"/>
        <v>0</v>
      </c>
      <c r="AX33" s="172" t="e">
        <f t="shared" si="56"/>
        <v>#DIV/0!</v>
      </c>
      <c r="AY33" s="172">
        <f t="shared" si="56"/>
        <v>-530</v>
      </c>
      <c r="AZ33" s="172">
        <f t="shared" si="56"/>
        <v>-599.12308999999993</v>
      </c>
      <c r="BA33" s="172"/>
      <c r="BB33" s="172">
        <f t="shared" si="56"/>
        <v>0</v>
      </c>
      <c r="BC33" s="172">
        <f t="shared" si="56"/>
        <v>-6.3845299999999998</v>
      </c>
      <c r="BD33" s="172" t="e">
        <f t="shared" si="56"/>
        <v>#DIV/0!</v>
      </c>
      <c r="BE33" s="172">
        <f t="shared" si="56"/>
        <v>-68.176279999999963</v>
      </c>
      <c r="BF33" s="172">
        <f t="shared" si="56"/>
        <v>-6.399</v>
      </c>
      <c r="BG33" s="172">
        <f t="shared" si="56"/>
        <v>-1.4277864058312055</v>
      </c>
      <c r="BH33" s="172">
        <f t="shared" si="56"/>
        <v>0</v>
      </c>
      <c r="BI33" s="172">
        <f t="shared" si="56"/>
        <v>0</v>
      </c>
      <c r="BJ33" s="172" t="e">
        <f t="shared" si="56"/>
        <v>#DIV/0!</v>
      </c>
      <c r="BK33" s="172">
        <f t="shared" si="56"/>
        <v>0</v>
      </c>
      <c r="BL33" s="172">
        <f t="shared" si="56"/>
        <v>0</v>
      </c>
      <c r="BM33" s="172" t="e">
        <f t="shared" si="56"/>
        <v>#DIV/0!</v>
      </c>
      <c r="BN33" s="172">
        <f t="shared" si="56"/>
        <v>0</v>
      </c>
      <c r="BO33" s="172">
        <f t="shared" si="56"/>
        <v>-39.070540000000008</v>
      </c>
      <c r="BP33" s="172"/>
      <c r="BQ33" s="172">
        <f t="shared" ref="BQ33:DZ33" si="57">BQ32-BQ31</f>
        <v>0</v>
      </c>
      <c r="BR33" s="172">
        <f t="shared" si="57"/>
        <v>4.06555</v>
      </c>
      <c r="BS33" s="172"/>
      <c r="BT33" s="172">
        <f t="shared" si="57"/>
        <v>0</v>
      </c>
      <c r="BU33" s="172">
        <f t="shared" si="57"/>
        <v>0</v>
      </c>
      <c r="BV33" s="172" t="e">
        <f t="shared" si="57"/>
        <v>#DIV/0!</v>
      </c>
      <c r="BW33" s="172">
        <f t="shared" si="57"/>
        <v>0</v>
      </c>
      <c r="BX33" s="172">
        <f t="shared" si="57"/>
        <v>0</v>
      </c>
      <c r="BY33" s="172" t="e">
        <f t="shared" si="57"/>
        <v>#DIV/0!</v>
      </c>
      <c r="BZ33" s="172">
        <f t="shared" si="57"/>
        <v>-47307.78581999999</v>
      </c>
      <c r="CA33" s="172">
        <f t="shared" si="57"/>
        <v>-24938.166019999997</v>
      </c>
      <c r="CB33" s="172"/>
      <c r="CC33" s="172">
        <f t="shared" si="57"/>
        <v>-2100.6000000000022</v>
      </c>
      <c r="CD33" s="172">
        <f t="shared" si="57"/>
        <v>-10331.667000000001</v>
      </c>
      <c r="CE33" s="172"/>
      <c r="CF33" s="172">
        <f t="shared" si="57"/>
        <v>-5616.8080000000009</v>
      </c>
      <c r="CG33" s="172">
        <f t="shared" si="57"/>
        <v>-3517.54556</v>
      </c>
      <c r="CH33" s="172"/>
      <c r="CI33" s="172">
        <f t="shared" si="57"/>
        <v>-27735.784790000009</v>
      </c>
      <c r="CJ33" s="172">
        <f t="shared" si="57"/>
        <v>-5492.9114800000007</v>
      </c>
      <c r="CK33" s="172"/>
      <c r="CL33" s="172">
        <f t="shared" si="57"/>
        <v>3525.98</v>
      </c>
      <c r="CM33" s="172">
        <f t="shared" si="57"/>
        <v>-840.38700000000006</v>
      </c>
      <c r="CN33" s="172"/>
      <c r="CO33" s="172">
        <f t="shared" si="57"/>
        <v>-11862.204950000001</v>
      </c>
      <c r="CP33" s="172">
        <f t="shared" si="57"/>
        <v>-1726.5111900000002</v>
      </c>
      <c r="CQ33" s="172"/>
      <c r="CR33" s="172">
        <f t="shared" si="57"/>
        <v>-3518.3680800000002</v>
      </c>
      <c r="CS33" s="172">
        <f t="shared" si="57"/>
        <v>-3029.1437900000001</v>
      </c>
      <c r="CT33" s="172"/>
      <c r="CU33" s="172">
        <f t="shared" si="57"/>
        <v>0</v>
      </c>
      <c r="CV33" s="172">
        <f t="shared" si="57"/>
        <v>0</v>
      </c>
      <c r="CW33" s="172" t="e">
        <f t="shared" si="57"/>
        <v>#DIV/0!</v>
      </c>
      <c r="CX33" s="172">
        <f t="shared" si="57"/>
        <v>0</v>
      </c>
      <c r="CY33" s="172">
        <f t="shared" si="57"/>
        <v>0</v>
      </c>
      <c r="CZ33" s="172" t="e">
        <f t="shared" si="57"/>
        <v>#DIV/0!</v>
      </c>
      <c r="DA33" s="172">
        <f t="shared" si="57"/>
        <v>0</v>
      </c>
      <c r="DB33" s="172">
        <f t="shared" si="57"/>
        <v>0</v>
      </c>
      <c r="DC33" s="172" t="e">
        <f t="shared" si="57"/>
        <v>#DIV/0!</v>
      </c>
      <c r="DD33" s="172">
        <f t="shared" si="57"/>
        <v>0</v>
      </c>
      <c r="DE33" s="172">
        <f t="shared" si="57"/>
        <v>0</v>
      </c>
      <c r="DF33" s="172">
        <f t="shared" si="57"/>
        <v>0</v>
      </c>
      <c r="DG33" s="172">
        <f t="shared" si="57"/>
        <v>-63416.502149999986</v>
      </c>
      <c r="DH33" s="172">
        <f t="shared" si="57"/>
        <v>-34158.222509999992</v>
      </c>
      <c r="DI33" s="172"/>
      <c r="DJ33" s="172">
        <f t="shared" si="57"/>
        <v>-3663.2560000000012</v>
      </c>
      <c r="DK33" s="172">
        <f t="shared" si="57"/>
        <v>-7761.0623799999967</v>
      </c>
      <c r="DL33" s="172"/>
      <c r="DM33" s="172">
        <f t="shared" si="57"/>
        <v>-3133</v>
      </c>
      <c r="DN33" s="172">
        <f t="shared" si="57"/>
        <v>-7453.0268099999985</v>
      </c>
      <c r="DO33" s="172"/>
      <c r="DP33" s="172">
        <f t="shared" si="57"/>
        <v>-20.13</v>
      </c>
      <c r="DQ33" s="172">
        <f t="shared" si="57"/>
        <v>0</v>
      </c>
      <c r="DR33" s="172">
        <f t="shared" si="57"/>
        <v>0</v>
      </c>
      <c r="DS33" s="172">
        <f t="shared" si="57"/>
        <v>0</v>
      </c>
      <c r="DT33" s="172">
        <f t="shared" si="57"/>
        <v>0</v>
      </c>
      <c r="DU33" s="172">
        <f t="shared" si="57"/>
        <v>0</v>
      </c>
      <c r="DV33" s="172">
        <f t="shared" si="57"/>
        <v>-510.12599999999998</v>
      </c>
      <c r="DW33" s="172">
        <f t="shared" si="57"/>
        <v>-308.03557000000001</v>
      </c>
      <c r="DX33" s="172"/>
      <c r="DY33" s="172">
        <f t="shared" si="57"/>
        <v>-476.19999999999982</v>
      </c>
      <c r="DZ33" s="172">
        <f t="shared" si="57"/>
        <v>-783.24577999999997</v>
      </c>
      <c r="EA33" s="172"/>
      <c r="EB33" s="172">
        <f t="shared" ref="EB33:EX33" si="58">EB32-EB31</f>
        <v>-45.480000000000018</v>
      </c>
      <c r="EC33" s="172">
        <f t="shared" si="58"/>
        <v>-57.113430000000008</v>
      </c>
      <c r="ED33" s="172"/>
      <c r="EE33" s="172">
        <f t="shared" si="58"/>
        <v>-32792.94356</v>
      </c>
      <c r="EF33" s="172">
        <f t="shared" si="58"/>
        <v>-11101.618090000002</v>
      </c>
      <c r="EG33" s="172"/>
      <c r="EH33" s="172">
        <f t="shared" si="58"/>
        <v>-7565.0687300000045</v>
      </c>
      <c r="EI33" s="172">
        <f t="shared" si="58"/>
        <v>-3682.1486099999997</v>
      </c>
      <c r="EJ33" s="172"/>
      <c r="EK33" s="172">
        <f t="shared" si="58"/>
        <v>-15567.789860000008</v>
      </c>
      <c r="EL33" s="172">
        <f t="shared" si="58"/>
        <v>-10706.312220000002</v>
      </c>
      <c r="EM33" s="172"/>
      <c r="EN33" s="172">
        <f t="shared" si="58"/>
        <v>0</v>
      </c>
      <c r="EO33" s="172">
        <f t="shared" si="58"/>
        <v>0</v>
      </c>
      <c r="EP33" s="172"/>
      <c r="EQ33" s="172">
        <f t="shared" si="58"/>
        <v>-206.39600000000002</v>
      </c>
      <c r="ER33" s="172">
        <f t="shared" si="58"/>
        <v>-66.720999999999989</v>
      </c>
      <c r="ES33" s="172"/>
      <c r="ET33" s="172">
        <f t="shared" si="58"/>
        <v>0</v>
      </c>
      <c r="EU33" s="172">
        <f t="shared" si="58"/>
        <v>0</v>
      </c>
      <c r="EV33" s="172"/>
      <c r="EW33" s="172">
        <f t="shared" si="58"/>
        <v>7596.2977599999922</v>
      </c>
      <c r="EX33" s="172">
        <f t="shared" si="58"/>
        <v>-588.7505200000021</v>
      </c>
      <c r="EY33" s="172"/>
    </row>
    <row r="34" spans="3:155" s="183" customFormat="1" ht="27.75" customHeight="1">
      <c r="C34" s="172">
        <v>142287.82339000001</v>
      </c>
      <c r="D34" s="172">
        <v>42791.286990000001</v>
      </c>
      <c r="E34" s="172"/>
      <c r="F34" s="172">
        <v>39271.26857</v>
      </c>
      <c r="G34" s="172">
        <v>13022.349969999999</v>
      </c>
      <c r="H34" s="172"/>
      <c r="I34" s="172">
        <v>5296.7</v>
      </c>
      <c r="J34" s="172">
        <v>2557.9198299999998</v>
      </c>
      <c r="K34" s="172"/>
      <c r="L34" s="172">
        <v>3048.8850000000002</v>
      </c>
      <c r="M34" s="172">
        <v>2128.5150100000001</v>
      </c>
      <c r="N34" s="172"/>
      <c r="O34" s="172">
        <v>32.633000000000003</v>
      </c>
      <c r="P34" s="172">
        <v>16.1493</v>
      </c>
      <c r="Q34" s="172"/>
      <c r="R34" s="172">
        <v>5092.3969999999999</v>
      </c>
      <c r="S34" s="172">
        <v>2949.5631800000001</v>
      </c>
      <c r="T34" s="172"/>
      <c r="U34" s="172" t="e">
        <f>#REF!-U31</f>
        <v>#REF!</v>
      </c>
      <c r="V34" s="172">
        <v>-405.43423999999999</v>
      </c>
      <c r="W34" s="172"/>
      <c r="X34" s="172">
        <v>470</v>
      </c>
      <c r="Y34" s="172">
        <v>526.61486000000002</v>
      </c>
      <c r="Z34" s="172"/>
      <c r="AA34" s="172">
        <v>4631</v>
      </c>
      <c r="AB34" s="172">
        <v>696.52227000000005</v>
      </c>
      <c r="AC34" s="172"/>
      <c r="AD34" s="172">
        <v>17719.37729</v>
      </c>
      <c r="AE34" s="172">
        <v>2672.3929199999998</v>
      </c>
      <c r="AF34" s="172"/>
      <c r="AG34" s="172">
        <v>147</v>
      </c>
      <c r="AH34" s="172">
        <v>56.28</v>
      </c>
      <c r="AI34" s="172"/>
      <c r="AJ34" s="172" t="e">
        <f>#REF!-AJ31</f>
        <v>#REF!</v>
      </c>
      <c r="AK34" s="172" t="e">
        <f>#REF!-AK31</f>
        <v>#REF!</v>
      </c>
      <c r="AL34" s="172"/>
      <c r="AM34" s="172" t="e">
        <f>#REF!-AM31</f>
        <v>#REF!</v>
      </c>
      <c r="AN34" s="172" t="e">
        <f>#REF!-AN31</f>
        <v>#REF!</v>
      </c>
      <c r="AO34" s="172"/>
      <c r="AP34" s="172">
        <v>1611.4</v>
      </c>
      <c r="AQ34" s="172">
        <v>973.88580999999999</v>
      </c>
      <c r="AR34" s="172"/>
      <c r="AS34" s="172">
        <v>243.7</v>
      </c>
      <c r="AT34" s="172">
        <v>175.5984</v>
      </c>
      <c r="AU34" s="172"/>
      <c r="AV34" s="172" t="e">
        <f>#REF!-AV31</f>
        <v>#REF!</v>
      </c>
      <c r="AW34" s="172" t="e">
        <f>#REF!-AW31</f>
        <v>#REF!</v>
      </c>
      <c r="AX34" s="172" t="e">
        <f>#REF!-AX31</f>
        <v>#REF!</v>
      </c>
      <c r="AY34" s="172">
        <v>530</v>
      </c>
      <c r="AZ34" s="172">
        <v>599.12309000000005</v>
      </c>
      <c r="BA34" s="172"/>
      <c r="BB34" s="172" t="e">
        <f>#REF!-BB31</f>
        <v>#REF!</v>
      </c>
      <c r="BC34" s="172" t="e">
        <f>#REF!-BC31</f>
        <v>#REF!</v>
      </c>
      <c r="BD34" s="172" t="e">
        <f>#REF!-BD31</f>
        <v>#REF!</v>
      </c>
      <c r="BE34" s="172">
        <v>448.17628000000002</v>
      </c>
      <c r="BF34" s="172">
        <v>6.399</v>
      </c>
      <c r="BG34" s="172"/>
      <c r="BH34" s="172" t="e">
        <f>#REF!-BH31</f>
        <v>#REF!</v>
      </c>
      <c r="BI34" s="172" t="e">
        <f>#REF!-BI31</f>
        <v>#REF!</v>
      </c>
      <c r="BJ34" s="172" t="e">
        <f>#REF!-BJ31</f>
        <v>#REF!</v>
      </c>
      <c r="BK34" s="172" t="e">
        <f>#REF!-BK31</f>
        <v>#REF!</v>
      </c>
      <c r="BL34" s="172" t="e">
        <f>#REF!-BL31</f>
        <v>#REF!</v>
      </c>
      <c r="BM34" s="172" t="e">
        <f>#REF!-BM31</f>
        <v>#REF!</v>
      </c>
      <c r="BN34" s="172">
        <v>0</v>
      </c>
      <c r="BO34" s="172">
        <v>59.070540000000001</v>
      </c>
      <c r="BP34" s="172"/>
      <c r="BQ34" s="172" t="e">
        <f>#REF!-BQ31</f>
        <v>#REF!</v>
      </c>
      <c r="BR34" s="172">
        <v>9.75</v>
      </c>
      <c r="BS34" s="172"/>
      <c r="BT34" s="172" t="e">
        <f>#REF!-BT31</f>
        <v>#REF!</v>
      </c>
      <c r="BU34" s="172" t="e">
        <f>#REF!-BU31</f>
        <v>#REF!</v>
      </c>
      <c r="BV34" s="172" t="e">
        <f>#REF!-BV31</f>
        <v>#REF!</v>
      </c>
      <c r="BW34" s="172" t="e">
        <f>#REF!-BW31</f>
        <v>#REF!</v>
      </c>
      <c r="BX34" s="172" t="e">
        <f>#REF!-BX31</f>
        <v>#REF!</v>
      </c>
      <c r="BY34" s="172" t="e">
        <f>#REF!-BY31</f>
        <v>#REF!</v>
      </c>
      <c r="BZ34" s="172">
        <v>103016.55482</v>
      </c>
      <c r="CA34" s="172">
        <v>29768.937020000001</v>
      </c>
      <c r="CB34" s="172"/>
      <c r="CC34" s="172">
        <v>28294</v>
      </c>
      <c r="CD34" s="172">
        <v>14697.25</v>
      </c>
      <c r="CE34" s="172"/>
      <c r="CF34" s="172">
        <v>8416.8080000000009</v>
      </c>
      <c r="CG34" s="172">
        <v>3517.54556</v>
      </c>
      <c r="CH34" s="172"/>
      <c r="CI34" s="172">
        <v>48724.073790000002</v>
      </c>
      <c r="CJ34" s="172">
        <v>5719.6994800000002</v>
      </c>
      <c r="CK34" s="172"/>
      <c r="CL34" s="172">
        <v>2201.1</v>
      </c>
      <c r="CM34" s="172">
        <v>1078.787</v>
      </c>
      <c r="CN34" s="172"/>
      <c r="CO34" s="172">
        <v>11862.204949999999</v>
      </c>
      <c r="CP34" s="172">
        <v>1726.5111899999999</v>
      </c>
      <c r="CQ34" s="172"/>
      <c r="CR34" s="172">
        <v>3518.3680800000002</v>
      </c>
      <c r="CS34" s="172">
        <v>3029.1437900000001</v>
      </c>
      <c r="CT34" s="172"/>
      <c r="CU34" s="172" t="e">
        <f>#REF!-CU31</f>
        <v>#REF!</v>
      </c>
      <c r="CV34" s="172" t="e">
        <f>-(#REF!-CV31)</f>
        <v>#REF!</v>
      </c>
      <c r="CW34" s="172"/>
      <c r="CX34" s="172" t="e">
        <f>#REF!-CX31</f>
        <v>#REF!</v>
      </c>
      <c r="CY34" s="172" t="e">
        <f>#REF!-CY31</f>
        <v>#REF!</v>
      </c>
      <c r="CZ34" s="172" t="e">
        <f>#REF!-CZ31</f>
        <v>#REF!</v>
      </c>
      <c r="DA34" s="172" t="e">
        <f>#REF!-DA31</f>
        <v>#REF!</v>
      </c>
      <c r="DB34" s="172" t="e">
        <f>#REF!-DB31</f>
        <v>#REF!</v>
      </c>
      <c r="DC34" s="172" t="e">
        <f>#REF!-DC31</f>
        <v>#REF!</v>
      </c>
      <c r="DD34" s="172" t="e">
        <f>#REF!-DD31</f>
        <v>#REF!</v>
      </c>
      <c r="DE34" s="172" t="e">
        <f>#REF!-DE31</f>
        <v>#REF!</v>
      </c>
      <c r="DF34" s="172"/>
      <c r="DG34" s="172">
        <v>149884.12114999999</v>
      </c>
      <c r="DH34" s="172">
        <v>42202.536469999999</v>
      </c>
      <c r="DI34" s="172"/>
      <c r="DJ34" s="172">
        <v>22322.542000000001</v>
      </c>
      <c r="DK34" s="172">
        <v>9754.71659</v>
      </c>
      <c r="DL34" s="172"/>
      <c r="DM34" s="172">
        <v>21712.286</v>
      </c>
      <c r="DN34" s="172">
        <v>9446.68102</v>
      </c>
      <c r="DO34" s="172"/>
      <c r="DP34" s="172">
        <v>20.13</v>
      </c>
      <c r="DQ34" s="172">
        <v>0</v>
      </c>
      <c r="DR34" s="172"/>
      <c r="DS34" s="172">
        <v>80</v>
      </c>
      <c r="DT34" s="172" t="e">
        <f>#REF!-DT31</f>
        <v>#REF!</v>
      </c>
      <c r="DU34" s="172"/>
      <c r="DV34" s="172">
        <v>510.12599999999998</v>
      </c>
      <c r="DW34" s="172">
        <v>308.03557000000001</v>
      </c>
      <c r="DX34" s="172"/>
      <c r="DY34" s="172">
        <v>2158.6999999999998</v>
      </c>
      <c r="DZ34" s="172">
        <v>924.78237999999999</v>
      </c>
      <c r="EA34" s="172"/>
      <c r="EB34" s="172">
        <v>236.78</v>
      </c>
      <c r="EC34" s="172">
        <v>65.613429999999994</v>
      </c>
      <c r="ED34" s="172"/>
      <c r="EE34" s="172">
        <v>62181.332560000003</v>
      </c>
      <c r="EF34" s="172">
        <v>12179.331459999999</v>
      </c>
      <c r="EG34" s="172"/>
      <c r="EH34" s="172">
        <v>22969.880730000001</v>
      </c>
      <c r="EI34" s="172">
        <v>5011.0888599999998</v>
      </c>
      <c r="EJ34" s="172"/>
      <c r="EK34" s="172">
        <v>39696.489860000001</v>
      </c>
      <c r="EL34" s="172">
        <v>14195.482749999999</v>
      </c>
      <c r="EM34" s="172"/>
      <c r="EN34" s="172">
        <v>0</v>
      </c>
      <c r="EO34" s="172">
        <v>0</v>
      </c>
      <c r="EP34" s="172"/>
      <c r="EQ34" s="172">
        <v>318.39600000000002</v>
      </c>
      <c r="ER34" s="172">
        <v>71.521000000000001</v>
      </c>
      <c r="ES34" s="172"/>
      <c r="ET34" s="172" t="e">
        <f>#REF!-ET31</f>
        <v>#REF!</v>
      </c>
      <c r="EU34" s="172" t="e">
        <f>#REF!-EU31</f>
        <v>#REF!</v>
      </c>
      <c r="EV34" s="172"/>
      <c r="EW34" s="172">
        <v>-7596.2977600000004</v>
      </c>
      <c r="EX34" s="172">
        <v>588.75052000000005</v>
      </c>
    </row>
    <row r="35" spans="3:155">
      <c r="C35" s="172">
        <f>C34-C31</f>
        <v>0</v>
      </c>
      <c r="D35" s="172">
        <f>D34-D31</f>
        <v>0</v>
      </c>
      <c r="E35" s="172"/>
      <c r="F35" s="172">
        <f>F34-F31</f>
        <v>0</v>
      </c>
      <c r="G35" s="172">
        <f>G34-G31</f>
        <v>0</v>
      </c>
      <c r="H35" s="172"/>
      <c r="I35" s="172">
        <f>I34-I31</f>
        <v>0</v>
      </c>
      <c r="J35" s="172">
        <f>J34-J31</f>
        <v>0</v>
      </c>
      <c r="K35" s="172"/>
      <c r="L35" s="172">
        <f>L34-L31</f>
        <v>0</v>
      </c>
      <c r="M35" s="172">
        <f>M34-M31</f>
        <v>0</v>
      </c>
      <c r="N35" s="172"/>
      <c r="O35" s="172">
        <f>O34-O31</f>
        <v>0</v>
      </c>
      <c r="P35" s="172">
        <f>P34-P31</f>
        <v>0</v>
      </c>
      <c r="Q35" s="172"/>
      <c r="R35" s="172">
        <f>R34-R31</f>
        <v>0</v>
      </c>
      <c r="S35" s="172">
        <f>S34-S31</f>
        <v>0</v>
      </c>
      <c r="T35" s="172"/>
      <c r="U35" s="172" t="e">
        <f>U34-U31</f>
        <v>#REF!</v>
      </c>
      <c r="V35" s="172">
        <f>V34-V31</f>
        <v>0</v>
      </c>
      <c r="W35" s="172"/>
      <c r="X35" s="172">
        <f>X34-X31</f>
        <v>0</v>
      </c>
      <c r="Y35" s="172">
        <f>Y34-Y31</f>
        <v>0</v>
      </c>
      <c r="Z35" s="172"/>
      <c r="AA35" s="172">
        <f>AA34-AA31</f>
        <v>0</v>
      </c>
      <c r="AB35" s="172">
        <f>AB34-AB31</f>
        <v>0</v>
      </c>
      <c r="AC35" s="172"/>
      <c r="AD35" s="172">
        <f>AD34-AD31</f>
        <v>0</v>
      </c>
      <c r="AE35" s="172">
        <f>AE34-AE31</f>
        <v>0</v>
      </c>
      <c r="AF35" s="172"/>
      <c r="AG35" s="172">
        <f>AG34-AG31</f>
        <v>0</v>
      </c>
      <c r="AH35" s="172">
        <f>AH34-AH31</f>
        <v>0</v>
      </c>
      <c r="AI35" s="172"/>
      <c r="AJ35" s="172" t="e">
        <f t="shared" ref="AJ35:AQ35" si="59">AJ34-AJ31</f>
        <v>#REF!</v>
      </c>
      <c r="AK35" s="172" t="e">
        <f t="shared" si="59"/>
        <v>#REF!</v>
      </c>
      <c r="AL35" s="172" t="e">
        <f t="shared" si="59"/>
        <v>#DIV/0!</v>
      </c>
      <c r="AM35" s="172" t="e">
        <f t="shared" si="59"/>
        <v>#REF!</v>
      </c>
      <c r="AN35" s="172" t="e">
        <f t="shared" si="59"/>
        <v>#REF!</v>
      </c>
      <c r="AO35" s="172" t="e">
        <f t="shared" si="59"/>
        <v>#DIV/0!</v>
      </c>
      <c r="AP35" s="172">
        <f t="shared" si="59"/>
        <v>0</v>
      </c>
      <c r="AQ35" s="172">
        <f t="shared" si="59"/>
        <v>0</v>
      </c>
      <c r="AR35" s="172"/>
      <c r="AS35" s="172">
        <f>AS34-AS31</f>
        <v>0</v>
      </c>
      <c r="AT35" s="172">
        <f>AT34-AT31</f>
        <v>0</v>
      </c>
      <c r="AU35" s="172"/>
      <c r="AV35" s="172" t="e">
        <f>AV34-AV31</f>
        <v>#REF!</v>
      </c>
      <c r="AW35" s="172" t="e">
        <f>AW34-AW31</f>
        <v>#REF!</v>
      </c>
      <c r="AX35" s="172" t="e">
        <f>AX34-AX31</f>
        <v>#REF!</v>
      </c>
      <c r="AY35" s="172">
        <f>AY34-AY31</f>
        <v>0</v>
      </c>
      <c r="AZ35" s="172">
        <f>AZ34-AZ31</f>
        <v>0</v>
      </c>
      <c r="BA35" s="172"/>
      <c r="BB35" s="172" t="e">
        <f>BB34-BB31</f>
        <v>#REF!</v>
      </c>
      <c r="BC35" s="172" t="e">
        <f>BC34-BC31</f>
        <v>#REF!</v>
      </c>
      <c r="BD35" s="172" t="e">
        <f>BD34-BD31</f>
        <v>#REF!</v>
      </c>
      <c r="BE35" s="172">
        <f>BE34-BE31</f>
        <v>0</v>
      </c>
      <c r="BF35" s="172">
        <f>BF34-BF31</f>
        <v>0</v>
      </c>
      <c r="BG35" s="172"/>
      <c r="BH35" s="172" t="e">
        <f t="shared" ref="BH35:BO35" si="60">BH34-BH31</f>
        <v>#REF!</v>
      </c>
      <c r="BI35" s="172" t="e">
        <f t="shared" si="60"/>
        <v>#REF!</v>
      </c>
      <c r="BJ35" s="172" t="e">
        <f t="shared" si="60"/>
        <v>#REF!</v>
      </c>
      <c r="BK35" s="172" t="e">
        <f t="shared" si="60"/>
        <v>#REF!</v>
      </c>
      <c r="BL35" s="172" t="e">
        <f t="shared" si="60"/>
        <v>#REF!</v>
      </c>
      <c r="BM35" s="172" t="e">
        <f t="shared" si="60"/>
        <v>#REF!</v>
      </c>
      <c r="BN35" s="172">
        <f t="shared" si="60"/>
        <v>0</v>
      </c>
      <c r="BO35" s="172">
        <f t="shared" si="60"/>
        <v>0</v>
      </c>
      <c r="BP35" s="172"/>
      <c r="BQ35" s="172" t="e">
        <f>BQ34-BQ31</f>
        <v>#REF!</v>
      </c>
      <c r="BR35" s="172">
        <f>BR34-BR31</f>
        <v>0</v>
      </c>
      <c r="BS35" s="172"/>
      <c r="BT35" s="172" t="e">
        <f t="shared" ref="BT35:CA35" si="61">BT34-BT31</f>
        <v>#REF!</v>
      </c>
      <c r="BU35" s="172" t="e">
        <f t="shared" si="61"/>
        <v>#REF!</v>
      </c>
      <c r="BV35" s="172" t="e">
        <f t="shared" si="61"/>
        <v>#REF!</v>
      </c>
      <c r="BW35" s="172" t="e">
        <f t="shared" si="61"/>
        <v>#REF!</v>
      </c>
      <c r="BX35" s="172" t="e">
        <f t="shared" si="61"/>
        <v>#REF!</v>
      </c>
      <c r="BY35" s="172" t="e">
        <f t="shared" si="61"/>
        <v>#REF!</v>
      </c>
      <c r="BZ35" s="172">
        <f t="shared" si="61"/>
        <v>0</v>
      </c>
      <c r="CA35" s="172">
        <f t="shared" si="61"/>
        <v>0</v>
      </c>
      <c r="CB35" s="172"/>
      <c r="CC35" s="172">
        <f>CC34-CC31</f>
        <v>0</v>
      </c>
      <c r="CD35" s="172">
        <f>CD34-CD31</f>
        <v>0</v>
      </c>
      <c r="CE35" s="172"/>
      <c r="CF35" s="172">
        <f>CF34-CF31</f>
        <v>0</v>
      </c>
      <c r="CG35" s="172">
        <f>CG34-CG31</f>
        <v>0</v>
      </c>
      <c r="CH35" s="172"/>
      <c r="CI35" s="172">
        <f>CI34-CI31</f>
        <v>0</v>
      </c>
      <c r="CJ35" s="172">
        <f>CJ34-CJ31</f>
        <v>0</v>
      </c>
      <c r="CK35" s="172"/>
      <c r="CL35" s="172">
        <f>CL34-CL31</f>
        <v>0</v>
      </c>
      <c r="CM35" s="172">
        <f>CM34-CM31</f>
        <v>0</v>
      </c>
      <c r="CN35" s="172"/>
      <c r="CO35" s="172">
        <f>CO34-CO31</f>
        <v>0</v>
      </c>
      <c r="CP35" s="172">
        <f>CP34-CP31</f>
        <v>0</v>
      </c>
      <c r="CQ35" s="172"/>
      <c r="CR35" s="172">
        <f>CR34-CR31</f>
        <v>0</v>
      </c>
      <c r="CS35" s="172">
        <f>CS34-CS31</f>
        <v>0</v>
      </c>
      <c r="CT35" s="172"/>
      <c r="CU35" s="172" t="e">
        <f>CU34-CU31</f>
        <v>#REF!</v>
      </c>
      <c r="CV35" s="172" t="e">
        <f>CV34-CV31</f>
        <v>#REF!</v>
      </c>
      <c r="CW35" s="172"/>
      <c r="CX35" s="172" t="e">
        <f t="shared" ref="CX35:DH35" si="62">CX34-CX31</f>
        <v>#REF!</v>
      </c>
      <c r="CY35" s="172" t="e">
        <f t="shared" si="62"/>
        <v>#REF!</v>
      </c>
      <c r="CZ35" s="172" t="e">
        <f t="shared" si="62"/>
        <v>#REF!</v>
      </c>
      <c r="DA35" s="172" t="e">
        <f t="shared" si="62"/>
        <v>#REF!</v>
      </c>
      <c r="DB35" s="172" t="e">
        <f t="shared" si="62"/>
        <v>#REF!</v>
      </c>
      <c r="DC35" s="172" t="e">
        <f t="shared" si="62"/>
        <v>#REF!</v>
      </c>
      <c r="DD35" s="172" t="e">
        <f t="shared" si="62"/>
        <v>#REF!</v>
      </c>
      <c r="DE35" s="172" t="e">
        <f t="shared" si="62"/>
        <v>#REF!</v>
      </c>
      <c r="DF35" s="172">
        <f t="shared" si="62"/>
        <v>0</v>
      </c>
      <c r="DG35" s="172">
        <f t="shared" si="62"/>
        <v>0</v>
      </c>
      <c r="DH35" s="172">
        <f t="shared" si="62"/>
        <v>0</v>
      </c>
      <c r="DI35" s="172"/>
      <c r="DJ35" s="172">
        <f>DJ34-DJ31</f>
        <v>0</v>
      </c>
      <c r="DK35" s="172">
        <f>DK34-DK31</f>
        <v>0</v>
      </c>
      <c r="DL35" s="172"/>
      <c r="DM35" s="172">
        <f>DM34-DM31</f>
        <v>0</v>
      </c>
      <c r="DN35" s="172">
        <f>DN34-DN31</f>
        <v>0</v>
      </c>
      <c r="DO35" s="172"/>
      <c r="DP35" s="172">
        <f>DP34-DP31</f>
        <v>0</v>
      </c>
      <c r="DQ35" s="172">
        <f>DQ34-DQ31</f>
        <v>0</v>
      </c>
      <c r="DR35" s="172"/>
      <c r="DS35" s="172">
        <f>DS34-DS31</f>
        <v>0</v>
      </c>
      <c r="DT35" s="172" t="e">
        <f>DT34-DT31</f>
        <v>#REF!</v>
      </c>
      <c r="DU35" s="172"/>
      <c r="DV35" s="172">
        <f>DV34-DV31</f>
        <v>0</v>
      </c>
      <c r="DW35" s="172">
        <f>DW34-DW31</f>
        <v>0</v>
      </c>
      <c r="DX35" s="172"/>
      <c r="DY35" s="172">
        <f>DY34-DY31</f>
        <v>0</v>
      </c>
      <c r="DZ35" s="172">
        <f>DZ34-DZ31</f>
        <v>0</v>
      </c>
      <c r="EA35" s="172"/>
      <c r="EB35" s="172">
        <f>EB34-EB31</f>
        <v>0</v>
      </c>
      <c r="EC35" s="172">
        <f>EC34-EC31</f>
        <v>0</v>
      </c>
      <c r="ED35" s="172"/>
      <c r="EE35" s="172">
        <f>EE34-EE31</f>
        <v>0</v>
      </c>
      <c r="EF35" s="172">
        <f>EF34-EF31</f>
        <v>0</v>
      </c>
      <c r="EG35" s="172"/>
      <c r="EH35" s="172">
        <f>EH34-EH31</f>
        <v>0</v>
      </c>
      <c r="EI35" s="172">
        <f>EI34-EI31</f>
        <v>0</v>
      </c>
      <c r="EJ35" s="172"/>
      <c r="EK35" s="172">
        <f>EK34-EK31</f>
        <v>0</v>
      </c>
      <c r="EL35" s="172">
        <f>EL34-EL31</f>
        <v>0</v>
      </c>
      <c r="EM35" s="172"/>
      <c r="EN35" s="172">
        <f>EN34-EN31</f>
        <v>0</v>
      </c>
      <c r="EO35" s="172">
        <f>EO34-EO31</f>
        <v>0</v>
      </c>
      <c r="EP35" s="172"/>
      <c r="EQ35" s="172">
        <f>EQ34-EQ31</f>
        <v>0</v>
      </c>
      <c r="ER35" s="172">
        <f>ER34-ER31</f>
        <v>0</v>
      </c>
      <c r="ES35" s="172"/>
      <c r="ET35" s="172" t="e">
        <f>ET34-ET31</f>
        <v>#REF!</v>
      </c>
      <c r="EU35" s="172" t="e">
        <f>EU34-EU31</f>
        <v>#REF!</v>
      </c>
      <c r="EV35" s="172"/>
      <c r="EW35" s="172">
        <f>EW34-EW31</f>
        <v>-8.1854523159563541E-12</v>
      </c>
      <c r="EX35" s="172">
        <f>EX34-EX31</f>
        <v>-2.0463630789890885E-12</v>
      </c>
      <c r="EY35" s="184"/>
    </row>
  </sheetData>
  <customSheetViews>
    <customSheetView guid="{B30CE22D-C12F-4E12-8BB9-3AAE0A6991CC}" scale="75" showPageBreaks="1" printArea="1" hiddenRows="1" hiddenColumns="1" view="pageBreakPreview">
      <selection activeCell="I19" sqref="I1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B31C8DB7-3E78-4144-A6B5-8DE36DE63F0E}" scale="75" showPageBreaks="1" printArea="1" hiddenRows="1" hiddenColumns="1" view="pageBreakPreview" topLeftCell="A10">
      <pane xSplit="2" ySplit="4" topLeftCell="C14" activePane="bottomRight" state="frozen"/>
      <selection pane="bottomRight" activeCell="AN22" sqref="AN22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5BFCA170-DEAE-4D2C-98A0-1E68B427AC01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61528DAC-5C4C-48F4-ADE2-8A724B05A086}" scale="75" showPageBreaks="1" printArea="1" hiddenRows="1" hiddenColumns="1" view="pageBreakPreview" topLeftCell="A10">
      <pane xSplit="2" ySplit="4" topLeftCell="C14" activePane="bottomRight" state="frozen"/>
      <selection pane="bottomRight" activeCell="EE14" sqref="EE14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50" fitToWidth="7" orientation="landscape" r:id="rId10"/>
  <colBreaks count="6" manualBreakCount="6">
    <brk id="17" max="30" man="1"/>
    <brk id="35" max="30" man="1"/>
    <brk id="59" max="29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361</v>
      </c>
      <c r="AO1" t="s">
        <v>362</v>
      </c>
      <c r="AP1" t="s">
        <v>363</v>
      </c>
      <c r="AS1" t="s">
        <v>364</v>
      </c>
      <c r="AW1">
        <v>187.4</v>
      </c>
      <c r="AX1" t="s">
        <v>365</v>
      </c>
      <c r="AY1" t="s">
        <v>366</v>
      </c>
    </row>
    <row r="2" spans="32:51">
      <c r="AF2" t="s">
        <v>367</v>
      </c>
      <c r="AJ2" t="s">
        <v>368</v>
      </c>
    </row>
    <row r="3" spans="32:51">
      <c r="AF3" t="s">
        <v>370</v>
      </c>
      <c r="AH3" t="s">
        <v>369</v>
      </c>
      <c r="AJ3" t="s">
        <v>370</v>
      </c>
      <c r="AN3" t="s">
        <v>369</v>
      </c>
      <c r="AO3" t="s">
        <v>369</v>
      </c>
      <c r="AP3" t="s">
        <v>369</v>
      </c>
      <c r="AS3" t="s">
        <v>371</v>
      </c>
      <c r="AT3" t="s">
        <v>372</v>
      </c>
      <c r="AU3" t="s">
        <v>373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374</v>
      </c>
      <c r="AU4" t="s">
        <v>375</v>
      </c>
      <c r="AV4" t="s">
        <v>376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377</v>
      </c>
      <c r="AU5" t="s">
        <v>375</v>
      </c>
      <c r="AV5" t="s">
        <v>378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379</v>
      </c>
      <c r="AU6" t="s">
        <v>375</v>
      </c>
      <c r="AV6" t="s">
        <v>378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380</v>
      </c>
      <c r="AU7" t="s">
        <v>375</v>
      </c>
      <c r="AV7" t="s">
        <v>381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382</v>
      </c>
      <c r="AU8" t="s">
        <v>375</v>
      </c>
      <c r="AV8" t="s">
        <v>383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384</v>
      </c>
      <c r="AU9" t="s">
        <v>375</v>
      </c>
      <c r="AV9" t="s">
        <v>385</v>
      </c>
      <c r="AW9" t="s">
        <v>386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387</v>
      </c>
      <c r="AU10" t="s">
        <v>375</v>
      </c>
      <c r="AV10" t="s">
        <v>388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389</v>
      </c>
      <c r="AU11" t="s">
        <v>375</v>
      </c>
      <c r="AV11" t="s">
        <v>390</v>
      </c>
      <c r="AW11" t="s">
        <v>386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391</v>
      </c>
      <c r="AU12" t="s">
        <v>375</v>
      </c>
      <c r="AV12" t="s">
        <v>392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393</v>
      </c>
      <c r="AU13" t="s">
        <v>375</v>
      </c>
      <c r="AV13" t="s">
        <v>394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395</v>
      </c>
      <c r="AU14" t="s">
        <v>375</v>
      </c>
      <c r="AV14" t="s">
        <v>381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396</v>
      </c>
      <c r="AU15" t="s">
        <v>375</v>
      </c>
      <c r="AV15" t="s">
        <v>397</v>
      </c>
      <c r="AW15" t="s">
        <v>398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399</v>
      </c>
      <c r="AU16" t="s">
        <v>375</v>
      </c>
      <c r="AV16" t="s">
        <v>378</v>
      </c>
      <c r="AW16" t="s">
        <v>400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401</v>
      </c>
      <c r="AU17" t="s">
        <v>375</v>
      </c>
      <c r="AV17" t="s">
        <v>402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403</v>
      </c>
      <c r="AU18" t="s">
        <v>375</v>
      </c>
      <c r="AV18" t="s">
        <v>378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404</v>
      </c>
      <c r="AU19" t="s">
        <v>405</v>
      </c>
      <c r="AV19" t="s">
        <v>388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406</v>
      </c>
      <c r="AY20" t="s">
        <v>407</v>
      </c>
    </row>
    <row r="82" hidden="1"/>
    <row r="83" hidden="1"/>
    <row r="84" hidden="1"/>
  </sheetData>
  <customSheetViews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</customSheetViews>
  <pageMargins left="0.7" right="0.7" top="0.75" bottom="0.75" header="0.3" footer="0.3"/>
  <pageSetup paperSize="9" orientation="portrait" r:id="rId8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B30CE22D-C12F-4E12-8BB9-3AAE0A6991CC}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8"/>
  <sheetViews>
    <sheetView view="pageBreakPreview" topLeftCell="A104" zoomScale="60" workbookViewId="0">
      <selection activeCell="D145" sqref="D145"/>
    </sheetView>
  </sheetViews>
  <sheetFormatPr defaultRowHeight="15.75"/>
  <cols>
    <col min="1" max="1" width="16.28515625" style="58" customWidth="1"/>
    <col min="2" max="2" width="64.42578125" style="59" customWidth="1"/>
    <col min="3" max="3" width="24.42578125" style="62" customWidth="1"/>
    <col min="4" max="4" width="20.140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506" t="s">
        <v>419</v>
      </c>
      <c r="B1" s="506"/>
      <c r="C1" s="506"/>
      <c r="D1" s="506"/>
      <c r="E1" s="506"/>
      <c r="F1" s="506"/>
    </row>
    <row r="2" spans="1:6" ht="20.25">
      <c r="A2" s="506" t="s">
        <v>421</v>
      </c>
      <c r="B2" s="506"/>
      <c r="C2" s="506"/>
      <c r="D2" s="506"/>
      <c r="E2" s="506"/>
      <c r="F2" s="506"/>
    </row>
    <row r="3" spans="1:6" ht="101.25">
      <c r="A3" s="423" t="s">
        <v>0</v>
      </c>
      <c r="B3" s="423" t="s">
        <v>1</v>
      </c>
      <c r="C3" s="424" t="s">
        <v>411</v>
      </c>
      <c r="D3" s="425" t="s">
        <v>424</v>
      </c>
      <c r="E3" s="424" t="s">
        <v>2</v>
      </c>
      <c r="F3" s="426" t="s">
        <v>3</v>
      </c>
    </row>
    <row r="4" spans="1:6" s="6" customFormat="1" ht="20.25">
      <c r="A4" s="427"/>
      <c r="B4" s="428" t="s">
        <v>4</v>
      </c>
      <c r="C4" s="429">
        <f>C5+C12+C16+C21+C23+C27+C7</f>
        <v>141450.342</v>
      </c>
      <c r="D4" s="429">
        <f>D5+D12+D16+D21+D23+D27+D7</f>
        <v>63579.889590000006</v>
      </c>
      <c r="E4" s="429">
        <f>SUM(D4/C4*100)</f>
        <v>44.948558406454758</v>
      </c>
      <c r="F4" s="429">
        <f>SUM(D4-C4)</f>
        <v>-77870.452409999998</v>
      </c>
    </row>
    <row r="5" spans="1:6" s="6" customFormat="1" ht="20.25">
      <c r="A5" s="427">
        <v>1010000000</v>
      </c>
      <c r="B5" s="428" t="s">
        <v>5</v>
      </c>
      <c r="C5" s="429">
        <f>C6</f>
        <v>118707.3</v>
      </c>
      <c r="D5" s="429">
        <f>D6</f>
        <v>52799.260860000002</v>
      </c>
      <c r="E5" s="429">
        <f t="shared" ref="E5:E82" si="0">SUM(D5/C5*100)</f>
        <v>44.478529003692273</v>
      </c>
      <c r="F5" s="429">
        <f t="shared" ref="F5:F82" si="1">SUM(D5-C5)</f>
        <v>-65908.039140000008</v>
      </c>
    </row>
    <row r="6" spans="1:6" ht="20.25">
      <c r="A6" s="430">
        <v>1010200001</v>
      </c>
      <c r="B6" s="431" t="s">
        <v>228</v>
      </c>
      <c r="C6" s="432">
        <v>118707.3</v>
      </c>
      <c r="D6" s="433">
        <v>52799.260860000002</v>
      </c>
      <c r="E6" s="432">
        <f t="shared" si="0"/>
        <v>44.478529003692273</v>
      </c>
      <c r="F6" s="432">
        <f t="shared" si="1"/>
        <v>-65908.039140000008</v>
      </c>
    </row>
    <row r="7" spans="1:6" ht="40.5">
      <c r="A7" s="427">
        <v>1030000000</v>
      </c>
      <c r="B7" s="434" t="s">
        <v>280</v>
      </c>
      <c r="C7" s="429">
        <f>C8+C10+C9</f>
        <v>5331.89</v>
      </c>
      <c r="D7" s="429">
        <f>D8+D10+D9+D11</f>
        <v>2519.31475</v>
      </c>
      <c r="E7" s="432">
        <f t="shared" si="0"/>
        <v>47.249938577127431</v>
      </c>
      <c r="F7" s="432">
        <f t="shared" si="1"/>
        <v>-2812.5752500000003</v>
      </c>
    </row>
    <row r="8" spans="1:6" ht="20.25">
      <c r="A8" s="430">
        <v>1030223001</v>
      </c>
      <c r="B8" s="431" t="s">
        <v>282</v>
      </c>
      <c r="C8" s="432">
        <v>1809.797</v>
      </c>
      <c r="D8" s="433">
        <v>1143.6629700000001</v>
      </c>
      <c r="E8" s="432">
        <f t="shared" si="0"/>
        <v>63.192886826533588</v>
      </c>
      <c r="F8" s="432">
        <f>SUM(D8-C8)</f>
        <v>-666.13402999999994</v>
      </c>
    </row>
    <row r="9" spans="1:6" ht="20.25">
      <c r="A9" s="430">
        <v>1030224001</v>
      </c>
      <c r="B9" s="431" t="s">
        <v>288</v>
      </c>
      <c r="C9" s="432">
        <v>21.959</v>
      </c>
      <c r="D9" s="433">
        <v>8.6770800000000001</v>
      </c>
      <c r="E9" s="432">
        <f t="shared" si="0"/>
        <v>39.514914158203929</v>
      </c>
      <c r="F9" s="432">
        <f>SUM(D9-C9)</f>
        <v>-13.28192</v>
      </c>
    </row>
    <row r="10" spans="1:6" ht="20.25">
      <c r="A10" s="430">
        <v>1030225001</v>
      </c>
      <c r="B10" s="431" t="s">
        <v>281</v>
      </c>
      <c r="C10" s="432">
        <v>3500.134</v>
      </c>
      <c r="D10" s="433">
        <v>1584.81674</v>
      </c>
      <c r="E10" s="432">
        <f t="shared" si="0"/>
        <v>45.278744756629322</v>
      </c>
      <c r="F10" s="432">
        <f t="shared" si="1"/>
        <v>-1915.31726</v>
      </c>
    </row>
    <row r="11" spans="1:6" ht="20.25">
      <c r="A11" s="430">
        <v>1030226001</v>
      </c>
      <c r="B11" s="431" t="s">
        <v>290</v>
      </c>
      <c r="C11" s="432">
        <v>0</v>
      </c>
      <c r="D11" s="433">
        <v>-217.84204</v>
      </c>
      <c r="E11" s="432" t="e">
        <f t="shared" si="0"/>
        <v>#DIV/0!</v>
      </c>
      <c r="F11" s="432">
        <f t="shared" si="1"/>
        <v>-217.84204</v>
      </c>
    </row>
    <row r="12" spans="1:6" s="6" customFormat="1" ht="20.25">
      <c r="A12" s="427">
        <v>1050000000</v>
      </c>
      <c r="B12" s="428" t="s">
        <v>6</v>
      </c>
      <c r="C12" s="429">
        <f>SUM(C13:C15)</f>
        <v>11661.152</v>
      </c>
      <c r="D12" s="429">
        <f>SUM(D13:D15)</f>
        <v>6209.7508500000004</v>
      </c>
      <c r="E12" s="429">
        <f t="shared" si="0"/>
        <v>53.251607131096492</v>
      </c>
      <c r="F12" s="429">
        <f t="shared" si="1"/>
        <v>-5451.4011499999997</v>
      </c>
    </row>
    <row r="13" spans="1:6" ht="20.25">
      <c r="A13" s="430">
        <v>1050200000</v>
      </c>
      <c r="B13" s="435" t="s">
        <v>238</v>
      </c>
      <c r="C13" s="436">
        <v>9831.5</v>
      </c>
      <c r="D13" s="433">
        <v>4912.9334500000004</v>
      </c>
      <c r="E13" s="432">
        <f t="shared" si="0"/>
        <v>49.971351777450032</v>
      </c>
      <c r="F13" s="432">
        <f t="shared" si="1"/>
        <v>-4918.5665499999996</v>
      </c>
    </row>
    <row r="14" spans="1:6" ht="23.25" customHeight="1">
      <c r="A14" s="430">
        <v>1050300000</v>
      </c>
      <c r="B14" s="435" t="s">
        <v>229</v>
      </c>
      <c r="C14" s="436">
        <v>1529.652</v>
      </c>
      <c r="D14" s="433">
        <v>1228.7680600000001</v>
      </c>
      <c r="E14" s="432">
        <f t="shared" si="0"/>
        <v>80.329909025059294</v>
      </c>
      <c r="F14" s="432">
        <f t="shared" si="1"/>
        <v>-300.88393999999994</v>
      </c>
    </row>
    <row r="15" spans="1:6" ht="40.5">
      <c r="A15" s="430">
        <v>1050400002</v>
      </c>
      <c r="B15" s="431" t="s">
        <v>265</v>
      </c>
      <c r="C15" s="436">
        <v>300</v>
      </c>
      <c r="D15" s="433">
        <v>68.049340000000001</v>
      </c>
      <c r="E15" s="432">
        <f t="shared" si="0"/>
        <v>22.683113333333331</v>
      </c>
      <c r="F15" s="432">
        <f t="shared" si="1"/>
        <v>-231.95066</v>
      </c>
    </row>
    <row r="16" spans="1:6" s="6" customFormat="1" ht="24" customHeight="1">
      <c r="A16" s="427">
        <v>1060000000</v>
      </c>
      <c r="B16" s="428" t="s">
        <v>135</v>
      </c>
      <c r="C16" s="429">
        <f>SUM(C17:C20)</f>
        <v>2050</v>
      </c>
      <c r="D16" s="429">
        <f>SUM(D17:D20)</f>
        <v>330.47744</v>
      </c>
      <c r="E16" s="429">
        <f t="shared" si="0"/>
        <v>16.120850731707318</v>
      </c>
      <c r="F16" s="429">
        <f t="shared" si="1"/>
        <v>-1719.5225599999999</v>
      </c>
    </row>
    <row r="17" spans="1:6" s="6" customFormat="1" ht="18" hidden="1" customHeight="1">
      <c r="A17" s="430">
        <v>1060100000</v>
      </c>
      <c r="B17" s="435" t="s">
        <v>8</v>
      </c>
      <c r="C17" s="432"/>
      <c r="D17" s="433"/>
      <c r="E17" s="429" t="e">
        <f t="shared" si="0"/>
        <v>#DIV/0!</v>
      </c>
      <c r="F17" s="429">
        <f t="shared" si="1"/>
        <v>0</v>
      </c>
    </row>
    <row r="18" spans="1:6" s="6" customFormat="1" ht="17.25" hidden="1" customHeight="1">
      <c r="A18" s="430">
        <v>1060200000</v>
      </c>
      <c r="B18" s="435" t="s">
        <v>122</v>
      </c>
      <c r="C18" s="432"/>
      <c r="D18" s="433"/>
      <c r="E18" s="429" t="e">
        <f t="shared" si="0"/>
        <v>#DIV/0!</v>
      </c>
      <c r="F18" s="429">
        <f t="shared" si="1"/>
        <v>0</v>
      </c>
    </row>
    <row r="19" spans="1:6" s="6" customFormat="1" ht="21.75" customHeight="1">
      <c r="A19" s="430">
        <v>1060400000</v>
      </c>
      <c r="B19" s="435" t="s">
        <v>279</v>
      </c>
      <c r="C19" s="432">
        <v>2050</v>
      </c>
      <c r="D19" s="433">
        <v>330.47744</v>
      </c>
      <c r="E19" s="432">
        <f t="shared" si="0"/>
        <v>16.120850731707318</v>
      </c>
      <c r="F19" s="432">
        <f t="shared" si="1"/>
        <v>-1719.5225599999999</v>
      </c>
    </row>
    <row r="20" spans="1:6" ht="15.75" hidden="1" customHeight="1">
      <c r="A20" s="430">
        <v>1060600000</v>
      </c>
      <c r="B20" s="435" t="s">
        <v>7</v>
      </c>
      <c r="C20" s="432"/>
      <c r="D20" s="433"/>
      <c r="E20" s="432" t="e">
        <f t="shared" si="0"/>
        <v>#DIV/0!</v>
      </c>
      <c r="F20" s="432">
        <f t="shared" si="1"/>
        <v>0</v>
      </c>
    </row>
    <row r="21" spans="1:6" s="6" customFormat="1" ht="42" customHeight="1">
      <c r="A21" s="427">
        <v>1070000000</v>
      </c>
      <c r="B21" s="434" t="s">
        <v>9</v>
      </c>
      <c r="C21" s="429">
        <f>SUM(C22)</f>
        <v>1000</v>
      </c>
      <c r="D21" s="429">
        <f>SUM(D22)</f>
        <v>552.67409999999995</v>
      </c>
      <c r="E21" s="429">
        <f t="shared" si="0"/>
        <v>55.267409999999998</v>
      </c>
      <c r="F21" s="429">
        <f t="shared" si="1"/>
        <v>-447.32590000000005</v>
      </c>
    </row>
    <row r="22" spans="1:6" ht="41.25" customHeight="1">
      <c r="A22" s="430">
        <v>1070102001</v>
      </c>
      <c r="B22" s="431" t="s">
        <v>239</v>
      </c>
      <c r="C22" s="432">
        <v>1000</v>
      </c>
      <c r="D22" s="433">
        <v>552.67409999999995</v>
      </c>
      <c r="E22" s="432">
        <f t="shared" si="0"/>
        <v>55.267409999999998</v>
      </c>
      <c r="F22" s="432">
        <f t="shared" si="1"/>
        <v>-447.32590000000005</v>
      </c>
    </row>
    <row r="23" spans="1:6" s="6" customFormat="1" ht="20.25">
      <c r="A23" s="427">
        <v>1080000000</v>
      </c>
      <c r="B23" s="428" t="s">
        <v>10</v>
      </c>
      <c r="C23" s="429">
        <f>C24+C25+C26</f>
        <v>2700</v>
      </c>
      <c r="D23" s="429">
        <f>D24+D25+D26</f>
        <v>1168.4115899999999</v>
      </c>
      <c r="E23" s="429">
        <f t="shared" si="0"/>
        <v>43.274503333333328</v>
      </c>
      <c r="F23" s="429">
        <f t="shared" si="1"/>
        <v>-1531.5884100000001</v>
      </c>
    </row>
    <row r="24" spans="1:6" ht="36.75" customHeight="1">
      <c r="A24" s="430">
        <v>1080300001</v>
      </c>
      <c r="B24" s="431" t="s">
        <v>240</v>
      </c>
      <c r="C24" s="432">
        <v>1900</v>
      </c>
      <c r="D24" s="433">
        <v>838.01909000000001</v>
      </c>
      <c r="E24" s="432">
        <f t="shared" si="0"/>
        <v>44.106267894736845</v>
      </c>
      <c r="F24" s="432">
        <f t="shared" si="1"/>
        <v>-1061.98091</v>
      </c>
    </row>
    <row r="25" spans="1:6" ht="33.75" customHeight="1">
      <c r="A25" s="430">
        <v>1080600001</v>
      </c>
      <c r="B25" s="431" t="s">
        <v>227</v>
      </c>
      <c r="C25" s="432">
        <v>0</v>
      </c>
      <c r="D25" s="433">
        <v>7.25</v>
      </c>
      <c r="E25" s="432" t="e">
        <f>SUM(D25/C25*100)</f>
        <v>#DIV/0!</v>
      </c>
      <c r="F25" s="432">
        <f t="shared" si="1"/>
        <v>7.25</v>
      </c>
    </row>
    <row r="26" spans="1:6" ht="69.75" customHeight="1">
      <c r="A26" s="430">
        <v>1080714001</v>
      </c>
      <c r="B26" s="431" t="s">
        <v>226</v>
      </c>
      <c r="C26" s="432">
        <v>800</v>
      </c>
      <c r="D26" s="433">
        <v>323.14249999999998</v>
      </c>
      <c r="E26" s="432">
        <f t="shared" si="0"/>
        <v>40.392812499999998</v>
      </c>
      <c r="F26" s="432">
        <f t="shared" si="1"/>
        <v>-476.85750000000002</v>
      </c>
    </row>
    <row r="27" spans="1:6" s="15" customFormat="1" ht="0.75" hidden="1" customHeight="1">
      <c r="A27" s="427">
        <v>1090000000</v>
      </c>
      <c r="B27" s="434" t="s">
        <v>230</v>
      </c>
      <c r="C27" s="429">
        <f>C28+C29+C30+C31</f>
        <v>0</v>
      </c>
      <c r="D27" s="429">
        <f>D28+D29+D30+D31</f>
        <v>0</v>
      </c>
      <c r="E27" s="432" t="e">
        <f t="shared" si="0"/>
        <v>#DIV/0!</v>
      </c>
      <c r="F27" s="429">
        <f t="shared" si="1"/>
        <v>0</v>
      </c>
    </row>
    <row r="28" spans="1:6" s="15" customFormat="1" ht="17.25" hidden="1" customHeight="1">
      <c r="A28" s="430">
        <v>1090100000</v>
      </c>
      <c r="B28" s="431" t="s">
        <v>124</v>
      </c>
      <c r="C28" s="432">
        <v>0</v>
      </c>
      <c r="D28" s="433">
        <v>0</v>
      </c>
      <c r="E28" s="432" t="e">
        <f t="shared" si="0"/>
        <v>#DIV/0!</v>
      </c>
      <c r="F28" s="432">
        <f t="shared" si="1"/>
        <v>0</v>
      </c>
    </row>
    <row r="29" spans="1:6" s="15" customFormat="1" ht="17.25" hidden="1" customHeight="1">
      <c r="A29" s="430">
        <v>1090400000</v>
      </c>
      <c r="B29" s="431" t="s">
        <v>125</v>
      </c>
      <c r="C29" s="432">
        <v>0</v>
      </c>
      <c r="D29" s="433">
        <v>0</v>
      </c>
      <c r="E29" s="432" t="e">
        <f t="shared" si="0"/>
        <v>#DIV/0!</v>
      </c>
      <c r="F29" s="432">
        <f t="shared" si="1"/>
        <v>0</v>
      </c>
    </row>
    <row r="30" spans="1:6" s="15" customFormat="1" ht="15.75" hidden="1" customHeight="1">
      <c r="A30" s="430">
        <v>1090600000</v>
      </c>
      <c r="B30" s="431" t="s">
        <v>126</v>
      </c>
      <c r="C30" s="432">
        <v>0</v>
      </c>
      <c r="D30" s="433">
        <v>0</v>
      </c>
      <c r="E30" s="432" t="e">
        <f t="shared" si="0"/>
        <v>#DIV/0!</v>
      </c>
      <c r="F30" s="432">
        <f t="shared" si="1"/>
        <v>0</v>
      </c>
    </row>
    <row r="31" spans="1:6" s="15" customFormat="1" ht="42" hidden="1" customHeight="1">
      <c r="A31" s="430">
        <v>1090700000</v>
      </c>
      <c r="B31" s="431" t="s">
        <v>127</v>
      </c>
      <c r="C31" s="432">
        <v>0</v>
      </c>
      <c r="D31" s="433">
        <v>0</v>
      </c>
      <c r="E31" s="432" t="e">
        <f t="shared" si="0"/>
        <v>#DIV/0!</v>
      </c>
      <c r="F31" s="432">
        <f t="shared" si="1"/>
        <v>0</v>
      </c>
    </row>
    <row r="32" spans="1:6" s="6" customFormat="1" ht="33.75" customHeight="1">
      <c r="A32" s="427"/>
      <c r="B32" s="428" t="s">
        <v>12</v>
      </c>
      <c r="C32" s="429">
        <f>C33+C42+C44+C47+C50+C52+C69</f>
        <v>28011.599999999999</v>
      </c>
      <c r="D32" s="429">
        <f>D33+D42+D44+D47+D50+D52+D69</f>
        <v>8368.8345899999986</v>
      </c>
      <c r="E32" s="429">
        <f t="shared" si="0"/>
        <v>29.87631763269502</v>
      </c>
      <c r="F32" s="429">
        <f t="shared" si="1"/>
        <v>-19642.76541</v>
      </c>
    </row>
    <row r="33" spans="1:6" s="6" customFormat="1" ht="60.75" customHeight="1">
      <c r="A33" s="427">
        <v>1110000000</v>
      </c>
      <c r="B33" s="434" t="s">
        <v>128</v>
      </c>
      <c r="C33" s="429">
        <f>SUM(C34:C41)</f>
        <v>11511.6</v>
      </c>
      <c r="D33" s="429">
        <f>D35+D36+D37+D39+D38+D34+D41+D40</f>
        <v>4987.3727499999995</v>
      </c>
      <c r="E33" s="429">
        <f t="shared" si="0"/>
        <v>43.324757201431595</v>
      </c>
      <c r="F33" s="429">
        <f t="shared" si="1"/>
        <v>-6524.2272500000008</v>
      </c>
    </row>
    <row r="34" spans="1:6" s="6" customFormat="1" ht="34.5" customHeight="1">
      <c r="A34" s="430">
        <v>1110105005</v>
      </c>
      <c r="B34" s="431" t="s">
        <v>319</v>
      </c>
      <c r="C34" s="432">
        <v>10</v>
      </c>
      <c r="D34" s="432">
        <v>23.658000000000001</v>
      </c>
      <c r="E34" s="432">
        <f t="shared" si="0"/>
        <v>236.58</v>
      </c>
      <c r="F34" s="432">
        <f t="shared" si="1"/>
        <v>13.658000000000001</v>
      </c>
    </row>
    <row r="35" spans="1:6" ht="27.75" hidden="1" customHeight="1">
      <c r="A35" s="430">
        <v>1110305005</v>
      </c>
      <c r="B35" s="435" t="s">
        <v>241</v>
      </c>
      <c r="C35" s="432">
        <v>0</v>
      </c>
      <c r="D35" s="433">
        <v>0</v>
      </c>
      <c r="E35" s="432" t="e">
        <f t="shared" si="0"/>
        <v>#DIV/0!</v>
      </c>
      <c r="F35" s="432">
        <f t="shared" si="1"/>
        <v>0</v>
      </c>
    </row>
    <row r="36" spans="1:6" ht="20.25">
      <c r="A36" s="437">
        <v>1110501101</v>
      </c>
      <c r="B36" s="438" t="s">
        <v>225</v>
      </c>
      <c r="C36" s="436">
        <v>10636.6</v>
      </c>
      <c r="D36" s="433">
        <v>4496.6951600000002</v>
      </c>
      <c r="E36" s="432">
        <f t="shared" si="0"/>
        <v>42.275681702799766</v>
      </c>
      <c r="F36" s="432">
        <f t="shared" si="1"/>
        <v>-6139.9048400000001</v>
      </c>
    </row>
    <row r="37" spans="1:6" ht="20.25" customHeight="1">
      <c r="A37" s="430">
        <v>1110503505</v>
      </c>
      <c r="B37" s="435" t="s">
        <v>224</v>
      </c>
      <c r="C37" s="436">
        <v>350</v>
      </c>
      <c r="D37" s="433">
        <v>178.22275999999999</v>
      </c>
      <c r="E37" s="432">
        <f t="shared" si="0"/>
        <v>50.920788571428567</v>
      </c>
      <c r="F37" s="432">
        <f t="shared" si="1"/>
        <v>-171.77724000000001</v>
      </c>
    </row>
    <row r="38" spans="1:6" ht="131.25" hidden="1" customHeight="1">
      <c r="A38" s="430">
        <v>1110502000</v>
      </c>
      <c r="B38" s="431" t="s">
        <v>276</v>
      </c>
      <c r="C38" s="439">
        <v>0</v>
      </c>
      <c r="D38" s="433">
        <v>0</v>
      </c>
      <c r="E38" s="432" t="e">
        <f t="shared" si="0"/>
        <v>#DIV/0!</v>
      </c>
      <c r="F38" s="432">
        <f t="shared" si="1"/>
        <v>0</v>
      </c>
    </row>
    <row r="39" spans="1:6" s="15" customFormat="1" ht="20.25">
      <c r="A39" s="430">
        <v>1110701505</v>
      </c>
      <c r="B39" s="435" t="s">
        <v>242</v>
      </c>
      <c r="C39" s="436">
        <v>20</v>
      </c>
      <c r="D39" s="433">
        <v>26.303000000000001</v>
      </c>
      <c r="E39" s="432">
        <f t="shared" si="0"/>
        <v>131.51500000000001</v>
      </c>
      <c r="F39" s="432">
        <f t="shared" si="1"/>
        <v>6.3030000000000008</v>
      </c>
    </row>
    <row r="40" spans="1:6" s="15" customFormat="1" ht="20.25">
      <c r="A40" s="430">
        <v>1110903000</v>
      </c>
      <c r="B40" s="435" t="s">
        <v>409</v>
      </c>
      <c r="C40" s="436">
        <v>0</v>
      </c>
      <c r="D40" s="433">
        <v>0.31791000000000003</v>
      </c>
      <c r="E40" s="432" t="e">
        <f>SUM(D40/C40*100)</f>
        <v>#DIV/0!</v>
      </c>
      <c r="F40" s="432">
        <f>SUM(D40-C40)</f>
        <v>0.31791000000000003</v>
      </c>
    </row>
    <row r="41" spans="1:6" s="15" customFormat="1" ht="20.25">
      <c r="A41" s="430">
        <v>1110904505</v>
      </c>
      <c r="B41" s="435" t="s">
        <v>333</v>
      </c>
      <c r="C41" s="436">
        <v>495</v>
      </c>
      <c r="D41" s="433">
        <v>262.17592000000002</v>
      </c>
      <c r="E41" s="432">
        <f t="shared" si="0"/>
        <v>52.964832323232322</v>
      </c>
      <c r="F41" s="432">
        <f t="shared" si="1"/>
        <v>-232.82407999999998</v>
      </c>
    </row>
    <row r="42" spans="1:6" s="15" customFormat="1" ht="40.5">
      <c r="A42" s="427">
        <v>1120000000</v>
      </c>
      <c r="B42" s="434" t="s">
        <v>129</v>
      </c>
      <c r="C42" s="440">
        <f>C43</f>
        <v>600</v>
      </c>
      <c r="D42" s="440">
        <f>D43</f>
        <v>351.37747999999999</v>
      </c>
      <c r="E42" s="429">
        <f t="shared" si="0"/>
        <v>58.562913333333334</v>
      </c>
      <c r="F42" s="429">
        <f t="shared" si="1"/>
        <v>-248.62252000000001</v>
      </c>
    </row>
    <row r="43" spans="1:6" s="15" customFormat="1" ht="40.5">
      <c r="A43" s="430">
        <v>1120100001</v>
      </c>
      <c r="B43" s="431" t="s">
        <v>243</v>
      </c>
      <c r="C43" s="432">
        <v>600</v>
      </c>
      <c r="D43" s="433">
        <v>351.37747999999999</v>
      </c>
      <c r="E43" s="432">
        <f t="shared" si="0"/>
        <v>58.562913333333334</v>
      </c>
      <c r="F43" s="432">
        <f t="shared" si="1"/>
        <v>-248.62252000000001</v>
      </c>
    </row>
    <row r="44" spans="1:6" s="202" customFormat="1" ht="21.75" customHeight="1">
      <c r="A44" s="441">
        <v>1130000000</v>
      </c>
      <c r="B44" s="442" t="s">
        <v>130</v>
      </c>
      <c r="C44" s="429">
        <f>C45+C46</f>
        <v>0</v>
      </c>
      <c r="D44" s="429">
        <f>D45+D46</f>
        <v>1.2607900000000001</v>
      </c>
      <c r="E44" s="429" t="e">
        <f t="shared" si="0"/>
        <v>#DIV/0!</v>
      </c>
      <c r="F44" s="429">
        <f t="shared" si="1"/>
        <v>1.2607900000000001</v>
      </c>
    </row>
    <row r="45" spans="1:6" s="15" customFormat="1" ht="36" customHeight="1">
      <c r="A45" s="430">
        <v>1130200000</v>
      </c>
      <c r="B45" s="431" t="s">
        <v>329</v>
      </c>
      <c r="C45" s="432">
        <v>0</v>
      </c>
      <c r="D45" s="432">
        <v>1.2607900000000001</v>
      </c>
      <c r="E45" s="432" t="e">
        <f>SUM(D45/C45*100)</f>
        <v>#DIV/0!</v>
      </c>
      <c r="F45" s="432">
        <f>SUM(D45-C45)</f>
        <v>1.2607900000000001</v>
      </c>
    </row>
    <row r="46" spans="1:6" ht="25.5" customHeight="1">
      <c r="A46" s="430">
        <v>1130305005</v>
      </c>
      <c r="B46" s="431" t="s">
        <v>223</v>
      </c>
      <c r="C46" s="432">
        <v>0</v>
      </c>
      <c r="D46" s="433">
        <v>0</v>
      </c>
      <c r="E46" s="432"/>
      <c r="F46" s="432">
        <f t="shared" si="1"/>
        <v>0</v>
      </c>
    </row>
    <row r="47" spans="1:6" ht="20.25" customHeight="1">
      <c r="A47" s="443">
        <v>1140000000</v>
      </c>
      <c r="B47" s="444" t="s">
        <v>131</v>
      </c>
      <c r="C47" s="429">
        <f>C48+C49</f>
        <v>10300</v>
      </c>
      <c r="D47" s="429">
        <f>D48+D49</f>
        <v>726.95493999999997</v>
      </c>
      <c r="E47" s="429">
        <f t="shared" si="0"/>
        <v>7.0578149514563107</v>
      </c>
      <c r="F47" s="429">
        <f t="shared" si="1"/>
        <v>-9573.0450600000004</v>
      </c>
    </row>
    <row r="48" spans="1:6" ht="20.25">
      <c r="A48" s="437">
        <v>1140200000</v>
      </c>
      <c r="B48" s="445" t="s">
        <v>221</v>
      </c>
      <c r="C48" s="432">
        <v>200</v>
      </c>
      <c r="D48" s="433">
        <v>-88.246399999999994</v>
      </c>
      <c r="E48" s="432">
        <f t="shared" si="0"/>
        <v>-44.123199999999997</v>
      </c>
      <c r="F48" s="432">
        <f t="shared" si="1"/>
        <v>-288.24639999999999</v>
      </c>
    </row>
    <row r="49" spans="1:8" ht="24" customHeight="1">
      <c r="A49" s="430">
        <v>1140600000</v>
      </c>
      <c r="B49" s="431" t="s">
        <v>222</v>
      </c>
      <c r="C49" s="432">
        <v>10100</v>
      </c>
      <c r="D49" s="433">
        <v>815.20133999999996</v>
      </c>
      <c r="E49" s="432">
        <f t="shared" si="0"/>
        <v>8.0713003960396037</v>
      </c>
      <c r="F49" s="432">
        <f t="shared" si="1"/>
        <v>-9284.7986600000004</v>
      </c>
    </row>
    <row r="50" spans="1:8" ht="37.5" hidden="1" customHeight="1">
      <c r="A50" s="427">
        <v>1150000000</v>
      </c>
      <c r="B50" s="434" t="s">
        <v>234</v>
      </c>
      <c r="C50" s="429">
        <f>C51</f>
        <v>0</v>
      </c>
      <c r="D50" s="429">
        <f>D51</f>
        <v>0</v>
      </c>
      <c r="E50" s="429" t="e">
        <f t="shared" si="0"/>
        <v>#DIV/0!</v>
      </c>
      <c r="F50" s="429">
        <f t="shared" si="1"/>
        <v>0</v>
      </c>
    </row>
    <row r="51" spans="1:8" ht="56.25" hidden="1" customHeight="1">
      <c r="A51" s="430">
        <v>1150205005</v>
      </c>
      <c r="B51" s="431" t="s">
        <v>235</v>
      </c>
      <c r="C51" s="432">
        <v>0</v>
      </c>
      <c r="D51" s="433">
        <v>0</v>
      </c>
      <c r="E51" s="432" t="e">
        <f t="shared" si="0"/>
        <v>#DIV/0!</v>
      </c>
      <c r="F51" s="432">
        <f t="shared" si="1"/>
        <v>0</v>
      </c>
    </row>
    <row r="52" spans="1:8" ht="40.5">
      <c r="A52" s="427">
        <v>1160000000</v>
      </c>
      <c r="B52" s="434" t="s">
        <v>133</v>
      </c>
      <c r="C52" s="429">
        <f>C53+C54+C55+C56+C57+C58+C59+C60+C61+C62+C63+C64+C65+C66+C67+C68</f>
        <v>5600</v>
      </c>
      <c r="D52" s="429">
        <f>D53+D54+D55+D56+D57+D58+D59+D60+D61+D62+D63+D64+D65+D66+D67+D68</f>
        <v>2301.8686299999999</v>
      </c>
      <c r="E52" s="429">
        <f>SUM(D52/C52*100)</f>
        <v>41.104796964285711</v>
      </c>
      <c r="F52" s="429">
        <f t="shared" si="1"/>
        <v>-3298.1313700000001</v>
      </c>
      <c r="H52" s="152"/>
    </row>
    <row r="53" spans="1:8" ht="23.25" customHeight="1">
      <c r="A53" s="430">
        <v>1160301001</v>
      </c>
      <c r="B53" s="431" t="s">
        <v>244</v>
      </c>
      <c r="C53" s="432">
        <v>10</v>
      </c>
      <c r="D53" s="446">
        <v>5.7125000000000004</v>
      </c>
      <c r="E53" s="432">
        <f>SUM(D53/C53*100)</f>
        <v>57.125</v>
      </c>
      <c r="F53" s="432">
        <f t="shared" si="1"/>
        <v>-4.2874999999999996</v>
      </c>
    </row>
    <row r="54" spans="1:8" ht="21" customHeight="1">
      <c r="A54" s="430">
        <v>1160303001</v>
      </c>
      <c r="B54" s="431" t="s">
        <v>245</v>
      </c>
      <c r="C54" s="432">
        <v>7</v>
      </c>
      <c r="D54" s="447">
        <v>7.0456899999999996</v>
      </c>
      <c r="E54" s="432">
        <f t="shared" si="0"/>
        <v>100.65271428571427</v>
      </c>
      <c r="F54" s="432">
        <f t="shared" si="1"/>
        <v>4.5689999999999564E-2</v>
      </c>
    </row>
    <row r="55" spans="1:8" ht="23.25" customHeight="1">
      <c r="A55" s="430">
        <v>1160600000</v>
      </c>
      <c r="B55" s="431" t="s">
        <v>246</v>
      </c>
      <c r="C55" s="448">
        <v>0</v>
      </c>
      <c r="D55" s="447">
        <v>0</v>
      </c>
      <c r="E55" s="432" t="e">
        <f t="shared" si="0"/>
        <v>#DIV/0!</v>
      </c>
      <c r="F55" s="432">
        <f t="shared" si="1"/>
        <v>0</v>
      </c>
    </row>
    <row r="56" spans="1:8" s="15" customFormat="1" ht="48" customHeight="1">
      <c r="A56" s="430">
        <v>1160800001</v>
      </c>
      <c r="B56" s="431" t="s">
        <v>247</v>
      </c>
      <c r="C56" s="432">
        <v>700</v>
      </c>
      <c r="D56" s="447">
        <v>20</v>
      </c>
      <c r="E56" s="432">
        <f t="shared" si="0"/>
        <v>2.8571428571428572</v>
      </c>
      <c r="F56" s="432">
        <f t="shared" si="1"/>
        <v>-680</v>
      </c>
    </row>
    <row r="57" spans="1:8" ht="35.25" customHeight="1">
      <c r="A57" s="430">
        <v>1160802001</v>
      </c>
      <c r="B57" s="431" t="s">
        <v>341</v>
      </c>
      <c r="C57" s="448">
        <v>0</v>
      </c>
      <c r="D57" s="433">
        <v>0</v>
      </c>
      <c r="E57" s="432" t="e">
        <f t="shared" si="0"/>
        <v>#DIV/0!</v>
      </c>
      <c r="F57" s="432">
        <f t="shared" si="1"/>
        <v>0</v>
      </c>
    </row>
    <row r="58" spans="1:8" ht="35.25" customHeight="1">
      <c r="A58" s="430">
        <v>1162105005</v>
      </c>
      <c r="B58" s="431" t="s">
        <v>15</v>
      </c>
      <c r="C58" s="432">
        <v>200</v>
      </c>
      <c r="D58" s="433">
        <v>132.38559000000001</v>
      </c>
      <c r="E58" s="432">
        <f t="shared" si="0"/>
        <v>66.192795000000004</v>
      </c>
      <c r="F58" s="432">
        <f t="shared" si="1"/>
        <v>-67.614409999999992</v>
      </c>
    </row>
    <row r="59" spans="1:8" ht="35.25" customHeight="1">
      <c r="A59" s="437">
        <v>1162503001</v>
      </c>
      <c r="B59" s="445" t="s">
        <v>332</v>
      </c>
      <c r="C59" s="432">
        <v>90</v>
      </c>
      <c r="D59" s="433">
        <v>10</v>
      </c>
      <c r="E59" s="432">
        <f t="shared" si="0"/>
        <v>11.111111111111111</v>
      </c>
      <c r="F59" s="432">
        <f t="shared" si="1"/>
        <v>-80</v>
      </c>
    </row>
    <row r="60" spans="1:8" ht="21.75" customHeight="1">
      <c r="A60" s="437">
        <v>1162505001</v>
      </c>
      <c r="B60" s="445" t="s">
        <v>344</v>
      </c>
      <c r="C60" s="432">
        <v>20</v>
      </c>
      <c r="D60" s="433">
        <v>10</v>
      </c>
      <c r="E60" s="432">
        <f t="shared" si="0"/>
        <v>50</v>
      </c>
      <c r="F60" s="432">
        <f t="shared" si="1"/>
        <v>-10</v>
      </c>
    </row>
    <row r="61" spans="1:8" ht="20.25" customHeight="1">
      <c r="A61" s="437">
        <v>1162506001</v>
      </c>
      <c r="B61" s="445" t="s">
        <v>268</v>
      </c>
      <c r="C61" s="432">
        <v>70</v>
      </c>
      <c r="D61" s="433">
        <v>94.572569999999999</v>
      </c>
      <c r="E61" s="432">
        <f t="shared" si="0"/>
        <v>135.10367142857143</v>
      </c>
      <c r="F61" s="432">
        <f t="shared" si="1"/>
        <v>24.572569999999999</v>
      </c>
    </row>
    <row r="62" spans="1:8" ht="0.75" hidden="1" customHeight="1">
      <c r="A62" s="430">
        <v>1162700001</v>
      </c>
      <c r="B62" s="431" t="s">
        <v>248</v>
      </c>
      <c r="C62" s="432">
        <v>0</v>
      </c>
      <c r="D62" s="433">
        <v>0</v>
      </c>
      <c r="E62" s="432" t="e">
        <f t="shared" si="0"/>
        <v>#DIV/0!</v>
      </c>
      <c r="F62" s="432">
        <f t="shared" si="1"/>
        <v>0</v>
      </c>
    </row>
    <row r="63" spans="1:8" ht="37.5" customHeight="1">
      <c r="A63" s="430">
        <v>1162800001</v>
      </c>
      <c r="B63" s="431" t="s">
        <v>237</v>
      </c>
      <c r="C63" s="432">
        <v>450</v>
      </c>
      <c r="D63" s="433">
        <v>176.70520999999999</v>
      </c>
      <c r="E63" s="432">
        <f>SUM(D63/C63*100)</f>
        <v>39.267824444444443</v>
      </c>
      <c r="F63" s="432">
        <f>SUM(D63-C63)</f>
        <v>-273.29479000000003</v>
      </c>
    </row>
    <row r="64" spans="1:8" ht="36" customHeight="1">
      <c r="A64" s="430">
        <v>1163003001</v>
      </c>
      <c r="B64" s="431" t="s">
        <v>269</v>
      </c>
      <c r="C64" s="432">
        <v>400</v>
      </c>
      <c r="D64" s="433">
        <v>426.5</v>
      </c>
      <c r="E64" s="432">
        <f>SUM(D64/C64*100)</f>
        <v>106.62499999999999</v>
      </c>
      <c r="F64" s="432">
        <f>SUM(D64-C64)</f>
        <v>26.5</v>
      </c>
    </row>
    <row r="65" spans="1:8" ht="60.75">
      <c r="A65" s="430">
        <v>1164300001</v>
      </c>
      <c r="B65" s="449" t="s">
        <v>261</v>
      </c>
      <c r="C65" s="432">
        <v>320</v>
      </c>
      <c r="D65" s="433">
        <v>259.46895000000001</v>
      </c>
      <c r="E65" s="432">
        <f t="shared" si="0"/>
        <v>81.084046874999999</v>
      </c>
      <c r="F65" s="432">
        <f t="shared" si="1"/>
        <v>-60.531049999999993</v>
      </c>
    </row>
    <row r="66" spans="1:8" ht="73.5" customHeight="1">
      <c r="A66" s="430">
        <v>1163305005</v>
      </c>
      <c r="B66" s="431" t="s">
        <v>16</v>
      </c>
      <c r="C66" s="432">
        <v>0</v>
      </c>
      <c r="D66" s="433">
        <v>7.7823900000000004</v>
      </c>
      <c r="E66" s="432" t="e">
        <f t="shared" si="0"/>
        <v>#DIV/0!</v>
      </c>
      <c r="F66" s="432">
        <f t="shared" si="1"/>
        <v>7.7823900000000004</v>
      </c>
    </row>
    <row r="67" spans="1:8" ht="20.25">
      <c r="A67" s="430">
        <v>1163500000</v>
      </c>
      <c r="B67" s="431" t="s">
        <v>330</v>
      </c>
      <c r="C67" s="432">
        <v>0</v>
      </c>
      <c r="D67" s="433">
        <v>1.3480300000000001</v>
      </c>
      <c r="E67" s="432" t="e">
        <f t="shared" si="0"/>
        <v>#DIV/0!</v>
      </c>
      <c r="F67" s="432">
        <f t="shared" si="1"/>
        <v>1.3480300000000001</v>
      </c>
    </row>
    <row r="68" spans="1:8" ht="35.25" customHeight="1">
      <c r="A68" s="430">
        <v>1169000000</v>
      </c>
      <c r="B68" s="431" t="s">
        <v>236</v>
      </c>
      <c r="C68" s="432">
        <v>3333</v>
      </c>
      <c r="D68" s="433">
        <v>1150.3477</v>
      </c>
      <c r="E68" s="432">
        <f t="shared" si="0"/>
        <v>34.513882388238827</v>
      </c>
      <c r="F68" s="432">
        <f t="shared" si="1"/>
        <v>-2182.6522999999997</v>
      </c>
    </row>
    <row r="69" spans="1:8" ht="25.5" customHeight="1">
      <c r="A69" s="427">
        <v>1170000000</v>
      </c>
      <c r="B69" s="434" t="s">
        <v>134</v>
      </c>
      <c r="C69" s="429">
        <f>C70+C71</f>
        <v>0</v>
      </c>
      <c r="D69" s="429">
        <f>D70+D71</f>
        <v>0</v>
      </c>
      <c r="E69" s="432" t="e">
        <f t="shared" si="0"/>
        <v>#DIV/0!</v>
      </c>
      <c r="F69" s="429">
        <f t="shared" si="1"/>
        <v>0</v>
      </c>
    </row>
    <row r="70" spans="1:8" ht="20.25">
      <c r="A70" s="430">
        <v>1170105005</v>
      </c>
      <c r="B70" s="431" t="s">
        <v>17</v>
      </c>
      <c r="C70" s="432">
        <v>0</v>
      </c>
      <c r="D70" s="432"/>
      <c r="E70" s="432" t="e">
        <f t="shared" si="0"/>
        <v>#DIV/0!</v>
      </c>
      <c r="F70" s="432">
        <f t="shared" si="1"/>
        <v>0</v>
      </c>
    </row>
    <row r="71" spans="1:8" ht="20.25">
      <c r="A71" s="430">
        <v>1170505005</v>
      </c>
      <c r="B71" s="435" t="s">
        <v>220</v>
      </c>
      <c r="C71" s="432">
        <v>0</v>
      </c>
      <c r="D71" s="433">
        <v>0</v>
      </c>
      <c r="E71" s="432" t="e">
        <f t="shared" si="0"/>
        <v>#DIV/0!</v>
      </c>
      <c r="F71" s="432">
        <f t="shared" si="1"/>
        <v>0</v>
      </c>
    </row>
    <row r="72" spans="1:8" s="6" customFormat="1" ht="20.25">
      <c r="A72" s="427">
        <v>1000000000</v>
      </c>
      <c r="B72" s="428" t="s">
        <v>18</v>
      </c>
      <c r="C72" s="450">
        <f>SUM(C4,C32)</f>
        <v>169461.94200000001</v>
      </c>
      <c r="D72" s="450">
        <f>SUM(D4,D32)</f>
        <v>71948.724180000005</v>
      </c>
      <c r="E72" s="429">
        <f>SUM(D72/C72*100)</f>
        <v>42.457157831933735</v>
      </c>
      <c r="F72" s="429">
        <f>SUM(D72-C72)</f>
        <v>-97513.217820000005</v>
      </c>
      <c r="G72" s="94"/>
      <c r="H72" s="94"/>
    </row>
    <row r="73" spans="1:8" s="6" customFormat="1" ht="30" customHeight="1">
      <c r="A73" s="427">
        <v>2000000000</v>
      </c>
      <c r="B73" s="428" t="s">
        <v>19</v>
      </c>
      <c r="C73" s="429">
        <f>C74+C77+C78+C79+C81+C76+C80</f>
        <v>630757.43241000001</v>
      </c>
      <c r="D73" s="429">
        <f>D74+D77+D78+D79+D81+D76+D80</f>
        <v>249047.17299999995</v>
      </c>
      <c r="E73" s="429">
        <f t="shared" si="0"/>
        <v>39.483826936202668</v>
      </c>
      <c r="F73" s="429">
        <f t="shared" si="1"/>
        <v>-381710.25941000006</v>
      </c>
      <c r="G73" s="94"/>
      <c r="H73" s="94"/>
    </row>
    <row r="74" spans="1:8" ht="21.75" customHeight="1">
      <c r="A74" s="437">
        <v>2021000000</v>
      </c>
      <c r="B74" s="438" t="s">
        <v>20</v>
      </c>
      <c r="C74" s="436">
        <v>27513.7</v>
      </c>
      <c r="D74" s="451">
        <v>11785.7</v>
      </c>
      <c r="E74" s="432">
        <f t="shared" si="0"/>
        <v>42.835750916815989</v>
      </c>
      <c r="F74" s="432">
        <f t="shared" si="1"/>
        <v>-15728</v>
      </c>
    </row>
    <row r="75" spans="1:8" ht="24" hidden="1" customHeight="1">
      <c r="A75" s="437">
        <v>2020100905</v>
      </c>
      <c r="B75" s="445" t="s">
        <v>275</v>
      </c>
      <c r="C75" s="436">
        <v>0</v>
      </c>
      <c r="D75" s="451">
        <v>0</v>
      </c>
      <c r="E75" s="432" t="e">
        <f t="shared" si="0"/>
        <v>#DIV/0!</v>
      </c>
      <c r="F75" s="432">
        <f t="shared" si="1"/>
        <v>0</v>
      </c>
    </row>
    <row r="76" spans="1:8" ht="21.75" customHeight="1">
      <c r="A76" s="437">
        <v>2020100310</v>
      </c>
      <c r="B76" s="438" t="s">
        <v>231</v>
      </c>
      <c r="C76" s="436">
        <v>10103.5</v>
      </c>
      <c r="D76" s="451">
        <v>5894</v>
      </c>
      <c r="E76" s="432">
        <f t="shared" si="0"/>
        <v>58.336220121739991</v>
      </c>
      <c r="F76" s="432">
        <f t="shared" si="1"/>
        <v>-4209.5</v>
      </c>
    </row>
    <row r="77" spans="1:8" ht="20.25">
      <c r="A77" s="437">
        <v>2022000000</v>
      </c>
      <c r="B77" s="438" t="s">
        <v>21</v>
      </c>
      <c r="C77" s="436">
        <v>136350.27531</v>
      </c>
      <c r="D77" s="433">
        <v>50318.930670000002</v>
      </c>
      <c r="E77" s="432">
        <f t="shared" si="0"/>
        <v>36.9041650672117</v>
      </c>
      <c r="F77" s="432">
        <f t="shared" si="1"/>
        <v>-86031.344639999996</v>
      </c>
    </row>
    <row r="78" spans="1:8" ht="20.25">
      <c r="A78" s="437">
        <v>2023000000</v>
      </c>
      <c r="B78" s="438" t="s">
        <v>22</v>
      </c>
      <c r="C78" s="436">
        <v>349012.15710000001</v>
      </c>
      <c r="D78" s="452">
        <v>200059.77432999999</v>
      </c>
      <c r="E78" s="432">
        <f t="shared" si="0"/>
        <v>57.321720822658406</v>
      </c>
      <c r="F78" s="432">
        <f t="shared" si="1"/>
        <v>-148952.38277000003</v>
      </c>
    </row>
    <row r="79" spans="1:8" ht="19.5" customHeight="1">
      <c r="A79" s="437">
        <v>2024000000</v>
      </c>
      <c r="B79" s="445" t="s">
        <v>23</v>
      </c>
      <c r="C79" s="436">
        <v>136818.29999999999</v>
      </c>
      <c r="D79" s="453">
        <v>10047.56</v>
      </c>
      <c r="E79" s="432">
        <f t="shared" si="0"/>
        <v>7.3437252180446624</v>
      </c>
      <c r="F79" s="432">
        <f t="shared" si="1"/>
        <v>-126770.73999999999</v>
      </c>
    </row>
    <row r="80" spans="1:8" ht="20.25">
      <c r="A80" s="437">
        <v>2180500005</v>
      </c>
      <c r="B80" s="445" t="s">
        <v>324</v>
      </c>
      <c r="C80" s="436">
        <v>0</v>
      </c>
      <c r="D80" s="453">
        <v>0</v>
      </c>
      <c r="E80" s="432" t="e">
        <f t="shared" si="0"/>
        <v>#DIV/0!</v>
      </c>
      <c r="F80" s="432">
        <f t="shared" si="1"/>
        <v>0</v>
      </c>
    </row>
    <row r="81" spans="1:8" ht="22.5" customHeight="1">
      <c r="A81" s="430">
        <v>2196001005</v>
      </c>
      <c r="B81" s="435" t="s">
        <v>25</v>
      </c>
      <c r="C81" s="433">
        <v>-29040.5</v>
      </c>
      <c r="D81" s="433">
        <v>-29058.792000000001</v>
      </c>
      <c r="E81" s="432">
        <f t="shared" si="0"/>
        <v>100.06298789621391</v>
      </c>
      <c r="F81" s="432">
        <f>SUM(D81-C81)</f>
        <v>-18.292000000001281</v>
      </c>
    </row>
    <row r="82" spans="1:8" s="6" customFormat="1" ht="56.25" hidden="1" customHeight="1">
      <c r="A82" s="427">
        <v>3000000000</v>
      </c>
      <c r="B82" s="434" t="s">
        <v>26</v>
      </c>
      <c r="C82" s="440">
        <v>0</v>
      </c>
      <c r="D82" s="454">
        <v>0</v>
      </c>
      <c r="E82" s="432" t="e">
        <f t="shared" si="0"/>
        <v>#DIV/0!</v>
      </c>
      <c r="F82" s="429">
        <f t="shared" si="1"/>
        <v>0</v>
      </c>
    </row>
    <row r="83" spans="1:8" s="6" customFormat="1" ht="22.5" customHeight="1">
      <c r="A83" s="427"/>
      <c r="B83" s="428" t="s">
        <v>27</v>
      </c>
      <c r="C83" s="455">
        <f>C72+C73</f>
        <v>800219.37441000005</v>
      </c>
      <c r="D83" s="455">
        <f>D72+D73</f>
        <v>320995.89717999997</v>
      </c>
      <c r="E83" s="432">
        <f>SUM(D83/C83*100)</f>
        <v>40.113487306736296</v>
      </c>
      <c r="F83" s="429">
        <f>SUM(D84-C83)</f>
        <v>-833277.81080000009</v>
      </c>
      <c r="G83" s="228"/>
      <c r="H83" s="94"/>
    </row>
    <row r="84" spans="1:8" s="6" customFormat="1" ht="20.25">
      <c r="A84" s="427"/>
      <c r="B84" s="456" t="s">
        <v>320</v>
      </c>
      <c r="C84" s="457">
        <f>C83-C145</f>
        <v>-34848.351569999941</v>
      </c>
      <c r="D84" s="429">
        <f>D83-D145</f>
        <v>-33058.436389999988</v>
      </c>
      <c r="E84" s="458"/>
      <c r="F84" s="458"/>
      <c r="G84" s="94"/>
      <c r="H84" s="94"/>
    </row>
    <row r="85" spans="1:8" ht="20.25">
      <c r="A85" s="459"/>
      <c r="B85" s="460"/>
      <c r="C85" s="461"/>
      <c r="D85" s="461"/>
      <c r="E85" s="462"/>
      <c r="F85" s="462"/>
    </row>
    <row r="86" spans="1:8" ht="101.25">
      <c r="A86" s="463" t="s">
        <v>0</v>
      </c>
      <c r="B86" s="463" t="s">
        <v>28</v>
      </c>
      <c r="C86" s="424" t="s">
        <v>411</v>
      </c>
      <c r="D86" s="425" t="s">
        <v>442</v>
      </c>
      <c r="E86" s="424" t="s">
        <v>2</v>
      </c>
      <c r="F86" s="426" t="s">
        <v>3</v>
      </c>
    </row>
    <row r="87" spans="1:8" ht="20.25">
      <c r="A87" s="464">
        <v>1</v>
      </c>
      <c r="B87" s="463">
        <v>2</v>
      </c>
      <c r="C87" s="465">
        <v>3</v>
      </c>
      <c r="D87" s="466">
        <v>4</v>
      </c>
      <c r="E87" s="465">
        <v>5</v>
      </c>
      <c r="F87" s="465">
        <v>6</v>
      </c>
    </row>
    <row r="88" spans="1:8" s="6" customFormat="1" ht="22.5" customHeight="1">
      <c r="A88" s="467" t="s">
        <v>29</v>
      </c>
      <c r="B88" s="468" t="s">
        <v>30</v>
      </c>
      <c r="C88" s="458">
        <f>SUM(C89:C95)</f>
        <v>45520.480129999996</v>
      </c>
      <c r="D88" s="458">
        <f>SUM(D89:D95)</f>
        <v>20649.147250000002</v>
      </c>
      <c r="E88" s="469">
        <f>SUM(D88/C88*100)</f>
        <v>45.362323048941889</v>
      </c>
      <c r="F88" s="469">
        <f>SUM(D88-C88)</f>
        <v>-24871.332879999994</v>
      </c>
    </row>
    <row r="89" spans="1:8" s="6" customFormat="1" ht="40.5">
      <c r="A89" s="470" t="s">
        <v>31</v>
      </c>
      <c r="B89" s="471" t="s">
        <v>32</v>
      </c>
      <c r="C89" s="472">
        <v>50</v>
      </c>
      <c r="D89" s="472">
        <v>5.0336400000000001</v>
      </c>
      <c r="E89" s="469">
        <f>SUM(D89/C89*100)</f>
        <v>10.06728</v>
      </c>
      <c r="F89" s="469">
        <f>SUM(D89-C89)</f>
        <v>-44.966360000000002</v>
      </c>
    </row>
    <row r="90" spans="1:8" ht="21.75" customHeight="1">
      <c r="A90" s="470" t="s">
        <v>33</v>
      </c>
      <c r="B90" s="473" t="s">
        <v>34</v>
      </c>
      <c r="C90" s="472">
        <v>22497.362000000001</v>
      </c>
      <c r="D90" s="472">
        <v>10002.69145</v>
      </c>
      <c r="E90" s="474">
        <f t="shared" ref="E90:E145" si="2">SUM(D90/C90*100)</f>
        <v>44.46161932230099</v>
      </c>
      <c r="F90" s="474">
        <f t="shared" ref="F90:F145" si="3">SUM(D90-C90)</f>
        <v>-12494.670550000001</v>
      </c>
    </row>
    <row r="91" spans="1:8" ht="19.5" customHeight="1">
      <c r="A91" s="470" t="s">
        <v>35</v>
      </c>
      <c r="B91" s="473" t="s">
        <v>36</v>
      </c>
      <c r="C91" s="472">
        <v>10.5</v>
      </c>
      <c r="D91" s="472">
        <v>0</v>
      </c>
      <c r="E91" s="474">
        <f t="shared" si="2"/>
        <v>0</v>
      </c>
      <c r="F91" s="474">
        <f t="shared" si="3"/>
        <v>-10.5</v>
      </c>
    </row>
    <row r="92" spans="1:8" ht="38.25" customHeight="1">
      <c r="A92" s="470" t="s">
        <v>37</v>
      </c>
      <c r="B92" s="473" t="s">
        <v>38</v>
      </c>
      <c r="C92" s="475">
        <v>5075.3999999999996</v>
      </c>
      <c r="D92" s="475">
        <v>2311.5810700000002</v>
      </c>
      <c r="E92" s="474">
        <f t="shared" si="2"/>
        <v>45.544805729597677</v>
      </c>
      <c r="F92" s="474">
        <f t="shared" si="3"/>
        <v>-2763.8189299999995</v>
      </c>
    </row>
    <row r="93" spans="1:8" ht="18.75" customHeight="1">
      <c r="A93" s="470" t="s">
        <v>39</v>
      </c>
      <c r="B93" s="473" t="s">
        <v>40</v>
      </c>
      <c r="C93" s="472">
        <v>75.599999999999994</v>
      </c>
      <c r="D93" s="472">
        <v>0</v>
      </c>
      <c r="E93" s="474">
        <f t="shared" si="2"/>
        <v>0</v>
      </c>
      <c r="F93" s="474">
        <f t="shared" si="3"/>
        <v>-75.599999999999994</v>
      </c>
    </row>
    <row r="94" spans="1:8" ht="24.75" customHeight="1">
      <c r="A94" s="470" t="s">
        <v>41</v>
      </c>
      <c r="B94" s="473" t="s">
        <v>42</v>
      </c>
      <c r="C94" s="475">
        <v>432.02695</v>
      </c>
      <c r="D94" s="475">
        <v>0</v>
      </c>
      <c r="E94" s="474">
        <f t="shared" si="2"/>
        <v>0</v>
      </c>
      <c r="F94" s="474">
        <f t="shared" si="3"/>
        <v>-432.02695</v>
      </c>
    </row>
    <row r="95" spans="1:8" ht="24" customHeight="1">
      <c r="A95" s="470" t="s">
        <v>43</v>
      </c>
      <c r="B95" s="473" t="s">
        <v>44</v>
      </c>
      <c r="C95" s="472">
        <v>17379.591179999999</v>
      </c>
      <c r="D95" s="472">
        <v>8329.8410899999999</v>
      </c>
      <c r="E95" s="474">
        <f t="shared" si="2"/>
        <v>47.92886670191514</v>
      </c>
      <c r="F95" s="474">
        <f t="shared" si="3"/>
        <v>-9049.7500899999995</v>
      </c>
    </row>
    <row r="96" spans="1:8" s="6" customFormat="1" ht="20.25">
      <c r="A96" s="476" t="s">
        <v>45</v>
      </c>
      <c r="B96" s="477" t="s">
        <v>46</v>
      </c>
      <c r="C96" s="458">
        <f>C97</f>
        <v>2158.6999999999998</v>
      </c>
      <c r="D96" s="458">
        <f>D97</f>
        <v>1075.8</v>
      </c>
      <c r="E96" s="469">
        <f t="shared" si="2"/>
        <v>49.835549173113449</v>
      </c>
      <c r="F96" s="469">
        <f t="shared" si="3"/>
        <v>-1082.8999999999999</v>
      </c>
    </row>
    <row r="97" spans="1:7" ht="20.25">
      <c r="A97" s="478" t="s">
        <v>47</v>
      </c>
      <c r="B97" s="479" t="s">
        <v>48</v>
      </c>
      <c r="C97" s="472">
        <v>2158.6999999999998</v>
      </c>
      <c r="D97" s="472">
        <v>1075.8</v>
      </c>
      <c r="E97" s="474">
        <f t="shared" si="2"/>
        <v>49.835549173113449</v>
      </c>
      <c r="F97" s="474">
        <f t="shared" si="3"/>
        <v>-1082.8999999999999</v>
      </c>
    </row>
    <row r="98" spans="1:7" s="6" customFormat="1" ht="21" customHeight="1">
      <c r="A98" s="467" t="s">
        <v>49</v>
      </c>
      <c r="B98" s="468" t="s">
        <v>50</v>
      </c>
      <c r="C98" s="458">
        <f>SUM(C100:C103)</f>
        <v>14584.7</v>
      </c>
      <c r="D98" s="458">
        <f>SUM(D100:D103)</f>
        <v>6634.9907299999995</v>
      </c>
      <c r="E98" s="469">
        <f t="shared" si="2"/>
        <v>45.492815964675302</v>
      </c>
      <c r="F98" s="469">
        <f t="shared" si="3"/>
        <v>-7949.7092700000012</v>
      </c>
    </row>
    <row r="99" spans="1:7" ht="23.25" hidden="1" customHeight="1">
      <c r="A99" s="470" t="s">
        <v>51</v>
      </c>
      <c r="B99" s="473" t="s">
        <v>52</v>
      </c>
      <c r="C99" s="472"/>
      <c r="D99" s="472"/>
      <c r="E99" s="474" t="e">
        <f t="shared" si="2"/>
        <v>#DIV/0!</v>
      </c>
      <c r="F99" s="474">
        <f t="shared" si="3"/>
        <v>0</v>
      </c>
    </row>
    <row r="100" spans="1:7" ht="20.25">
      <c r="A100" s="480" t="s">
        <v>53</v>
      </c>
      <c r="B100" s="473" t="s">
        <v>326</v>
      </c>
      <c r="C100" s="472">
        <v>1811.2</v>
      </c>
      <c r="D100" s="472">
        <v>825</v>
      </c>
      <c r="E100" s="474">
        <f t="shared" si="2"/>
        <v>45.549911660777383</v>
      </c>
      <c r="F100" s="474">
        <f t="shared" si="3"/>
        <v>-986.2</v>
      </c>
    </row>
    <row r="101" spans="1:7" ht="36.75" customHeight="1">
      <c r="A101" s="481" t="s">
        <v>55</v>
      </c>
      <c r="B101" s="482" t="s">
        <v>56</v>
      </c>
      <c r="C101" s="472">
        <v>2277.8000000000002</v>
      </c>
      <c r="D101" s="472">
        <v>1104.2113400000001</v>
      </c>
      <c r="E101" s="474">
        <f t="shared" si="2"/>
        <v>48.477098077091931</v>
      </c>
      <c r="F101" s="474">
        <f t="shared" si="3"/>
        <v>-1173.5886600000001</v>
      </c>
    </row>
    <row r="102" spans="1:7" ht="21" customHeight="1">
      <c r="A102" s="481" t="s">
        <v>218</v>
      </c>
      <c r="B102" s="482" t="s">
        <v>219</v>
      </c>
      <c r="C102" s="472">
        <v>0</v>
      </c>
      <c r="D102" s="472">
        <v>0</v>
      </c>
      <c r="E102" s="474" t="e">
        <f t="shared" si="2"/>
        <v>#DIV/0!</v>
      </c>
      <c r="F102" s="474">
        <f t="shared" si="3"/>
        <v>0</v>
      </c>
    </row>
    <row r="103" spans="1:7" ht="34.5" customHeight="1">
      <c r="A103" s="481" t="s">
        <v>357</v>
      </c>
      <c r="B103" s="482" t="s">
        <v>358</v>
      </c>
      <c r="C103" s="483">
        <v>10495.7</v>
      </c>
      <c r="D103" s="472">
        <v>4705.7793899999997</v>
      </c>
      <c r="E103" s="474">
        <f t="shared" si="2"/>
        <v>44.83530769743799</v>
      </c>
      <c r="F103" s="474">
        <f t="shared" si="3"/>
        <v>-5789.920610000001</v>
      </c>
    </row>
    <row r="104" spans="1:7" s="6" customFormat="1" ht="27" customHeight="1">
      <c r="A104" s="467" t="s">
        <v>57</v>
      </c>
      <c r="B104" s="468" t="s">
        <v>58</v>
      </c>
      <c r="C104" s="484">
        <f>SUM(C105:C110)</f>
        <v>195807.80899999998</v>
      </c>
      <c r="D104" s="484">
        <f>SUM(D105:D110)</f>
        <v>20630.297129999999</v>
      </c>
      <c r="E104" s="469">
        <f t="shared" si="2"/>
        <v>10.535993041012986</v>
      </c>
      <c r="F104" s="469">
        <f t="shared" si="3"/>
        <v>-175177.51186999999</v>
      </c>
    </row>
    <row r="105" spans="1:7" ht="27" customHeight="1">
      <c r="A105" s="470" t="s">
        <v>417</v>
      </c>
      <c r="B105" s="471" t="s">
        <v>418</v>
      </c>
      <c r="C105" s="485">
        <v>200</v>
      </c>
      <c r="D105" s="485">
        <v>89.4</v>
      </c>
      <c r="E105" s="474">
        <f t="shared" si="2"/>
        <v>44.7</v>
      </c>
      <c r="F105" s="474">
        <f t="shared" si="3"/>
        <v>-110.6</v>
      </c>
    </row>
    <row r="106" spans="1:7" ht="21" customHeight="1">
      <c r="A106" s="470" t="s">
        <v>59</v>
      </c>
      <c r="B106" s="473" t="s">
        <v>60</v>
      </c>
      <c r="C106" s="485">
        <v>0</v>
      </c>
      <c r="D106" s="472">
        <v>0</v>
      </c>
      <c r="E106" s="474" t="e">
        <f t="shared" si="2"/>
        <v>#DIV/0!</v>
      </c>
      <c r="F106" s="474">
        <f t="shared" si="3"/>
        <v>0</v>
      </c>
    </row>
    <row r="107" spans="1:7" s="6" customFormat="1" ht="20.25" customHeight="1">
      <c r="A107" s="470" t="s">
        <v>59</v>
      </c>
      <c r="B107" s="473" t="s">
        <v>323</v>
      </c>
      <c r="C107" s="485">
        <v>61.3</v>
      </c>
      <c r="D107" s="472">
        <v>4.3369999999999997</v>
      </c>
      <c r="E107" s="474">
        <f t="shared" si="2"/>
        <v>7.0750407830342574</v>
      </c>
      <c r="F107" s="474">
        <f t="shared" si="3"/>
        <v>-56.962999999999994</v>
      </c>
      <c r="G107" s="50"/>
    </row>
    <row r="108" spans="1:7" s="6" customFormat="1" ht="20.25" customHeight="1">
      <c r="A108" s="470" t="s">
        <v>61</v>
      </c>
      <c r="B108" s="473" t="s">
        <v>412</v>
      </c>
      <c r="C108" s="485">
        <v>300</v>
      </c>
      <c r="D108" s="472"/>
      <c r="E108" s="474"/>
      <c r="F108" s="474"/>
      <c r="G108" s="50"/>
    </row>
    <row r="109" spans="1:7" ht="26.25" customHeight="1">
      <c r="A109" s="470" t="s">
        <v>63</v>
      </c>
      <c r="B109" s="473" t="s">
        <v>64</v>
      </c>
      <c r="C109" s="485">
        <v>194402.109</v>
      </c>
      <c r="D109" s="472">
        <v>20158.79292</v>
      </c>
      <c r="E109" s="474">
        <f t="shared" si="2"/>
        <v>10.369636946685594</v>
      </c>
      <c r="F109" s="474">
        <f t="shared" si="3"/>
        <v>-174243.31607999999</v>
      </c>
    </row>
    <row r="110" spans="1:7" ht="40.5">
      <c r="A110" s="470" t="s">
        <v>65</v>
      </c>
      <c r="B110" s="473" t="s">
        <v>66</v>
      </c>
      <c r="C110" s="485">
        <v>844.4</v>
      </c>
      <c r="D110" s="472">
        <v>377.76720999999998</v>
      </c>
      <c r="E110" s="474">
        <f t="shared" si="2"/>
        <v>44.737945286594027</v>
      </c>
      <c r="F110" s="474">
        <f t="shared" si="3"/>
        <v>-466.63279</v>
      </c>
    </row>
    <row r="111" spans="1:7" s="6" customFormat="1" ht="40.5">
      <c r="A111" s="467" t="s">
        <v>67</v>
      </c>
      <c r="B111" s="468" t="s">
        <v>68</v>
      </c>
      <c r="C111" s="458">
        <f>SUM(C112:C114)</f>
        <v>16338.85828</v>
      </c>
      <c r="D111" s="458">
        <f>SUM(D112:D114)</f>
        <v>479.02343999999999</v>
      </c>
      <c r="E111" s="469">
        <f t="shared" si="2"/>
        <v>2.9318048531356742</v>
      </c>
      <c r="F111" s="469">
        <f t="shared" si="3"/>
        <v>-15859.83484</v>
      </c>
    </row>
    <row r="112" spans="1:7" ht="20.25">
      <c r="A112" s="470" t="s">
        <v>69</v>
      </c>
      <c r="B112" s="486" t="s">
        <v>70</v>
      </c>
      <c r="C112" s="472">
        <v>1010.6</v>
      </c>
      <c r="D112" s="472">
        <v>308.75326999999999</v>
      </c>
      <c r="E112" s="474">
        <f t="shared" si="2"/>
        <v>30.55148129823867</v>
      </c>
      <c r="F112" s="474">
        <f t="shared" si="3"/>
        <v>-701.84672999999998</v>
      </c>
    </row>
    <row r="113" spans="1:7" ht="23.25" customHeight="1">
      <c r="A113" s="470" t="s">
        <v>71</v>
      </c>
      <c r="B113" s="486" t="s">
        <v>72</v>
      </c>
      <c r="C113" s="472">
        <v>6537.9</v>
      </c>
      <c r="D113" s="472">
        <v>170.27017000000001</v>
      </c>
      <c r="E113" s="474">
        <f t="shared" si="2"/>
        <v>2.6043556799583967</v>
      </c>
      <c r="F113" s="474">
        <f t="shared" si="3"/>
        <v>-6367.6298299999999</v>
      </c>
    </row>
    <row r="114" spans="1:7" ht="19.5" customHeight="1">
      <c r="A114" s="470" t="s">
        <v>73</v>
      </c>
      <c r="B114" s="473" t="s">
        <v>74</v>
      </c>
      <c r="C114" s="472">
        <v>8790.3582800000004</v>
      </c>
      <c r="D114" s="472">
        <v>0</v>
      </c>
      <c r="E114" s="474">
        <f t="shared" si="2"/>
        <v>0</v>
      </c>
      <c r="F114" s="474">
        <f t="shared" si="3"/>
        <v>-8790.3582800000004</v>
      </c>
    </row>
    <row r="115" spans="1:7" s="6" customFormat="1" ht="20.25">
      <c r="A115" s="467" t="s">
        <v>75</v>
      </c>
      <c r="B115" s="487" t="s">
        <v>76</v>
      </c>
      <c r="C115" s="484">
        <f>SUM(C116)</f>
        <v>232</v>
      </c>
      <c r="D115" s="484">
        <f>SUM(D116)</f>
        <v>32</v>
      </c>
      <c r="E115" s="469">
        <f t="shared" si="2"/>
        <v>13.793103448275861</v>
      </c>
      <c r="F115" s="469">
        <f t="shared" si="3"/>
        <v>-200</v>
      </c>
    </row>
    <row r="116" spans="1:7" ht="40.5">
      <c r="A116" s="470" t="s">
        <v>77</v>
      </c>
      <c r="B116" s="486" t="s">
        <v>78</v>
      </c>
      <c r="C116" s="474">
        <v>232</v>
      </c>
      <c r="D116" s="475">
        <v>32</v>
      </c>
      <c r="E116" s="474">
        <f t="shared" si="2"/>
        <v>13.793103448275861</v>
      </c>
      <c r="F116" s="474">
        <f t="shared" si="3"/>
        <v>-200</v>
      </c>
    </row>
    <row r="117" spans="1:7" s="6" customFormat="1" ht="20.25">
      <c r="A117" s="467" t="s">
        <v>79</v>
      </c>
      <c r="B117" s="487" t="s">
        <v>80</v>
      </c>
      <c r="C117" s="484">
        <f>SUM(C118:C122)</f>
        <v>400723.27746999997</v>
      </c>
      <c r="D117" s="484">
        <f>D118+D119+D121+D122+D120</f>
        <v>226957.27187999999</v>
      </c>
      <c r="E117" s="469">
        <f t="shared" si="2"/>
        <v>56.636907472137324</v>
      </c>
      <c r="F117" s="469">
        <f t="shared" si="3"/>
        <v>-173766.00558999999</v>
      </c>
    </row>
    <row r="118" spans="1:7" ht="20.25">
      <c r="A118" s="470" t="s">
        <v>81</v>
      </c>
      <c r="B118" s="486" t="s">
        <v>257</v>
      </c>
      <c r="C118" s="485">
        <v>99515.345920000007</v>
      </c>
      <c r="D118" s="472">
        <v>53098.252269999997</v>
      </c>
      <c r="E118" s="474">
        <f t="shared" si="2"/>
        <v>53.356848412792004</v>
      </c>
      <c r="F118" s="474">
        <f t="shared" si="3"/>
        <v>-46417.09365000001</v>
      </c>
    </row>
    <row r="119" spans="1:7" ht="20.25">
      <c r="A119" s="470" t="s">
        <v>82</v>
      </c>
      <c r="B119" s="486" t="s">
        <v>258</v>
      </c>
      <c r="C119" s="485">
        <v>271560.43154999998</v>
      </c>
      <c r="D119" s="472">
        <v>159245.00258999999</v>
      </c>
      <c r="E119" s="474">
        <f t="shared" si="2"/>
        <v>58.640723790674798</v>
      </c>
      <c r="F119" s="474">
        <f t="shared" si="3"/>
        <v>-112315.42895999999</v>
      </c>
    </row>
    <row r="120" spans="1:7" ht="20.25">
      <c r="A120" s="470" t="s">
        <v>334</v>
      </c>
      <c r="B120" s="486" t="s">
        <v>335</v>
      </c>
      <c r="C120" s="485">
        <v>21735.9</v>
      </c>
      <c r="D120" s="472">
        <v>9842.4380000000001</v>
      </c>
      <c r="E120" s="474">
        <f t="shared" si="2"/>
        <v>45.281943696833352</v>
      </c>
      <c r="F120" s="474">
        <f t="shared" si="3"/>
        <v>-11893.462000000001</v>
      </c>
    </row>
    <row r="121" spans="1:7" ht="20.25">
      <c r="A121" s="470" t="s">
        <v>83</v>
      </c>
      <c r="B121" s="486" t="s">
        <v>259</v>
      </c>
      <c r="C121" s="485">
        <v>5403.3</v>
      </c>
      <c r="D121" s="472">
        <v>3735.4520000000002</v>
      </c>
      <c r="E121" s="474">
        <f t="shared" si="2"/>
        <v>69.132789221401737</v>
      </c>
      <c r="F121" s="474">
        <f t="shared" si="3"/>
        <v>-1667.848</v>
      </c>
    </row>
    <row r="122" spans="1:7" ht="20.25">
      <c r="A122" s="470" t="s">
        <v>84</v>
      </c>
      <c r="B122" s="486" t="s">
        <v>260</v>
      </c>
      <c r="C122" s="485">
        <v>2508.3000000000002</v>
      </c>
      <c r="D122" s="472">
        <v>1036.1270199999999</v>
      </c>
      <c r="E122" s="474">
        <f t="shared" si="2"/>
        <v>41.307938444364702</v>
      </c>
      <c r="F122" s="474">
        <f t="shared" si="3"/>
        <v>-1472.1729800000003</v>
      </c>
    </row>
    <row r="123" spans="1:7" s="6" customFormat="1" ht="20.25">
      <c r="A123" s="467" t="s">
        <v>85</v>
      </c>
      <c r="B123" s="468" t="s">
        <v>86</v>
      </c>
      <c r="C123" s="458">
        <f>SUM(C124:C125)</f>
        <v>53864.284160000003</v>
      </c>
      <c r="D123" s="458">
        <f>SUM(D124:D125)</f>
        <v>21052.839229999998</v>
      </c>
      <c r="E123" s="469">
        <f t="shared" si="2"/>
        <v>39.084969861409547</v>
      </c>
      <c r="F123" s="469">
        <f t="shared" si="3"/>
        <v>-32811.444930000005</v>
      </c>
    </row>
    <row r="124" spans="1:7" ht="20.25">
      <c r="A124" s="470" t="s">
        <v>87</v>
      </c>
      <c r="B124" s="473" t="s">
        <v>233</v>
      </c>
      <c r="C124" s="472">
        <v>52764.284160000003</v>
      </c>
      <c r="D124" s="472">
        <v>20098.549729999999</v>
      </c>
      <c r="E124" s="474">
        <f t="shared" si="2"/>
        <v>38.091201368437169</v>
      </c>
      <c r="F124" s="474">
        <f t="shared" si="3"/>
        <v>-32665.734430000004</v>
      </c>
    </row>
    <row r="125" spans="1:7" ht="40.5">
      <c r="A125" s="470" t="s">
        <v>272</v>
      </c>
      <c r="B125" s="473" t="s">
        <v>273</v>
      </c>
      <c r="C125" s="472">
        <v>1100</v>
      </c>
      <c r="D125" s="472">
        <v>954.28949999999998</v>
      </c>
      <c r="E125" s="474">
        <f t="shared" si="2"/>
        <v>86.753590909090903</v>
      </c>
      <c r="F125" s="474">
        <f t="shared" si="3"/>
        <v>-145.71050000000002</v>
      </c>
    </row>
    <row r="126" spans="1:7" s="6" customFormat="1" ht="20.25">
      <c r="A126" s="488">
        <v>1000</v>
      </c>
      <c r="B126" s="468" t="s">
        <v>88</v>
      </c>
      <c r="C126" s="458">
        <f>SUM(C127:C130)</f>
        <v>44301.707369999996</v>
      </c>
      <c r="D126" s="489">
        <f>D127+D128+D129+D130</f>
        <v>33038.449710000001</v>
      </c>
      <c r="E126" s="469">
        <f t="shared" si="2"/>
        <v>74.576019009986979</v>
      </c>
      <c r="F126" s="469">
        <f t="shared" si="3"/>
        <v>-11263.257659999996</v>
      </c>
      <c r="G126" s="94"/>
    </row>
    <row r="127" spans="1:7" ht="20.25">
      <c r="A127" s="490">
        <v>1001</v>
      </c>
      <c r="B127" s="491" t="s">
        <v>89</v>
      </c>
      <c r="C127" s="472">
        <v>60</v>
      </c>
      <c r="D127" s="472">
        <v>24.482849999999999</v>
      </c>
      <c r="E127" s="474">
        <f t="shared" si="2"/>
        <v>40.804749999999999</v>
      </c>
      <c r="F127" s="474">
        <f t="shared" si="3"/>
        <v>-35.517150000000001</v>
      </c>
    </row>
    <row r="128" spans="1:7" ht="20.25">
      <c r="A128" s="490">
        <v>1003</v>
      </c>
      <c r="B128" s="491" t="s">
        <v>90</v>
      </c>
      <c r="C128" s="472">
        <v>17271.45853</v>
      </c>
      <c r="D128" s="472">
        <v>10870.07092</v>
      </c>
      <c r="E128" s="474">
        <f t="shared" si="2"/>
        <v>62.93661245296115</v>
      </c>
      <c r="F128" s="474">
        <f t="shared" si="3"/>
        <v>-6401.3876099999998</v>
      </c>
    </row>
    <row r="129" spans="1:6" ht="20.25">
      <c r="A129" s="490">
        <v>1004</v>
      </c>
      <c r="B129" s="491" t="s">
        <v>91</v>
      </c>
      <c r="C129" s="472">
        <v>26759.848839999999</v>
      </c>
      <c r="D129" s="492">
        <v>22043.592629999999</v>
      </c>
      <c r="E129" s="474">
        <f t="shared" si="2"/>
        <v>82.375624622549253</v>
      </c>
      <c r="F129" s="474">
        <f t="shared" si="3"/>
        <v>-4716.2562099999996</v>
      </c>
    </row>
    <row r="130" spans="1:6" ht="33.75" customHeight="1">
      <c r="A130" s="470" t="s">
        <v>92</v>
      </c>
      <c r="B130" s="473" t="s">
        <v>93</v>
      </c>
      <c r="C130" s="472">
        <v>210.4</v>
      </c>
      <c r="D130" s="472">
        <v>100.30331</v>
      </c>
      <c r="E130" s="474">
        <f t="shared" si="2"/>
        <v>47.672675855513305</v>
      </c>
      <c r="F130" s="474">
        <f t="shared" si="3"/>
        <v>-110.09669000000001</v>
      </c>
    </row>
    <row r="131" spans="1:6" ht="20.25">
      <c r="A131" s="467" t="s">
        <v>94</v>
      </c>
      <c r="B131" s="468" t="s">
        <v>95</v>
      </c>
      <c r="C131" s="458">
        <f>C132+C133</f>
        <v>14127.5</v>
      </c>
      <c r="D131" s="458">
        <f>D132+D133</f>
        <v>3563.2074499999999</v>
      </c>
      <c r="E131" s="474">
        <f t="shared" si="2"/>
        <v>25.221783401167936</v>
      </c>
      <c r="F131" s="458">
        <f>F132+F133+F134+F135+F136</f>
        <v>-10564.292550000002</v>
      </c>
    </row>
    <row r="132" spans="1:6" ht="20.25">
      <c r="A132" s="470" t="s">
        <v>96</v>
      </c>
      <c r="B132" s="473" t="s">
        <v>97</v>
      </c>
      <c r="C132" s="472">
        <v>450</v>
      </c>
      <c r="D132" s="472">
        <v>301.90944999999999</v>
      </c>
      <c r="E132" s="474">
        <f t="shared" si="2"/>
        <v>67.090988888888887</v>
      </c>
      <c r="F132" s="474">
        <f t="shared" ref="F132:F140" si="4">SUM(D132-C132)</f>
        <v>-148.09055000000001</v>
      </c>
    </row>
    <row r="133" spans="1:6" ht="20.25" customHeight="1">
      <c r="A133" s="470" t="s">
        <v>98</v>
      </c>
      <c r="B133" s="473" t="s">
        <v>99</v>
      </c>
      <c r="C133" s="472">
        <v>13677.5</v>
      </c>
      <c r="D133" s="472">
        <v>3261.2979999999998</v>
      </c>
      <c r="E133" s="474">
        <f t="shared" si="2"/>
        <v>23.844255163589835</v>
      </c>
      <c r="F133" s="474">
        <f t="shared" si="4"/>
        <v>-10416.202000000001</v>
      </c>
    </row>
    <row r="134" spans="1:6" ht="15.75" hidden="1" customHeight="1">
      <c r="A134" s="470" t="s">
        <v>100</v>
      </c>
      <c r="B134" s="473" t="s">
        <v>101</v>
      </c>
      <c r="C134" s="472">
        <f>SUM(C124:C125)</f>
        <v>53864.284160000003</v>
      </c>
      <c r="D134" s="472"/>
      <c r="E134" s="474">
        <f t="shared" si="2"/>
        <v>0</v>
      </c>
      <c r="F134" s="474"/>
    </row>
    <row r="135" spans="1:6" ht="15.75" hidden="1" customHeight="1">
      <c r="A135" s="470" t="s">
        <v>102</v>
      </c>
      <c r="B135" s="473" t="s">
        <v>103</v>
      </c>
      <c r="C135" s="472"/>
      <c r="D135" s="472"/>
      <c r="E135" s="474" t="e">
        <f t="shared" si="2"/>
        <v>#DIV/0!</v>
      </c>
      <c r="F135" s="474"/>
    </row>
    <row r="136" spans="1:6" ht="15.75" hidden="1" customHeight="1">
      <c r="A136" s="470" t="s">
        <v>104</v>
      </c>
      <c r="B136" s="473" t="s">
        <v>105</v>
      </c>
      <c r="C136" s="472"/>
      <c r="D136" s="472"/>
      <c r="E136" s="474" t="e">
        <f t="shared" si="2"/>
        <v>#DIV/0!</v>
      </c>
      <c r="F136" s="474"/>
    </row>
    <row r="137" spans="1:6" ht="20.25" customHeight="1">
      <c r="A137" s="467" t="s">
        <v>106</v>
      </c>
      <c r="B137" s="468" t="s">
        <v>107</v>
      </c>
      <c r="C137" s="458">
        <f>C138</f>
        <v>45.14</v>
      </c>
      <c r="D137" s="493">
        <f>D138</f>
        <v>0</v>
      </c>
      <c r="E137" s="474">
        <f>SUM(D137/C137*100)</f>
        <v>0</v>
      </c>
      <c r="F137" s="474">
        <f t="shared" si="4"/>
        <v>-45.14</v>
      </c>
    </row>
    <row r="138" spans="1:6" ht="22.5" customHeight="1">
      <c r="A138" s="470" t="s">
        <v>108</v>
      </c>
      <c r="B138" s="473" t="s">
        <v>109</v>
      </c>
      <c r="C138" s="472">
        <v>45.14</v>
      </c>
      <c r="D138" s="472">
        <v>0</v>
      </c>
      <c r="E138" s="474">
        <f t="shared" si="2"/>
        <v>0</v>
      </c>
      <c r="F138" s="474">
        <f t="shared" si="4"/>
        <v>-45.14</v>
      </c>
    </row>
    <row r="139" spans="1:6" ht="19.5" hidden="1" customHeight="1">
      <c r="A139" s="467" t="s">
        <v>110</v>
      </c>
      <c r="B139" s="477" t="s">
        <v>111</v>
      </c>
      <c r="C139" s="494">
        <f>C140</f>
        <v>0</v>
      </c>
      <c r="D139" s="494">
        <v>0</v>
      </c>
      <c r="E139" s="474"/>
      <c r="F139" s="469">
        <f t="shared" si="4"/>
        <v>0</v>
      </c>
    </row>
    <row r="140" spans="1:6" ht="37.5" hidden="1" customHeight="1">
      <c r="A140" s="470" t="s">
        <v>112</v>
      </c>
      <c r="B140" s="479" t="s">
        <v>113</v>
      </c>
      <c r="C140" s="475">
        <v>0</v>
      </c>
      <c r="D140" s="475">
        <v>0</v>
      </c>
      <c r="E140" s="469"/>
      <c r="F140" s="474">
        <f t="shared" si="4"/>
        <v>0</v>
      </c>
    </row>
    <row r="141" spans="1:6" s="6" customFormat="1" ht="19.5" customHeight="1">
      <c r="A141" s="488">
        <v>1400</v>
      </c>
      <c r="B141" s="495" t="s">
        <v>114</v>
      </c>
      <c r="C141" s="484">
        <f>C142+C143+C144</f>
        <v>47363.269569999997</v>
      </c>
      <c r="D141" s="484">
        <f>D142+D143+D144</f>
        <v>19941.30675</v>
      </c>
      <c r="E141" s="469">
        <f t="shared" si="2"/>
        <v>42.102893087919057</v>
      </c>
      <c r="F141" s="469">
        <f t="shared" si="3"/>
        <v>-27421.962819999997</v>
      </c>
    </row>
    <row r="142" spans="1:6" ht="40.5" customHeight="1">
      <c r="A142" s="490">
        <v>1401</v>
      </c>
      <c r="B142" s="491" t="s">
        <v>115</v>
      </c>
      <c r="C142" s="485">
        <v>28294</v>
      </c>
      <c r="D142" s="472">
        <v>14697.25</v>
      </c>
      <c r="E142" s="474">
        <f t="shared" si="2"/>
        <v>51.944758606064887</v>
      </c>
      <c r="F142" s="474">
        <f t="shared" si="3"/>
        <v>-13596.75</v>
      </c>
    </row>
    <row r="143" spans="1:6" ht="24.75" customHeight="1">
      <c r="A143" s="490">
        <v>1402</v>
      </c>
      <c r="B143" s="491" t="s">
        <v>116</v>
      </c>
      <c r="C143" s="485">
        <v>7146.808</v>
      </c>
      <c r="D143" s="472">
        <v>3517.54556</v>
      </c>
      <c r="E143" s="474">
        <f t="shared" si="2"/>
        <v>49.218414150764929</v>
      </c>
      <c r="F143" s="474">
        <f t="shared" si="3"/>
        <v>-3629.26244</v>
      </c>
    </row>
    <row r="144" spans="1:6" ht="27" customHeight="1">
      <c r="A144" s="490">
        <v>1403</v>
      </c>
      <c r="B144" s="491" t="s">
        <v>117</v>
      </c>
      <c r="C144" s="485">
        <v>11922.461569999999</v>
      </c>
      <c r="D144" s="472">
        <v>1726.5111899999999</v>
      </c>
      <c r="E144" s="474">
        <f t="shared" si="2"/>
        <v>14.481163808859316</v>
      </c>
      <c r="F144" s="474">
        <f t="shared" si="3"/>
        <v>-10195.95038</v>
      </c>
    </row>
    <row r="145" spans="1:8" s="6" customFormat="1" ht="20.25">
      <c r="A145" s="488"/>
      <c r="B145" s="496" t="s">
        <v>118</v>
      </c>
      <c r="C145" s="455">
        <f>C88+C96+C98+C104+C111+C115+C117+C123+C126+C131+C137+C139+C141</f>
        <v>835067.72597999999</v>
      </c>
      <c r="D145" s="455">
        <f>D88+D96+D98+D104+D111+D115+D117+D123+D126+D131+D137+D139+D141</f>
        <v>354054.33356999996</v>
      </c>
      <c r="E145" s="469">
        <f t="shared" si="2"/>
        <v>42.398277715079558</v>
      </c>
      <c r="F145" s="469">
        <f t="shared" si="3"/>
        <v>-481013.39241000003</v>
      </c>
      <c r="G145" s="94"/>
      <c r="H145" s="94"/>
    </row>
    <row r="146" spans="1:8" ht="20.25">
      <c r="A146" s="497"/>
      <c r="B146" s="498"/>
      <c r="C146" s="499"/>
      <c r="D146" s="500"/>
      <c r="E146" s="501"/>
      <c r="F146" s="501"/>
    </row>
    <row r="147" spans="1:8" s="65" customFormat="1" ht="20.25">
      <c r="A147" s="502" t="s">
        <v>119</v>
      </c>
      <c r="B147" s="502"/>
      <c r="C147" s="503"/>
      <c r="D147" s="503"/>
      <c r="E147" s="504"/>
      <c r="F147" s="504"/>
    </row>
    <row r="148" spans="1:8" s="65" customFormat="1" ht="20.25">
      <c r="A148" s="505" t="s">
        <v>120</v>
      </c>
      <c r="B148" s="505"/>
      <c r="C148" s="503" t="s">
        <v>121</v>
      </c>
      <c r="D148" s="503"/>
      <c r="E148" s="504"/>
      <c r="F148" s="504"/>
    </row>
  </sheetData>
  <customSheetViews>
    <customSheetView guid="{B30CE22D-C12F-4E12-8BB9-3AAE0A6991CC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B31C8DB7-3E78-4144-A6B5-8DE36DE63F0E}" scale="67" showPageBreaks="1" hiddenRows="1" view="pageBreakPreview" topLeftCell="A110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5BFCA170-DEAE-4D2C-98A0-1E68B427AC01}" scale="67" showPageBreaks="1" hiddenRows="1" view="pageBreakPreview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  <customSheetView guid="{61528DAC-5C4C-48F4-ADE2-8A724B05A086}" scale="60" showPageBreaks="1" hiddenRows="1" view="pageBreakPreview" topLeftCell="A55">
      <selection activeCell="D78" sqref="D78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0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2" zoomScale="70" zoomScaleSheetLayoutView="70" workbookViewId="0">
      <selection activeCell="F23" sqref="F2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54" t="s">
        <v>422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537.81500000000005</v>
      </c>
      <c r="D4" s="5">
        <f>D5+D12+D14+D17+D20+D7</f>
        <v>233.76528999999999</v>
      </c>
      <c r="E4" s="5">
        <f>SUM(D4/C4*100)</f>
        <v>43.465743796658693</v>
      </c>
      <c r="F4" s="5">
        <f>SUM(D4-C4)</f>
        <v>-304.04971000000006</v>
      </c>
    </row>
    <row r="5" spans="1:6" s="6" customFormat="1">
      <c r="A5" s="68">
        <v>1010000000</v>
      </c>
      <c r="B5" s="67" t="s">
        <v>5</v>
      </c>
      <c r="C5" s="5">
        <f>C6</f>
        <v>68.849999999999994</v>
      </c>
      <c r="D5" s="5">
        <f>D6</f>
        <v>36.423090000000002</v>
      </c>
      <c r="E5" s="5">
        <f t="shared" ref="E5:E47" si="0">SUM(D5/C5*100)</f>
        <v>52.902091503267975</v>
      </c>
      <c r="F5" s="5">
        <f t="shared" ref="F5:F47" si="1">SUM(D5-C5)</f>
        <v>-32.426909999999992</v>
      </c>
    </row>
    <row r="6" spans="1:6">
      <c r="A6" s="7">
        <v>1010200001</v>
      </c>
      <c r="B6" s="8" t="s">
        <v>228</v>
      </c>
      <c r="C6" s="9">
        <v>68.849999999999994</v>
      </c>
      <c r="D6" s="10">
        <v>36.423090000000002</v>
      </c>
      <c r="E6" s="9">
        <f t="shared" ref="E6:E11" si="2">SUM(D6/C6*100)</f>
        <v>52.902091503267975</v>
      </c>
      <c r="F6" s="9">
        <f t="shared" si="1"/>
        <v>-32.426909999999992</v>
      </c>
    </row>
    <row r="7" spans="1:6" ht="31.5">
      <c r="A7" s="3">
        <v>1030000000</v>
      </c>
      <c r="B7" s="13" t="s">
        <v>280</v>
      </c>
      <c r="C7" s="5">
        <f>C8+C10+C9</f>
        <v>221.96500000000003</v>
      </c>
      <c r="D7" s="5">
        <f>D8+D10+D9+D11</f>
        <v>127.32551999999998</v>
      </c>
      <c r="E7" s="9">
        <f t="shared" si="2"/>
        <v>57.362881535377184</v>
      </c>
      <c r="F7" s="9">
        <f t="shared" si="1"/>
        <v>-94.639480000000049</v>
      </c>
    </row>
    <row r="8" spans="1:6">
      <c r="A8" s="7">
        <v>1030223001</v>
      </c>
      <c r="B8" s="8" t="s">
        <v>282</v>
      </c>
      <c r="C8" s="9">
        <v>82.8</v>
      </c>
      <c r="D8" s="10">
        <v>57.800440000000002</v>
      </c>
      <c r="E8" s="9">
        <f t="shared" si="2"/>
        <v>69.807294685990342</v>
      </c>
      <c r="F8" s="9">
        <f t="shared" si="1"/>
        <v>-24.999559999999995</v>
      </c>
    </row>
    <row r="9" spans="1:6">
      <c r="A9" s="7">
        <v>1030224001</v>
      </c>
      <c r="B9" s="8" t="s">
        <v>286</v>
      </c>
      <c r="C9" s="9">
        <v>0.86499999999999999</v>
      </c>
      <c r="D9" s="10">
        <v>0.43852999999999998</v>
      </c>
      <c r="E9" s="9">
        <f t="shared" si="2"/>
        <v>50.697109826589596</v>
      </c>
      <c r="F9" s="9">
        <f t="shared" si="1"/>
        <v>-0.42647000000000002</v>
      </c>
    </row>
    <row r="10" spans="1:6">
      <c r="A10" s="7">
        <v>1030225001</v>
      </c>
      <c r="B10" s="8" t="s">
        <v>281</v>
      </c>
      <c r="C10" s="9">
        <v>138.30000000000001</v>
      </c>
      <c r="D10" s="10">
        <v>80.096230000000006</v>
      </c>
      <c r="E10" s="9">
        <f t="shared" si="2"/>
        <v>57.914844540853217</v>
      </c>
      <c r="F10" s="9">
        <f t="shared" si="1"/>
        <v>-58.203770000000006</v>
      </c>
    </row>
    <row r="11" spans="1:6">
      <c r="A11" s="7">
        <v>1030226001</v>
      </c>
      <c r="B11" s="8" t="s">
        <v>287</v>
      </c>
      <c r="C11" s="9">
        <v>0</v>
      </c>
      <c r="D11" s="10">
        <v>-11.009679999999999</v>
      </c>
      <c r="E11" s="9" t="e">
        <f t="shared" si="2"/>
        <v>#DIV/0!</v>
      </c>
      <c r="F11" s="9">
        <f t="shared" si="1"/>
        <v>-11.009679999999999</v>
      </c>
    </row>
    <row r="12" spans="1:6" s="6" customFormat="1">
      <c r="A12" s="68">
        <v>1050000000</v>
      </c>
      <c r="B12" s="67" t="s">
        <v>6</v>
      </c>
      <c r="C12" s="5">
        <f>C13</f>
        <v>2</v>
      </c>
      <c r="D12" s="5">
        <f>D13</f>
        <v>40.129199999999997</v>
      </c>
      <c r="E12" s="5">
        <f t="shared" si="0"/>
        <v>2006.4599999999998</v>
      </c>
      <c r="F12" s="5">
        <f t="shared" si="1"/>
        <v>38.129199999999997</v>
      </c>
    </row>
    <row r="13" spans="1:6" ht="15.75" customHeight="1">
      <c r="A13" s="7">
        <v>1050300000</v>
      </c>
      <c r="B13" s="11" t="s">
        <v>229</v>
      </c>
      <c r="C13" s="12">
        <v>2</v>
      </c>
      <c r="D13" s="10">
        <v>40.129199999999997</v>
      </c>
      <c r="E13" s="9">
        <f t="shared" si="0"/>
        <v>2006.4599999999998</v>
      </c>
      <c r="F13" s="9">
        <f t="shared" si="1"/>
        <v>38.129199999999997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240</v>
      </c>
      <c r="D14" s="5">
        <f>D15+D16</f>
        <v>29.387480000000004</v>
      </c>
      <c r="E14" s="5">
        <f t="shared" si="0"/>
        <v>12.244783333333336</v>
      </c>
      <c r="F14" s="5">
        <f t="shared" si="1"/>
        <v>-210.61251999999999</v>
      </c>
    </row>
    <row r="15" spans="1:6" s="6" customFormat="1" ht="15.75" customHeight="1">
      <c r="A15" s="7">
        <v>1060100000</v>
      </c>
      <c r="B15" s="11" t="s">
        <v>8</v>
      </c>
      <c r="C15" s="9">
        <v>40</v>
      </c>
      <c r="D15" s="10">
        <v>10.46842</v>
      </c>
      <c r="E15" s="9">
        <f t="shared" si="0"/>
        <v>26.171050000000001</v>
      </c>
      <c r="F15" s="9">
        <f>SUM(D15-C15)</f>
        <v>-29.531579999999998</v>
      </c>
    </row>
    <row r="16" spans="1:6" ht="15" customHeight="1">
      <c r="A16" s="7">
        <v>1060600000</v>
      </c>
      <c r="B16" s="11" t="s">
        <v>7</v>
      </c>
      <c r="C16" s="9">
        <v>200</v>
      </c>
      <c r="D16" s="10">
        <v>18.919060000000002</v>
      </c>
      <c r="E16" s="9">
        <f t="shared" si="0"/>
        <v>9.4595300000000009</v>
      </c>
      <c r="F16" s="9">
        <f t="shared" si="1"/>
        <v>-181.08094</v>
      </c>
    </row>
    <row r="17" spans="1:6" s="6" customFormat="1" ht="15" customHeight="1">
      <c r="A17" s="3">
        <v>1080000000</v>
      </c>
      <c r="B17" s="4" t="s">
        <v>10</v>
      </c>
      <c r="C17" s="5">
        <f>C18</f>
        <v>5</v>
      </c>
      <c r="D17" s="5">
        <f>D18</f>
        <v>0.5</v>
      </c>
      <c r="E17" s="9">
        <f t="shared" si="0"/>
        <v>10</v>
      </c>
      <c r="F17" s="5">
        <f t="shared" si="1"/>
        <v>-4.5</v>
      </c>
    </row>
    <row r="18" spans="1:6" ht="18.75" customHeight="1">
      <c r="A18" s="7">
        <v>1080402001</v>
      </c>
      <c r="B18" s="8" t="s">
        <v>227</v>
      </c>
      <c r="C18" s="9">
        <v>5</v>
      </c>
      <c r="D18" s="10">
        <v>0.5</v>
      </c>
      <c r="E18" s="9">
        <f t="shared" si="0"/>
        <v>10</v>
      </c>
      <c r="F18" s="9">
        <f t="shared" si="1"/>
        <v>-4.5</v>
      </c>
    </row>
    <row r="19" spans="1:6" ht="15" hidden="1" customHeight="1">
      <c r="A19" s="7">
        <v>1080714001</v>
      </c>
      <c r="B19" s="8" t="s">
        <v>226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230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55</v>
      </c>
      <c r="D25" s="5">
        <f>D26+D31+D34+D29</f>
        <v>6.3845299999999998</v>
      </c>
      <c r="E25" s="5">
        <f t="shared" si="0"/>
        <v>11.608236363636363</v>
      </c>
      <c r="F25" s="5">
        <f t="shared" si="1"/>
        <v>-48.615470000000002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2.5" customHeight="1">
      <c r="A27" s="16">
        <v>1110502000</v>
      </c>
      <c r="B27" s="17" t="s">
        <v>225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 hidden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130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223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131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134</v>
      </c>
      <c r="C34" s="5">
        <v>0</v>
      </c>
      <c r="D34" s="266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18</v>
      </c>
      <c r="C37" s="127">
        <f>C25+C4</f>
        <v>592.81500000000005</v>
      </c>
      <c r="D37" s="127">
        <f>SUM(D4,D25)</f>
        <v>240.14982000000001</v>
      </c>
      <c r="E37" s="5">
        <f t="shared" si="0"/>
        <v>40.510078186280708</v>
      </c>
      <c r="F37" s="5">
        <f t="shared" si="1"/>
        <v>-352.66518000000008</v>
      </c>
    </row>
    <row r="38" spans="1:11" s="6" customFormat="1">
      <c r="A38" s="3">
        <v>2000000000</v>
      </c>
      <c r="B38" s="4" t="s">
        <v>19</v>
      </c>
      <c r="C38" s="207">
        <f>C39+C40+C41+C42+C43+C44</f>
        <v>3424.1271500000003</v>
      </c>
      <c r="D38" s="207">
        <f>D39+D40+D41+D42+D43+D45</f>
        <v>1526.58656</v>
      </c>
      <c r="E38" s="5">
        <f t="shared" si="0"/>
        <v>44.58323225526248</v>
      </c>
      <c r="F38" s="5">
        <f t="shared" si="1"/>
        <v>-1897.5405900000003</v>
      </c>
      <c r="G38" s="19"/>
    </row>
    <row r="39" spans="1:11">
      <c r="A39" s="16">
        <v>2021000000</v>
      </c>
      <c r="B39" s="17" t="s">
        <v>20</v>
      </c>
      <c r="C39" s="239">
        <v>1200.7</v>
      </c>
      <c r="D39" s="20">
        <v>600.34799999999996</v>
      </c>
      <c r="E39" s="9">
        <f t="shared" si="0"/>
        <v>49.999833430498867</v>
      </c>
      <c r="F39" s="9">
        <f t="shared" si="1"/>
        <v>-600.35200000000009</v>
      </c>
    </row>
    <row r="40" spans="1:11">
      <c r="A40" s="16">
        <v>2021500200</v>
      </c>
      <c r="B40" s="17" t="s">
        <v>231</v>
      </c>
      <c r="C40" s="236">
        <v>452.20800000000003</v>
      </c>
      <c r="D40" s="20">
        <v>112.5</v>
      </c>
      <c r="E40" s="9">
        <f>SUM(D40/C40*100)</f>
        <v>24.877932278951278</v>
      </c>
      <c r="F40" s="9">
        <f>SUM(D40-C40)</f>
        <v>-339.70800000000003</v>
      </c>
    </row>
    <row r="41" spans="1:11">
      <c r="A41" s="16">
        <v>2022000000</v>
      </c>
      <c r="B41" s="17" t="s">
        <v>21</v>
      </c>
      <c r="C41" s="236">
        <v>1188.7561900000001</v>
      </c>
      <c r="D41" s="10">
        <v>708.41255999999998</v>
      </c>
      <c r="E41" s="9">
        <f t="shared" si="0"/>
        <v>59.592754675792683</v>
      </c>
      <c r="F41" s="9">
        <f t="shared" si="1"/>
        <v>-480.34363000000008</v>
      </c>
    </row>
    <row r="42" spans="1:11" ht="19.5" customHeight="1">
      <c r="A42" s="16">
        <v>2023000000</v>
      </c>
      <c r="B42" s="17" t="s">
        <v>22</v>
      </c>
      <c r="C42" s="236">
        <v>91.480999999999995</v>
      </c>
      <c r="D42" s="200">
        <v>44.826000000000001</v>
      </c>
      <c r="E42" s="9">
        <f t="shared" si="0"/>
        <v>49.000338868180279</v>
      </c>
      <c r="F42" s="9">
        <f t="shared" si="1"/>
        <v>-46.654999999999994</v>
      </c>
    </row>
    <row r="43" spans="1:11">
      <c r="A43" s="7">
        <v>2070500010</v>
      </c>
      <c r="B43" s="17" t="s">
        <v>356</v>
      </c>
      <c r="C43" s="236">
        <v>60.477960000000003</v>
      </c>
      <c r="D43" s="201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customHeight="1">
      <c r="A44" s="16">
        <v>2024000000</v>
      </c>
      <c r="B44" s="18" t="s">
        <v>23</v>
      </c>
      <c r="C44" s="236">
        <v>430.50400000000002</v>
      </c>
      <c r="D44" s="201">
        <v>0</v>
      </c>
      <c r="E44" s="9">
        <f t="shared" si="0"/>
        <v>0</v>
      </c>
      <c r="F44" s="9">
        <f t="shared" si="1"/>
        <v>-430.50400000000002</v>
      </c>
    </row>
    <row r="45" spans="1:11" ht="17.25" customHeight="1">
      <c r="A45" s="7">
        <v>2190000010</v>
      </c>
      <c r="B45" s="11" t="s">
        <v>25</v>
      </c>
      <c r="C45" s="245">
        <v>0</v>
      </c>
      <c r="D45" s="233">
        <v>0</v>
      </c>
      <c r="E45" s="5" t="e">
        <f t="shared" si="0"/>
        <v>#DIV/0!</v>
      </c>
      <c r="F45" s="5">
        <f>SUM(D45-C45)</f>
        <v>0</v>
      </c>
    </row>
    <row r="46" spans="1:11" s="332" customFormat="1" ht="19.5" customHeight="1">
      <c r="A46" s="3">
        <v>3000000000</v>
      </c>
      <c r="B46" s="13" t="s">
        <v>26</v>
      </c>
      <c r="C46" s="246">
        <v>0</v>
      </c>
      <c r="D46" s="247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27"/>
      <c r="B47" s="328" t="s">
        <v>27</v>
      </c>
      <c r="C47" s="329">
        <f>C37+C38</f>
        <v>4016.9421500000003</v>
      </c>
      <c r="D47" s="330">
        <f>D37+D38</f>
        <v>1766.7363800000001</v>
      </c>
      <c r="E47" s="331">
        <f t="shared" si="0"/>
        <v>43.982121574740624</v>
      </c>
      <c r="F47" s="331">
        <f t="shared" si="1"/>
        <v>-2250.2057700000005</v>
      </c>
      <c r="G47" s="213"/>
      <c r="H47" s="213"/>
      <c r="K47" s="130"/>
    </row>
    <row r="48" spans="1:11" s="6" customFormat="1">
      <c r="A48" s="3"/>
      <c r="B48" s="21" t="s">
        <v>321</v>
      </c>
      <c r="C48" s="274">
        <f>C47-C94</f>
        <v>-213.83623999999918</v>
      </c>
      <c r="D48" s="274">
        <f>D47-D94</f>
        <v>-177.07171999999991</v>
      </c>
      <c r="E48" s="22"/>
      <c r="F48" s="22"/>
    </row>
    <row r="49" spans="1:6">
      <c r="A49" s="23"/>
      <c r="B49" s="24"/>
      <c r="C49" s="199"/>
      <c r="D49" s="199"/>
      <c r="E49" s="26"/>
      <c r="F49" s="92"/>
    </row>
    <row r="50" spans="1:6" ht="50.25" customHeight="1">
      <c r="A50" s="28" t="s">
        <v>0</v>
      </c>
      <c r="B50" s="28" t="s">
        <v>28</v>
      </c>
      <c r="C50" s="192" t="s">
        <v>411</v>
      </c>
      <c r="D50" s="193" t="s">
        <v>424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29</v>
      </c>
      <c r="B52" s="31" t="s">
        <v>30</v>
      </c>
      <c r="C52" s="303">
        <f>C54+C57+C58+C59</f>
        <v>1083.4159999999999</v>
      </c>
      <c r="D52" s="303">
        <f>D54+D57+D58+D59</f>
        <v>476.26513</v>
      </c>
      <c r="E52" s="34">
        <f>SUM(D52/C52*100)</f>
        <v>43.959580622770943</v>
      </c>
      <c r="F52" s="34">
        <f>SUM(D52-C52)</f>
        <v>-607.15086999999994</v>
      </c>
    </row>
    <row r="53" spans="1:6" s="6" customFormat="1" ht="31.5">
      <c r="A53" s="35" t="s">
        <v>31</v>
      </c>
      <c r="B53" s="36" t="s">
        <v>32</v>
      </c>
      <c r="C53" s="282"/>
      <c r="D53" s="287"/>
      <c r="E53" s="38"/>
      <c r="F53" s="38"/>
    </row>
    <row r="54" spans="1:6" ht="16.5" customHeight="1">
      <c r="A54" s="35" t="s">
        <v>33</v>
      </c>
      <c r="B54" s="39" t="s">
        <v>34</v>
      </c>
      <c r="C54" s="302">
        <v>1076.0999999999999</v>
      </c>
      <c r="D54" s="302">
        <v>473.94963000000001</v>
      </c>
      <c r="E54" s="38">
        <f>SUM(D54/C54*100)</f>
        <v>44.043270142180106</v>
      </c>
      <c r="F54" s="38">
        <f t="shared" ref="F54:F94" si="3">SUM(D54-C54)</f>
        <v>-602.15036999999984</v>
      </c>
    </row>
    <row r="55" spans="1:6" ht="0.75" hidden="1" customHeight="1">
      <c r="A55" s="35" t="s">
        <v>35</v>
      </c>
      <c r="B55" s="39" t="s">
        <v>36</v>
      </c>
      <c r="C55" s="302"/>
      <c r="D55" s="302"/>
      <c r="E55" s="38"/>
      <c r="F55" s="38">
        <f t="shared" si="3"/>
        <v>0</v>
      </c>
    </row>
    <row r="56" spans="1:6" ht="15.75" hidden="1" customHeight="1">
      <c r="A56" s="35" t="s">
        <v>37</v>
      </c>
      <c r="B56" s="39" t="s">
        <v>38</v>
      </c>
      <c r="C56" s="302"/>
      <c r="D56" s="302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39</v>
      </c>
      <c r="B57" s="39" t="s">
        <v>40</v>
      </c>
      <c r="C57" s="302">
        <v>0</v>
      </c>
      <c r="D57" s="302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41</v>
      </c>
      <c r="B58" s="39" t="s">
        <v>42</v>
      </c>
      <c r="C58" s="304">
        <v>5</v>
      </c>
      <c r="D58" s="304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43</v>
      </c>
      <c r="B59" s="39" t="s">
        <v>44</v>
      </c>
      <c r="C59" s="302">
        <v>2.3159999999999998</v>
      </c>
      <c r="D59" s="302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45</v>
      </c>
      <c r="B60" s="42" t="s">
        <v>46</v>
      </c>
      <c r="C60" s="303">
        <f>C61</f>
        <v>89.944999999999993</v>
      </c>
      <c r="D60" s="303">
        <f>D61</f>
        <v>39.125</v>
      </c>
      <c r="E60" s="34">
        <f t="shared" si="4"/>
        <v>43.498804825170936</v>
      </c>
      <c r="F60" s="34">
        <f t="shared" si="3"/>
        <v>-50.819999999999993</v>
      </c>
    </row>
    <row r="61" spans="1:6">
      <c r="A61" s="43" t="s">
        <v>47</v>
      </c>
      <c r="B61" s="44" t="s">
        <v>48</v>
      </c>
      <c r="C61" s="302">
        <v>89.944999999999993</v>
      </c>
      <c r="D61" s="302">
        <v>39.125</v>
      </c>
      <c r="E61" s="38">
        <f t="shared" si="4"/>
        <v>43.498804825170936</v>
      </c>
      <c r="F61" s="38">
        <f t="shared" si="3"/>
        <v>-50.819999999999993</v>
      </c>
    </row>
    <row r="62" spans="1:6" s="6" customFormat="1" ht="16.5" customHeight="1">
      <c r="A62" s="30" t="s">
        <v>49</v>
      </c>
      <c r="B62" s="31" t="s">
        <v>50</v>
      </c>
      <c r="C62" s="303">
        <f>C65+C66+C67</f>
        <v>14</v>
      </c>
      <c r="D62" s="303">
        <f>D65+D66</f>
        <v>0</v>
      </c>
      <c r="E62" s="34">
        <f t="shared" si="4"/>
        <v>0</v>
      </c>
      <c r="F62" s="34">
        <f t="shared" si="3"/>
        <v>-14</v>
      </c>
    </row>
    <row r="63" spans="1:6" ht="13.5" customHeight="1">
      <c r="A63" s="35" t="s">
        <v>51</v>
      </c>
      <c r="B63" s="39" t="s">
        <v>52</v>
      </c>
      <c r="C63" s="302"/>
      <c r="D63" s="302"/>
      <c r="E63" s="34" t="e">
        <f t="shared" si="4"/>
        <v>#DIV/0!</v>
      </c>
      <c r="F63" s="34">
        <f t="shared" si="3"/>
        <v>0</v>
      </c>
    </row>
    <row r="64" spans="1:6">
      <c r="A64" s="45" t="s">
        <v>53</v>
      </c>
      <c r="B64" s="39" t="s">
        <v>54</v>
      </c>
      <c r="C64" s="302"/>
      <c r="D64" s="302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55</v>
      </c>
      <c r="B65" s="47" t="s">
        <v>56</v>
      </c>
      <c r="C65" s="302">
        <v>2</v>
      </c>
      <c r="D65" s="302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218</v>
      </c>
      <c r="B66" s="47" t="s">
        <v>219</v>
      </c>
      <c r="C66" s="302">
        <v>10</v>
      </c>
      <c r="D66" s="302">
        <v>0</v>
      </c>
      <c r="E66" s="38">
        <f t="shared" si="4"/>
        <v>0</v>
      </c>
      <c r="F66" s="38">
        <f t="shared" si="3"/>
        <v>-10</v>
      </c>
    </row>
    <row r="67" spans="1:7" ht="15.75" customHeight="1">
      <c r="A67" s="46" t="s">
        <v>357</v>
      </c>
      <c r="B67" s="47" t="s">
        <v>413</v>
      </c>
      <c r="C67" s="302">
        <v>2</v>
      </c>
      <c r="D67" s="302"/>
      <c r="E67" s="38"/>
      <c r="F67" s="38"/>
    </row>
    <row r="68" spans="1:7" s="6" customFormat="1">
      <c r="A68" s="30" t="s">
        <v>57</v>
      </c>
      <c r="B68" s="31" t="s">
        <v>58</v>
      </c>
      <c r="C68" s="290">
        <f>C71+C72+C69+C70</f>
        <v>2169.4978899999996</v>
      </c>
      <c r="D68" s="290">
        <f>D71+D72+D69+D70</f>
        <v>1125.36671</v>
      </c>
      <c r="E68" s="34">
        <f t="shared" si="4"/>
        <v>51.872219612990733</v>
      </c>
      <c r="F68" s="34">
        <f t="shared" si="3"/>
        <v>-1044.1311799999996</v>
      </c>
    </row>
    <row r="69" spans="1:7" ht="16.5" customHeight="1">
      <c r="A69" s="35" t="s">
        <v>59</v>
      </c>
      <c r="B69" s="39" t="s">
        <v>60</v>
      </c>
      <c r="C69" s="305">
        <v>4.0214999999999996</v>
      </c>
      <c r="D69" s="302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61</v>
      </c>
      <c r="B70" s="39" t="s">
        <v>62</v>
      </c>
      <c r="C70" s="305">
        <v>5.2629999999999999</v>
      </c>
      <c r="D70" s="302">
        <v>0</v>
      </c>
      <c r="E70" s="38">
        <f t="shared" si="4"/>
        <v>0</v>
      </c>
      <c r="F70" s="38">
        <f t="shared" si="3"/>
        <v>-5.2629999999999999</v>
      </c>
      <c r="G70" s="50"/>
    </row>
    <row r="71" spans="1:7" ht="15.75" customHeight="1">
      <c r="A71" s="35" t="s">
        <v>63</v>
      </c>
      <c r="B71" s="39" t="s">
        <v>64</v>
      </c>
      <c r="C71" s="305">
        <v>2092.5013899999999</v>
      </c>
      <c r="D71" s="302">
        <v>1125.36671</v>
      </c>
      <c r="E71" s="38">
        <f t="shared" si="4"/>
        <v>53.78093010490187</v>
      </c>
      <c r="F71" s="38">
        <f t="shared" si="3"/>
        <v>-967.13467999999989</v>
      </c>
    </row>
    <row r="72" spans="1:7">
      <c r="A72" s="35" t="s">
        <v>65</v>
      </c>
      <c r="B72" s="39" t="s">
        <v>66</v>
      </c>
      <c r="C72" s="305">
        <v>67.712000000000003</v>
      </c>
      <c r="D72" s="302">
        <v>0</v>
      </c>
      <c r="E72" s="38">
        <f t="shared" si="4"/>
        <v>0</v>
      </c>
      <c r="F72" s="38">
        <f t="shared" si="3"/>
        <v>-67.712000000000003</v>
      </c>
    </row>
    <row r="73" spans="1:7" s="6" customFormat="1" ht="18" customHeight="1">
      <c r="A73" s="30" t="s">
        <v>67</v>
      </c>
      <c r="B73" s="31" t="s">
        <v>68</v>
      </c>
      <c r="C73" s="303">
        <f>C76</f>
        <v>583.81949999999995</v>
      </c>
      <c r="D73" s="303">
        <f>D76</f>
        <v>164.49626000000001</v>
      </c>
      <c r="E73" s="34">
        <f t="shared" si="4"/>
        <v>28.175876276828717</v>
      </c>
      <c r="F73" s="34">
        <f t="shared" si="3"/>
        <v>-419.32323999999994</v>
      </c>
    </row>
    <row r="74" spans="1:7" ht="0.75" hidden="1" customHeight="1">
      <c r="A74" s="35" t="s">
        <v>69</v>
      </c>
      <c r="B74" s="51" t="s">
        <v>70</v>
      </c>
      <c r="C74" s="302"/>
      <c r="D74" s="302"/>
      <c r="E74" s="38" t="e">
        <f t="shared" si="4"/>
        <v>#DIV/0!</v>
      </c>
      <c r="F74" s="38">
        <f t="shared" si="3"/>
        <v>0</v>
      </c>
    </row>
    <row r="75" spans="1:7" hidden="1">
      <c r="A75" s="35" t="s">
        <v>71</v>
      </c>
      <c r="B75" s="51" t="s">
        <v>72</v>
      </c>
      <c r="C75" s="302"/>
      <c r="D75" s="302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73</v>
      </c>
      <c r="B76" s="39" t="s">
        <v>74</v>
      </c>
      <c r="C76" s="302">
        <v>583.81949999999995</v>
      </c>
      <c r="D76" s="302">
        <v>164.49626000000001</v>
      </c>
      <c r="E76" s="38">
        <f t="shared" si="4"/>
        <v>28.175876276828717</v>
      </c>
      <c r="F76" s="38">
        <f t="shared" si="3"/>
        <v>-419.32323999999994</v>
      </c>
    </row>
    <row r="77" spans="1:7" s="6" customFormat="1">
      <c r="A77" s="30" t="s">
        <v>85</v>
      </c>
      <c r="B77" s="31" t="s">
        <v>86</v>
      </c>
      <c r="C77" s="303">
        <f>C78</f>
        <v>276.10000000000002</v>
      </c>
      <c r="D77" s="303">
        <f>D78</f>
        <v>138.55500000000001</v>
      </c>
      <c r="E77" s="34">
        <f t="shared" si="4"/>
        <v>50.182904744657733</v>
      </c>
      <c r="F77" s="34">
        <f t="shared" si="3"/>
        <v>-137.54500000000002</v>
      </c>
    </row>
    <row r="78" spans="1:7" ht="14.25" customHeight="1">
      <c r="A78" s="35" t="s">
        <v>87</v>
      </c>
      <c r="B78" s="39" t="s">
        <v>233</v>
      </c>
      <c r="C78" s="302">
        <v>276.10000000000002</v>
      </c>
      <c r="D78" s="302">
        <v>138.55500000000001</v>
      </c>
      <c r="E78" s="38">
        <f t="shared" si="4"/>
        <v>50.182904744657733</v>
      </c>
      <c r="F78" s="38">
        <f t="shared" si="3"/>
        <v>-137.54500000000002</v>
      </c>
    </row>
    <row r="79" spans="1:7" s="6" customFormat="1" ht="0.75" hidden="1" customHeight="1">
      <c r="A79" s="52">
        <v>1000</v>
      </c>
      <c r="B79" s="31" t="s">
        <v>88</v>
      </c>
      <c r="C79" s="303"/>
      <c r="D79" s="303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89</v>
      </c>
      <c r="C80" s="302"/>
      <c r="D80" s="302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90</v>
      </c>
      <c r="C81" s="302"/>
      <c r="D81" s="302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91</v>
      </c>
      <c r="C82" s="302"/>
      <c r="D82" s="306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92</v>
      </c>
      <c r="B83" s="39" t="s">
        <v>93</v>
      </c>
      <c r="C83" s="302"/>
      <c r="D83" s="302"/>
      <c r="E83" s="38"/>
      <c r="F83" s="38">
        <f t="shared" si="3"/>
        <v>0</v>
      </c>
    </row>
    <row r="84" spans="1:7" ht="12" customHeight="1">
      <c r="A84" s="30" t="s">
        <v>94</v>
      </c>
      <c r="B84" s="31" t="s">
        <v>95</v>
      </c>
      <c r="C84" s="303">
        <f>C85</f>
        <v>14</v>
      </c>
      <c r="D84" s="303">
        <v>0</v>
      </c>
      <c r="E84" s="38">
        <f t="shared" si="4"/>
        <v>0</v>
      </c>
      <c r="F84" s="22">
        <f>F85+F86+F87+F88+F89</f>
        <v>-14</v>
      </c>
    </row>
    <row r="85" spans="1:7" ht="11.25" customHeight="1">
      <c r="A85" s="35" t="s">
        <v>96</v>
      </c>
      <c r="B85" s="39" t="s">
        <v>97</v>
      </c>
      <c r="C85" s="302">
        <v>14</v>
      </c>
      <c r="D85" s="302">
        <v>0</v>
      </c>
      <c r="E85" s="38">
        <v>0</v>
      </c>
      <c r="F85" s="38">
        <f>SUM(D85-C85)</f>
        <v>-14</v>
      </c>
    </row>
    <row r="86" spans="1:7" ht="14.25" hidden="1" customHeight="1">
      <c r="A86" s="35" t="s">
        <v>98</v>
      </c>
      <c r="B86" s="39" t="s">
        <v>99</v>
      </c>
      <c r="C86" s="302"/>
      <c r="D86" s="302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100</v>
      </c>
      <c r="B87" s="39" t="s">
        <v>101</v>
      </c>
      <c r="C87" s="302"/>
      <c r="D87" s="302"/>
      <c r="E87" s="38" t="e">
        <f t="shared" si="4"/>
        <v>#DIV/0!</v>
      </c>
      <c r="F87" s="38"/>
    </row>
    <row r="88" spans="1:7" ht="9.75" hidden="1" customHeight="1">
      <c r="A88" s="35" t="s">
        <v>102</v>
      </c>
      <c r="B88" s="39" t="s">
        <v>103</v>
      </c>
      <c r="C88" s="302"/>
      <c r="D88" s="302"/>
      <c r="E88" s="38" t="e">
        <f t="shared" si="4"/>
        <v>#DIV/0!</v>
      </c>
      <c r="F88" s="38"/>
    </row>
    <row r="89" spans="1:7" ht="11.25" hidden="1" customHeight="1">
      <c r="A89" s="35" t="s">
        <v>104</v>
      </c>
      <c r="B89" s="39" t="s">
        <v>105</v>
      </c>
      <c r="C89" s="302"/>
      <c r="D89" s="302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114</v>
      </c>
      <c r="C90" s="290">
        <v>0</v>
      </c>
      <c r="D90" s="290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115</v>
      </c>
      <c r="C91" s="305"/>
      <c r="D91" s="302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116</v>
      </c>
      <c r="C92" s="305"/>
      <c r="D92" s="302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117</v>
      </c>
      <c r="C93" s="305"/>
      <c r="D93" s="302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118</v>
      </c>
      <c r="C94" s="307">
        <f>C52+C60+C62+C68+C73+C77+C84</f>
        <v>4230.7783899999995</v>
      </c>
      <c r="D94" s="307">
        <f>D52+D60+D62+D68+D73+D77+D79+D84+D90</f>
        <v>1943.8081</v>
      </c>
      <c r="E94" s="128">
        <f t="shared" si="4"/>
        <v>45.944455625339437</v>
      </c>
      <c r="F94" s="34">
        <f t="shared" si="3"/>
        <v>-2286.9702899999993</v>
      </c>
      <c r="G94" s="213">
        <f>C94-2813.74646</f>
        <v>1417.0319299999996</v>
      </c>
    </row>
    <row r="95" spans="1:7">
      <c r="C95" s="126"/>
      <c r="D95" s="101"/>
    </row>
    <row r="96" spans="1:7" s="65" customFormat="1" ht="16.5" customHeight="1">
      <c r="A96" s="63" t="s">
        <v>119</v>
      </c>
      <c r="B96" s="63"/>
      <c r="C96" s="198"/>
      <c r="D96" s="198"/>
    </row>
    <row r="97" spans="1:3" s="65" customFormat="1" ht="20.25" customHeight="1">
      <c r="A97" s="66" t="s">
        <v>120</v>
      </c>
      <c r="B97" s="66"/>
      <c r="C97" s="65" t="s">
        <v>121</v>
      </c>
    </row>
    <row r="98" spans="1:3" ht="13.5" customHeight="1"/>
    <row r="100" spans="1:3" ht="5.25" customHeight="1"/>
    <row r="142" hidden="1"/>
  </sheetData>
  <customSheetViews>
    <customSheetView guid="{B30CE22D-C12F-4E12-8BB9-3AAE0A6991CC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8"/>
      <headerFooter alignWithMargins="0"/>
    </customSheetView>
    <customSheetView guid="{61528DAC-5C4C-48F4-ADE2-8A724B05A086}" scale="70" showPageBreaks="1" printArea="1" hiddenRows="1" view="pageBreakPreview" topLeftCell="A29">
      <selection activeCell="C70" sqref="C70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142"/>
  <sheetViews>
    <sheetView view="pageBreakPreview" topLeftCell="A31" zoomScale="70" zoomScaleSheetLayoutView="70" workbookViewId="0">
      <selection activeCell="D43" sqref="D4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425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135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266">
        <f>C5+C12+C14+C17+C7</f>
        <v>3515.44</v>
      </c>
      <c r="D4" s="266">
        <f>D5+D12+D14+D17+D7</f>
        <v>825.4980599999999</v>
      </c>
      <c r="E4" s="5">
        <f>SUM(D4/C4*100)</f>
        <v>23.482069385340097</v>
      </c>
      <c r="F4" s="5">
        <f>SUM(D4-C4)</f>
        <v>-2689.9419400000002</v>
      </c>
    </row>
    <row r="5" spans="1:6" s="6" customFormat="1">
      <c r="A5" s="68">
        <v>1010000000</v>
      </c>
      <c r="B5" s="67" t="s">
        <v>5</v>
      </c>
      <c r="C5" s="266">
        <f>C6</f>
        <v>443.71499999999997</v>
      </c>
      <c r="D5" s="266">
        <f>D6</f>
        <v>179.21145999999999</v>
      </c>
      <c r="E5" s="5">
        <f t="shared" ref="E5:E52" si="0">SUM(D5/C5*100)</f>
        <v>40.388866727516536</v>
      </c>
      <c r="F5" s="5">
        <f t="shared" ref="F5:F52" si="1">SUM(D5-C5)</f>
        <v>-264.50353999999999</v>
      </c>
    </row>
    <row r="6" spans="1:6">
      <c r="A6" s="7">
        <v>1010200001</v>
      </c>
      <c r="B6" s="8" t="s">
        <v>228</v>
      </c>
      <c r="C6" s="315">
        <v>443.71499999999997</v>
      </c>
      <c r="D6" s="313">
        <v>179.21145999999999</v>
      </c>
      <c r="E6" s="9">
        <f t="shared" ref="E6:E11" si="2">SUM(D6/C6*100)</f>
        <v>40.388866727516536</v>
      </c>
      <c r="F6" s="9">
        <f t="shared" si="1"/>
        <v>-264.50353999999999</v>
      </c>
    </row>
    <row r="7" spans="1:6" ht="31.5">
      <c r="A7" s="3">
        <v>1030000000</v>
      </c>
      <c r="B7" s="13" t="s">
        <v>280</v>
      </c>
      <c r="C7" s="266">
        <f>C8+C10+C9</f>
        <v>635.72500000000002</v>
      </c>
      <c r="D7" s="266">
        <f>D8+D10+D9+D11</f>
        <v>364.67016999999993</v>
      </c>
      <c r="E7" s="5">
        <f t="shared" si="2"/>
        <v>57.362880176176787</v>
      </c>
      <c r="F7" s="5">
        <f t="shared" si="1"/>
        <v>-271.05483000000009</v>
      </c>
    </row>
    <row r="8" spans="1:6">
      <c r="A8" s="7">
        <v>1030223001</v>
      </c>
      <c r="B8" s="8" t="s">
        <v>282</v>
      </c>
      <c r="C8" s="315">
        <v>237.12</v>
      </c>
      <c r="D8" s="313">
        <v>165.54492999999999</v>
      </c>
      <c r="E8" s="9">
        <f t="shared" si="2"/>
        <v>69.814832152496621</v>
      </c>
      <c r="F8" s="9">
        <f t="shared" si="1"/>
        <v>-71.575070000000011</v>
      </c>
    </row>
    <row r="9" spans="1:6">
      <c r="A9" s="7">
        <v>1030224001</v>
      </c>
      <c r="B9" s="8" t="s">
        <v>288</v>
      </c>
      <c r="C9" s="315">
        <v>2.5049999999999999</v>
      </c>
      <c r="D9" s="313">
        <v>1.256</v>
      </c>
      <c r="E9" s="9">
        <f t="shared" si="2"/>
        <v>50.139720558882239</v>
      </c>
      <c r="F9" s="9">
        <f t="shared" si="1"/>
        <v>-1.2489999999999999</v>
      </c>
    </row>
    <row r="10" spans="1:6">
      <c r="A10" s="7">
        <v>1030225001</v>
      </c>
      <c r="B10" s="8" t="s">
        <v>281</v>
      </c>
      <c r="C10" s="315">
        <v>396.1</v>
      </c>
      <c r="D10" s="313">
        <v>229.40181999999999</v>
      </c>
      <c r="E10" s="9">
        <f t="shared" si="2"/>
        <v>57.915127493057305</v>
      </c>
      <c r="F10" s="9">
        <f t="shared" si="1"/>
        <v>-166.69818000000004</v>
      </c>
    </row>
    <row r="11" spans="1:6">
      <c r="A11" s="7">
        <v>1030226001</v>
      </c>
      <c r="B11" s="8" t="s">
        <v>290</v>
      </c>
      <c r="C11" s="315">
        <v>0</v>
      </c>
      <c r="D11" s="313">
        <v>-31.532579999999999</v>
      </c>
      <c r="E11" s="9" t="e">
        <f t="shared" si="2"/>
        <v>#DIV/0!</v>
      </c>
      <c r="F11" s="9">
        <f t="shared" si="1"/>
        <v>-31.532579999999999</v>
      </c>
    </row>
    <row r="12" spans="1:6" s="6" customFormat="1">
      <c r="A12" s="68">
        <v>1050000000</v>
      </c>
      <c r="B12" s="67" t="s">
        <v>6</v>
      </c>
      <c r="C12" s="266">
        <f>SUM(C13:C13)</f>
        <v>40</v>
      </c>
      <c r="D12" s="266">
        <f>SUM(D13:D13)</f>
        <v>38.458449999999999</v>
      </c>
      <c r="E12" s="5">
        <f t="shared" si="0"/>
        <v>96.146124999999998</v>
      </c>
      <c r="F12" s="5">
        <f t="shared" si="1"/>
        <v>-1.5415500000000009</v>
      </c>
    </row>
    <row r="13" spans="1:6" ht="15.75" customHeight="1">
      <c r="A13" s="7">
        <v>1050300000</v>
      </c>
      <c r="B13" s="11" t="s">
        <v>229</v>
      </c>
      <c r="C13" s="322">
        <v>40</v>
      </c>
      <c r="D13" s="313">
        <v>38.458449999999999</v>
      </c>
      <c r="E13" s="9">
        <f t="shared" si="0"/>
        <v>96.146124999999998</v>
      </c>
      <c r="F13" s="9">
        <f t="shared" si="1"/>
        <v>-1.5415500000000009</v>
      </c>
    </row>
    <row r="14" spans="1:6" s="6" customFormat="1" ht="15.75" customHeight="1">
      <c r="A14" s="68">
        <v>1060000000</v>
      </c>
      <c r="B14" s="67" t="s">
        <v>135</v>
      </c>
      <c r="C14" s="266">
        <f>C15+C16</f>
        <v>2383</v>
      </c>
      <c r="D14" s="266">
        <f>D15+D16</f>
        <v>237.18797999999998</v>
      </c>
      <c r="E14" s="5">
        <f t="shared" si="0"/>
        <v>9.9533352916491804</v>
      </c>
      <c r="F14" s="5">
        <f t="shared" si="1"/>
        <v>-2145.8120199999998</v>
      </c>
    </row>
    <row r="15" spans="1:6" s="6" customFormat="1" ht="15.75" customHeight="1">
      <c r="A15" s="7">
        <v>1060100000</v>
      </c>
      <c r="B15" s="11" t="s">
        <v>8</v>
      </c>
      <c r="C15" s="315">
        <v>1098</v>
      </c>
      <c r="D15" s="313">
        <v>41.500869999999999</v>
      </c>
      <c r="E15" s="5">
        <f t="shared" si="0"/>
        <v>3.7796785063752272</v>
      </c>
      <c r="F15" s="9">
        <f>SUM(D15-C15)</f>
        <v>-1056.4991299999999</v>
      </c>
    </row>
    <row r="16" spans="1:6" ht="15" customHeight="1">
      <c r="A16" s="7">
        <v>1060600000</v>
      </c>
      <c r="B16" s="11" t="s">
        <v>7</v>
      </c>
      <c r="C16" s="315">
        <v>1285</v>
      </c>
      <c r="D16" s="313">
        <v>195.68710999999999</v>
      </c>
      <c r="E16" s="5">
        <f t="shared" si="0"/>
        <v>15.22856887159533</v>
      </c>
      <c r="F16" s="9">
        <f t="shared" si="1"/>
        <v>-1089.3128899999999</v>
      </c>
    </row>
    <row r="17" spans="1:6" s="6" customFormat="1" ht="18" customHeight="1">
      <c r="A17" s="3">
        <v>1080000000</v>
      </c>
      <c r="B17" s="4" t="s">
        <v>10</v>
      </c>
      <c r="C17" s="266">
        <f>C18</f>
        <v>13</v>
      </c>
      <c r="D17" s="266">
        <f>D18</f>
        <v>5.97</v>
      </c>
      <c r="E17" s="5">
        <f t="shared" si="0"/>
        <v>45.92307692307692</v>
      </c>
      <c r="F17" s="5">
        <f t="shared" si="1"/>
        <v>-7.03</v>
      </c>
    </row>
    <row r="18" spans="1:6" ht="18" customHeight="1">
      <c r="A18" s="7">
        <v>1080400001</v>
      </c>
      <c r="B18" s="8" t="s">
        <v>227</v>
      </c>
      <c r="C18" s="315">
        <v>13</v>
      </c>
      <c r="D18" s="313">
        <v>5.97</v>
      </c>
      <c r="E18" s="9">
        <f t="shared" si="0"/>
        <v>45.92307692307692</v>
      </c>
      <c r="F18" s="9">
        <f t="shared" si="1"/>
        <v>-7.03</v>
      </c>
    </row>
    <row r="19" spans="1:6" ht="0.75" hidden="1" customHeight="1">
      <c r="A19" s="7">
        <v>1080714001</v>
      </c>
      <c r="B19" s="8" t="s">
        <v>11</v>
      </c>
      <c r="C19" s="315"/>
      <c r="D19" s="31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266">
        <f>C21+C22+C23+C24</f>
        <v>0</v>
      </c>
      <c r="D20" s="266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124</v>
      </c>
      <c r="C21" s="266"/>
      <c r="D21" s="3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266"/>
      <c r="D22" s="3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266"/>
      <c r="D23" s="3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127</v>
      </c>
      <c r="C24" s="266"/>
      <c r="D24" s="3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266">
        <f>C26+C30+C32+C37+C35</f>
        <v>420</v>
      </c>
      <c r="D25" s="266">
        <f>D26+D30+D32+D35+D37</f>
        <v>186.08769000000001</v>
      </c>
      <c r="E25" s="5">
        <f t="shared" si="0"/>
        <v>44.30659285714286</v>
      </c>
      <c r="F25" s="5">
        <f t="shared" si="1"/>
        <v>-233.91230999999999</v>
      </c>
    </row>
    <row r="26" spans="1:6" s="6" customFormat="1" ht="30.75" customHeight="1">
      <c r="A26" s="68">
        <v>1110000000</v>
      </c>
      <c r="B26" s="69" t="s">
        <v>128</v>
      </c>
      <c r="C26" s="266">
        <f>C28+C29</f>
        <v>220</v>
      </c>
      <c r="D26" s="266">
        <f>D28+D29</f>
        <v>52.131999999999998</v>
      </c>
      <c r="E26" s="5">
        <f t="shared" si="0"/>
        <v>23.696363636363635</v>
      </c>
      <c r="F26" s="5">
        <f t="shared" si="1"/>
        <v>-167.86799999999999</v>
      </c>
    </row>
    <row r="27" spans="1:6">
      <c r="A27" s="16">
        <v>1110502501</v>
      </c>
      <c r="B27" s="17" t="s">
        <v>225</v>
      </c>
      <c r="C27" s="322">
        <v>0</v>
      </c>
      <c r="D27" s="313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327</v>
      </c>
      <c r="C28" s="322">
        <v>200</v>
      </c>
      <c r="D28" s="313">
        <v>27.2</v>
      </c>
      <c r="E28" s="9">
        <f t="shared" si="0"/>
        <v>13.600000000000001</v>
      </c>
      <c r="F28" s="9">
        <f t="shared" si="1"/>
        <v>-172.8</v>
      </c>
    </row>
    <row r="29" spans="1:6">
      <c r="A29" s="7">
        <v>1110503000</v>
      </c>
      <c r="B29" s="11" t="s">
        <v>224</v>
      </c>
      <c r="C29" s="322">
        <v>20</v>
      </c>
      <c r="D29" s="313">
        <v>24.931999999999999</v>
      </c>
      <c r="E29" s="9">
        <f>SUM(D29/C29*100)</f>
        <v>124.66</v>
      </c>
      <c r="F29" s="9">
        <f t="shared" si="1"/>
        <v>4.9319999999999986</v>
      </c>
    </row>
    <row r="30" spans="1:6" s="15" customFormat="1" ht="35.25" customHeight="1">
      <c r="A30" s="68">
        <v>1130000000</v>
      </c>
      <c r="B30" s="69" t="s">
        <v>130</v>
      </c>
      <c r="C30" s="266">
        <f>C31</f>
        <v>200</v>
      </c>
      <c r="D30" s="266">
        <f>D31</f>
        <v>133.95569</v>
      </c>
      <c r="E30" s="5">
        <f t="shared" si="0"/>
        <v>66.977845000000002</v>
      </c>
      <c r="F30" s="5">
        <f t="shared" si="1"/>
        <v>-66.044309999999996</v>
      </c>
    </row>
    <row r="31" spans="1:6" ht="18" customHeight="1">
      <c r="A31" s="7">
        <v>1130206005</v>
      </c>
      <c r="B31" s="8" t="s">
        <v>223</v>
      </c>
      <c r="C31" s="315">
        <v>200</v>
      </c>
      <c r="D31" s="313">
        <v>133.95569</v>
      </c>
      <c r="E31" s="9">
        <f>SUM(D31/C31*100)</f>
        <v>66.977845000000002</v>
      </c>
      <c r="F31" s="9">
        <f t="shared" si="1"/>
        <v>-66.044309999999996</v>
      </c>
    </row>
    <row r="32" spans="1:6" ht="17.25" customHeight="1">
      <c r="A32" s="70">
        <v>1140000000</v>
      </c>
      <c r="B32" s="71" t="s">
        <v>131</v>
      </c>
      <c r="C32" s="266">
        <f>C33+C34</f>
        <v>0</v>
      </c>
      <c r="D32" s="266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132</v>
      </c>
      <c r="C33" s="315">
        <v>0</v>
      </c>
      <c r="D33" s="313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222</v>
      </c>
      <c r="C34" s="315">
        <v>0</v>
      </c>
      <c r="D34" s="313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251</v>
      </c>
      <c r="C35" s="266">
        <f>C36</f>
        <v>0</v>
      </c>
      <c r="D35" s="314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267</v>
      </c>
      <c r="C36" s="315">
        <v>0</v>
      </c>
      <c r="D36" s="313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134</v>
      </c>
      <c r="C37" s="266">
        <f>C38+C39</f>
        <v>0</v>
      </c>
      <c r="D37" s="266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315">
        <v>0</v>
      </c>
      <c r="D38" s="315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315">
        <v>0</v>
      </c>
      <c r="D39" s="313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18</v>
      </c>
      <c r="C40" s="308">
        <f>SUM(C4,C25)</f>
        <v>3935.44</v>
      </c>
      <c r="D40" s="308">
        <f>D4+D25</f>
        <v>1011.58575</v>
      </c>
      <c r="E40" s="5">
        <f t="shared" si="0"/>
        <v>25.704514615900635</v>
      </c>
      <c r="F40" s="5">
        <f t="shared" si="1"/>
        <v>-2923.8542500000003</v>
      </c>
    </row>
    <row r="41" spans="1:7" s="6" customFormat="1" ht="20.25" customHeight="1">
      <c r="A41" s="3">
        <v>2000000000</v>
      </c>
      <c r="B41" s="4" t="s">
        <v>19</v>
      </c>
      <c r="C41" s="316">
        <f>C42+C43+C44+C46+C47+C45+C48</f>
        <v>8816.6092700000008</v>
      </c>
      <c r="D41" s="316">
        <f>D42+D43+D44+D46+D47+D45+D48</f>
        <v>2498.7268800000002</v>
      </c>
      <c r="E41" s="5">
        <f t="shared" si="0"/>
        <v>28.341132100549583</v>
      </c>
      <c r="F41" s="5">
        <f t="shared" si="1"/>
        <v>-6317.8823900000007</v>
      </c>
      <c r="G41" s="19"/>
    </row>
    <row r="42" spans="1:7" ht="19.5" customHeight="1">
      <c r="A42" s="16">
        <v>2021000000</v>
      </c>
      <c r="B42" s="17" t="s">
        <v>20</v>
      </c>
      <c r="C42" s="323">
        <v>3003</v>
      </c>
      <c r="D42" s="317">
        <v>1501.2</v>
      </c>
      <c r="E42" s="9">
        <f t="shared" si="0"/>
        <v>49.990009990009995</v>
      </c>
      <c r="F42" s="9">
        <f t="shared" si="1"/>
        <v>-1501.8</v>
      </c>
    </row>
    <row r="43" spans="1:7" ht="27.75" customHeight="1">
      <c r="A43" s="16">
        <v>2021500200</v>
      </c>
      <c r="B43" s="17" t="s">
        <v>231</v>
      </c>
      <c r="C43" s="322">
        <v>96.5</v>
      </c>
      <c r="D43" s="318">
        <v>0</v>
      </c>
      <c r="E43" s="9">
        <f t="shared" si="0"/>
        <v>0</v>
      </c>
      <c r="F43" s="9">
        <f t="shared" si="1"/>
        <v>-96.5</v>
      </c>
    </row>
    <row r="44" spans="1:7" ht="21" customHeight="1">
      <c r="A44" s="16">
        <v>2022000000</v>
      </c>
      <c r="B44" s="17" t="s">
        <v>21</v>
      </c>
      <c r="C44" s="322">
        <v>4805.0308999999997</v>
      </c>
      <c r="D44" s="313">
        <v>538.78700000000003</v>
      </c>
      <c r="E44" s="9">
        <f t="shared" si="0"/>
        <v>11.212976798962938</v>
      </c>
      <c r="F44" s="9">
        <f t="shared" si="1"/>
        <v>-4266.2438999999995</v>
      </c>
    </row>
    <row r="45" spans="1:7" ht="23.25" customHeight="1">
      <c r="A45" s="16">
        <v>2022999910</v>
      </c>
      <c r="B45" s="18" t="s">
        <v>349</v>
      </c>
      <c r="C45" s="322">
        <v>0</v>
      </c>
      <c r="D45" s="313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22</v>
      </c>
      <c r="C46" s="322">
        <v>183.01900000000001</v>
      </c>
      <c r="D46" s="319">
        <v>89.649000000000001</v>
      </c>
      <c r="E46" s="9">
        <f t="shared" si="0"/>
        <v>48.983438877930709</v>
      </c>
      <c r="F46" s="9">
        <f t="shared" si="1"/>
        <v>-93.37</v>
      </c>
    </row>
    <row r="47" spans="1:7" ht="17.25" customHeight="1">
      <c r="A47" s="16">
        <v>2020400000</v>
      </c>
      <c r="B47" s="17" t="s">
        <v>23</v>
      </c>
      <c r="C47" s="322">
        <v>360</v>
      </c>
      <c r="D47" s="320">
        <v>0</v>
      </c>
      <c r="E47" s="9">
        <f t="shared" si="0"/>
        <v>0</v>
      </c>
      <c r="F47" s="9">
        <f t="shared" si="1"/>
        <v>-360</v>
      </c>
    </row>
    <row r="48" spans="1:7" ht="16.5" customHeight="1">
      <c r="A48" s="7">
        <v>2070500010</v>
      </c>
      <c r="B48" s="17" t="s">
        <v>350</v>
      </c>
      <c r="C48" s="322">
        <v>369.05937</v>
      </c>
      <c r="D48" s="320">
        <v>369.09088000000003</v>
      </c>
      <c r="E48" s="9">
        <f t="shared" si="0"/>
        <v>100.00853792168995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24</v>
      </c>
      <c r="C49" s="322"/>
      <c r="D49" s="320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25</v>
      </c>
      <c r="C50" s="314">
        <v>0</v>
      </c>
      <c r="D50" s="3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26</v>
      </c>
      <c r="C51" s="324">
        <v>0</v>
      </c>
      <c r="D51" s="3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27</v>
      </c>
      <c r="C52" s="266">
        <f>SUM(C40,C41,C51)</f>
        <v>12752.049270000001</v>
      </c>
      <c r="D52" s="321">
        <f>D40+D41</f>
        <v>3510.3126300000004</v>
      </c>
      <c r="E52" s="5">
        <f t="shared" si="0"/>
        <v>27.527439360340551</v>
      </c>
      <c r="F52" s="5">
        <f t="shared" si="1"/>
        <v>-9241.736640000001</v>
      </c>
      <c r="G52" s="94">
        <f>D52-1187.43232</f>
        <v>2322.8803100000005</v>
      </c>
      <c r="H52" s="94"/>
    </row>
    <row r="53" spans="1:8" s="6" customFormat="1">
      <c r="A53" s="3"/>
      <c r="B53" s="21" t="s">
        <v>320</v>
      </c>
      <c r="C53" s="266">
        <f>C52-C101</f>
        <v>-1205.1446799999976</v>
      </c>
      <c r="D53" s="266">
        <f>D52-D101</f>
        <v>-645.14840000000004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0</v>
      </c>
      <c r="B55" s="28" t="s">
        <v>28</v>
      </c>
      <c r="C55" s="146" t="s">
        <v>411</v>
      </c>
      <c r="D55" s="147" t="s">
        <v>426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29</v>
      </c>
      <c r="B57" s="31" t="s">
        <v>30</v>
      </c>
      <c r="C57" s="102">
        <f>C58+C59+C60+C61+C62+C64+C63</f>
        <v>1760.6429999999998</v>
      </c>
      <c r="D57" s="102">
        <f>D58+D59+D60+D61+D62+D64+D63</f>
        <v>718.8538299999999</v>
      </c>
      <c r="E57" s="34">
        <f>SUM(D57/C57*100)</f>
        <v>40.82905109099346</v>
      </c>
      <c r="F57" s="34">
        <f>SUM(D57-C57)</f>
        <v>-1041.78917</v>
      </c>
    </row>
    <row r="58" spans="1:8" s="6" customFormat="1" ht="0.75" hidden="1" customHeight="1">
      <c r="A58" s="35" t="s">
        <v>31</v>
      </c>
      <c r="B58" s="36" t="s">
        <v>32</v>
      </c>
      <c r="C58" s="92"/>
      <c r="D58" s="92"/>
      <c r="E58" s="38"/>
      <c r="F58" s="38"/>
    </row>
    <row r="59" spans="1:8" ht="16.5" customHeight="1">
      <c r="A59" s="35" t="s">
        <v>33</v>
      </c>
      <c r="B59" s="39" t="s">
        <v>34</v>
      </c>
      <c r="C59" s="148">
        <v>1746.6</v>
      </c>
      <c r="D59" s="92">
        <v>710.11132999999995</v>
      </c>
      <c r="E59" s="38">
        <f t="shared" ref="E59:E101" si="3">SUM(D59/C59*100)</f>
        <v>40.656780602313063</v>
      </c>
      <c r="F59" s="38">
        <f t="shared" ref="F59:F101" si="4">SUM(D59-C59)</f>
        <v>-1036.48867</v>
      </c>
    </row>
    <row r="60" spans="1:8" ht="12.75" hidden="1" customHeight="1">
      <c r="A60" s="35" t="s">
        <v>35</v>
      </c>
      <c r="B60" s="39" t="s">
        <v>36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92">
        <v>9.0429999999999993</v>
      </c>
      <c r="D64" s="92">
        <v>8.7424999999999997</v>
      </c>
      <c r="E64" s="38">
        <f t="shared" si="3"/>
        <v>96.676987725312401</v>
      </c>
      <c r="F64" s="38">
        <f t="shared" si="4"/>
        <v>-0.30049999999999955</v>
      </c>
    </row>
    <row r="65" spans="1:7" s="6" customFormat="1" ht="15.75" customHeight="1">
      <c r="A65" s="41" t="s">
        <v>45</v>
      </c>
      <c r="B65" s="42" t="s">
        <v>46</v>
      </c>
      <c r="C65" s="22">
        <f>C66</f>
        <v>179.892</v>
      </c>
      <c r="D65" s="22">
        <f>D66</f>
        <v>74.609549999999999</v>
      </c>
      <c r="E65" s="34">
        <f t="shared" si="3"/>
        <v>41.47463478086852</v>
      </c>
      <c r="F65" s="34">
        <f t="shared" si="4"/>
        <v>-105.28245</v>
      </c>
    </row>
    <row r="66" spans="1:7">
      <c r="A66" s="43" t="s">
        <v>47</v>
      </c>
      <c r="B66" s="44" t="s">
        <v>48</v>
      </c>
      <c r="C66" s="92">
        <v>179.892</v>
      </c>
      <c r="D66" s="92">
        <v>74.609549999999999</v>
      </c>
      <c r="E66" s="38">
        <f t="shared" si="3"/>
        <v>41.47463478086852</v>
      </c>
      <c r="F66" s="38">
        <f t="shared" si="4"/>
        <v>-105.28245</v>
      </c>
    </row>
    <row r="67" spans="1:7" s="6" customFormat="1" ht="20.25" customHeight="1">
      <c r="A67" s="30" t="s">
        <v>49</v>
      </c>
      <c r="B67" s="31" t="s">
        <v>50</v>
      </c>
      <c r="C67" s="289">
        <f>C70+C72+C71</f>
        <v>6.5</v>
      </c>
      <c r="D67" s="289">
        <f>D70+D72</f>
        <v>2.1</v>
      </c>
      <c r="E67" s="34">
        <f t="shared" si="3"/>
        <v>32.307692307692307</v>
      </c>
      <c r="F67" s="34">
        <f t="shared" si="4"/>
        <v>-4.4000000000000004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53</v>
      </c>
      <c r="B69" s="39" t="s">
        <v>54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2">
        <v>2.4</v>
      </c>
      <c r="D70" s="92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357</v>
      </c>
      <c r="B71" s="47" t="s">
        <v>358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218</v>
      </c>
      <c r="B72" s="47" t="s">
        <v>219</v>
      </c>
      <c r="C72" s="92">
        <v>2.1</v>
      </c>
      <c r="D72" s="92">
        <v>2.1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297"/>
      <c r="B73" s="31" t="s">
        <v>58</v>
      </c>
      <c r="C73" s="290">
        <f>C75+C76+C77+C74</f>
        <v>5093.1170399999992</v>
      </c>
      <c r="D73" s="105">
        <f>SUM(D74:D77)</f>
        <v>1331.6928800000001</v>
      </c>
      <c r="E73" s="34">
        <f t="shared" si="3"/>
        <v>26.146912971785945</v>
      </c>
      <c r="F73" s="34">
        <f t="shared" si="4"/>
        <v>-3761.4241599999991</v>
      </c>
    </row>
    <row r="74" spans="1:7" ht="15.75" customHeight="1">
      <c r="A74" s="35" t="s">
        <v>59</v>
      </c>
      <c r="B74" s="39" t="s">
        <v>60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61</v>
      </c>
      <c r="B75" s="39" t="s">
        <v>62</v>
      </c>
      <c r="C75" s="106">
        <v>1300</v>
      </c>
      <c r="D75" s="92">
        <v>717.43484000000001</v>
      </c>
      <c r="E75" s="38">
        <f t="shared" si="3"/>
        <v>55.187295384615389</v>
      </c>
      <c r="F75" s="38">
        <f t="shared" si="4"/>
        <v>-582.56515999999999</v>
      </c>
      <c r="G75" s="50"/>
    </row>
    <row r="76" spans="1:7">
      <c r="A76" s="35" t="s">
        <v>63</v>
      </c>
      <c r="B76" s="39" t="s">
        <v>64</v>
      </c>
      <c r="C76" s="106">
        <v>3763.07404</v>
      </c>
      <c r="D76" s="92">
        <v>612.25804000000005</v>
      </c>
      <c r="E76" s="38">
        <f t="shared" si="3"/>
        <v>16.270156619081565</v>
      </c>
      <c r="F76" s="38">
        <f t="shared" si="4"/>
        <v>-3150.8159999999998</v>
      </c>
    </row>
    <row r="77" spans="1:7">
      <c r="A77" s="35" t="s">
        <v>65</v>
      </c>
      <c r="B77" s="39" t="s">
        <v>66</v>
      </c>
      <c r="C77" s="106">
        <v>22</v>
      </c>
      <c r="D77" s="92">
        <v>2</v>
      </c>
      <c r="E77" s="38">
        <f t="shared" si="3"/>
        <v>9.0909090909090917</v>
      </c>
      <c r="F77" s="38">
        <f t="shared" si="4"/>
        <v>-20</v>
      </c>
    </row>
    <row r="78" spans="1:7" s="6" customFormat="1" ht="24" customHeight="1">
      <c r="A78" s="30" t="s">
        <v>67</v>
      </c>
      <c r="B78" s="31" t="s">
        <v>68</v>
      </c>
      <c r="C78" s="22">
        <f>SUM(C79:C82)</f>
        <v>3900.7639100000001</v>
      </c>
      <c r="D78" s="22">
        <f>SUM(D79:D82)</f>
        <v>730.18435999999997</v>
      </c>
      <c r="E78" s="34">
        <f t="shared" si="3"/>
        <v>18.719009323484023</v>
      </c>
      <c r="F78" s="34">
        <f t="shared" si="4"/>
        <v>-3170.5795500000004</v>
      </c>
    </row>
    <row r="79" spans="1:7" ht="2.25" hidden="1" customHeight="1">
      <c r="A79" s="35" t="s">
        <v>69</v>
      </c>
      <c r="B79" s="51" t="s">
        <v>70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71</v>
      </c>
      <c r="B80" s="51" t="s">
        <v>72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73</v>
      </c>
      <c r="B81" s="39" t="s">
        <v>74</v>
      </c>
      <c r="C81" s="92">
        <v>3900.7639100000001</v>
      </c>
      <c r="D81" s="92">
        <v>730.18435999999997</v>
      </c>
      <c r="E81" s="38">
        <f t="shared" si="3"/>
        <v>18.719009323484023</v>
      </c>
      <c r="F81" s="38">
        <f t="shared" si="4"/>
        <v>-3170.5795500000004</v>
      </c>
    </row>
    <row r="82" spans="1:6" ht="18" hidden="1" customHeight="1">
      <c r="A82" s="35" t="s">
        <v>263</v>
      </c>
      <c r="B82" s="39" t="s">
        <v>264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85</v>
      </c>
      <c r="B83" s="31" t="s">
        <v>86</v>
      </c>
      <c r="C83" s="22">
        <f>C84+C85</f>
        <v>2987.1880000000001</v>
      </c>
      <c r="D83" s="22">
        <f>D84+D85</f>
        <v>1288.9304099999999</v>
      </c>
      <c r="E83" s="34">
        <f t="shared" si="3"/>
        <v>43.148620374747082</v>
      </c>
      <c r="F83" s="34">
        <f t="shared" si="4"/>
        <v>-1698.2575900000002</v>
      </c>
    </row>
    <row r="84" spans="1:6" ht="14.25" customHeight="1">
      <c r="A84" s="35" t="s">
        <v>87</v>
      </c>
      <c r="B84" s="39" t="s">
        <v>233</v>
      </c>
      <c r="C84" s="92">
        <v>2987.1880000000001</v>
      </c>
      <c r="D84" s="92">
        <v>1288.9304099999999</v>
      </c>
      <c r="E84" s="38">
        <f t="shared" si="3"/>
        <v>43.148620374747082</v>
      </c>
      <c r="F84" s="38">
        <f t="shared" si="4"/>
        <v>-1698.2575900000002</v>
      </c>
    </row>
    <row r="85" spans="1:6" ht="14.25" hidden="1" customHeight="1">
      <c r="A85" s="35" t="s">
        <v>272</v>
      </c>
      <c r="B85" s="39" t="s">
        <v>273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89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90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91</v>
      </c>
      <c r="C89" s="92"/>
      <c r="D89" s="203"/>
      <c r="E89" s="34" t="e">
        <f t="shared" si="3"/>
        <v>#DIV/0!</v>
      </c>
      <c r="F89" s="38">
        <f t="shared" si="4"/>
        <v>0</v>
      </c>
    </row>
    <row r="90" spans="1:6">
      <c r="A90" s="35" t="s">
        <v>92</v>
      </c>
      <c r="B90" s="39" t="s">
        <v>93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29.09</v>
      </c>
      <c r="D91" s="22">
        <f>D92+D93+D94+D95+D96</f>
        <v>9.09</v>
      </c>
      <c r="E91" s="34">
        <f t="shared" si="3"/>
        <v>31.247851495359232</v>
      </c>
      <c r="F91" s="22">
        <f>F92+F93+F94+F95+F96</f>
        <v>-20</v>
      </c>
    </row>
    <row r="92" spans="1:6" ht="15.75" customHeight="1">
      <c r="A92" s="35" t="s">
        <v>96</v>
      </c>
      <c r="B92" s="39" t="s">
        <v>97</v>
      </c>
      <c r="C92" s="92">
        <v>29.09</v>
      </c>
      <c r="D92" s="92">
        <v>9.09</v>
      </c>
      <c r="E92" s="38">
        <f t="shared" si="3"/>
        <v>31.247851495359232</v>
      </c>
      <c r="F92" s="38">
        <f>SUM(D92-C92)</f>
        <v>-20</v>
      </c>
    </row>
    <row r="93" spans="1:6" ht="15" hidden="1" customHeight="1">
      <c r="A93" s="35" t="s">
        <v>98</v>
      </c>
      <c r="B93" s="39" t="s">
        <v>99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189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114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115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118</v>
      </c>
      <c r="C101" s="277">
        <f>C57+C65+C67+C73+C78+C83+C91+C86+C97</f>
        <v>13957.193949999999</v>
      </c>
      <c r="D101" s="277">
        <f>D57+D65+D67+D73+D78+D83+D91+D86+D97</f>
        <v>4155.4610300000004</v>
      </c>
      <c r="E101" s="34">
        <f t="shared" si="3"/>
        <v>29.772897366665891</v>
      </c>
      <c r="F101" s="34">
        <f t="shared" si="4"/>
        <v>-9801.7329199999986</v>
      </c>
      <c r="G101" s="94"/>
    </row>
    <row r="102" spans="1:7" ht="5.25" customHeight="1">
      <c r="D102" s="61"/>
    </row>
    <row r="103" spans="1:7" s="65" customFormat="1" ht="12.75">
      <c r="A103" s="63" t="s">
        <v>119</v>
      </c>
      <c r="B103" s="63"/>
      <c r="C103" s="133"/>
      <c r="D103" s="64"/>
    </row>
    <row r="104" spans="1:7" s="65" customFormat="1" ht="12.75">
      <c r="A104" s="66" t="s">
        <v>120</v>
      </c>
      <c r="B104" s="66"/>
      <c r="C104" s="133" t="s">
        <v>121</v>
      </c>
    </row>
    <row r="142" hidden="1"/>
  </sheetData>
  <customSheetViews>
    <customSheetView guid="{B30CE22D-C12F-4E12-8BB9-3AAE0A6991CC}" scale="70" showPageBreaks="1" printArea="1" hiddenRows="1" view="pageBreakPreview">
      <selection activeCell="G53" sqref="G53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B31C8DB7-3E78-4144-A6B5-8DE36DE63F0E}" hiddenRows="1" topLeftCell="A33">
      <selection activeCell="D45" sqref="D45"/>
      <pageMargins left="0.75" right="0.75" top="1" bottom="1" header="0.5" footer="0.5"/>
      <pageSetup paperSize="9" scale="46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8"/>
      <headerFooter alignWithMargins="0"/>
    </customSheetView>
    <customSheetView guid="{61528DAC-5C4C-48F4-ADE2-8A724B05A086}" scale="70" showPageBreaks="1" printArea="1" hiddenRows="1" view="pageBreakPreview" topLeftCell="A31">
      <selection activeCell="C77" sqref="C77"/>
      <pageMargins left="0.74803149606299213" right="0.74803149606299213" top="0.98425196850393704" bottom="0.98425196850393704" header="0.51181102362204722" footer="0.51181102362204722"/>
      <pageSetup paperSize="9" scale="59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3"/>
  <sheetViews>
    <sheetView view="pageBreakPreview" topLeftCell="A28" zoomScale="70" zoomScaleSheetLayoutView="70" workbookViewId="0">
      <selection activeCell="F23" sqref="F23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427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1771.4749999999999</v>
      </c>
      <c r="D4" s="248">
        <f>D5+D12+D14+D17+D7</f>
        <v>497.51171999999997</v>
      </c>
      <c r="E4" s="5">
        <f>SUM(D4/C4*100)</f>
        <v>28.084602943874454</v>
      </c>
      <c r="F4" s="5">
        <f>SUM(D4-C4)</f>
        <v>-1273.9632799999999</v>
      </c>
    </row>
    <row r="5" spans="1:6" s="6" customFormat="1">
      <c r="A5" s="68">
        <v>1010000000</v>
      </c>
      <c r="B5" s="67" t="s">
        <v>5</v>
      </c>
      <c r="C5" s="5">
        <f>C6</f>
        <v>100.23</v>
      </c>
      <c r="D5" s="266">
        <f>D6</f>
        <v>35.980890000000002</v>
      </c>
      <c r="E5" s="5">
        <f t="shared" ref="E5:E52" si="0">SUM(D5/C5*100)</f>
        <v>35.898323855133199</v>
      </c>
      <c r="F5" s="5">
        <f t="shared" ref="F5:F52" si="1">SUM(D5-C5)</f>
        <v>-64.249110000000002</v>
      </c>
    </row>
    <row r="6" spans="1:6">
      <c r="A6" s="7">
        <v>1010200001</v>
      </c>
      <c r="B6" s="8" t="s">
        <v>228</v>
      </c>
      <c r="C6" s="9">
        <v>100.23</v>
      </c>
      <c r="D6" s="313">
        <v>35.980890000000002</v>
      </c>
      <c r="E6" s="9">
        <f t="shared" ref="E6:E11" si="2">SUM(D6/C6*100)</f>
        <v>35.898323855133199</v>
      </c>
      <c r="F6" s="9">
        <f t="shared" si="1"/>
        <v>-64.249110000000002</v>
      </c>
    </row>
    <row r="7" spans="1:6" ht="31.5">
      <c r="A7" s="3">
        <v>1030000000</v>
      </c>
      <c r="B7" s="13" t="s">
        <v>280</v>
      </c>
      <c r="C7" s="248">
        <f>C8+C10+C9</f>
        <v>601.24499999999989</v>
      </c>
      <c r="D7" s="266">
        <f>D8+D10+D9+D11</f>
        <v>344.89148</v>
      </c>
      <c r="E7" s="9">
        <f t="shared" si="2"/>
        <v>57.362885346239899</v>
      </c>
      <c r="F7" s="9">
        <f t="shared" si="1"/>
        <v>-256.35351999999989</v>
      </c>
    </row>
    <row r="8" spans="1:6">
      <c r="A8" s="7">
        <v>1030223001</v>
      </c>
      <c r="B8" s="8" t="s">
        <v>282</v>
      </c>
      <c r="C8" s="9">
        <v>224.26</v>
      </c>
      <c r="D8" s="313">
        <v>156.56622999999999</v>
      </c>
      <c r="E8" s="9">
        <f t="shared" si="2"/>
        <v>69.814603585124416</v>
      </c>
      <c r="F8" s="9">
        <f t="shared" si="1"/>
        <v>-67.693770000000001</v>
      </c>
    </row>
    <row r="9" spans="1:6">
      <c r="A9" s="7">
        <v>1030224001</v>
      </c>
      <c r="B9" s="8" t="s">
        <v>288</v>
      </c>
      <c r="C9" s="9">
        <v>2.4049999999999998</v>
      </c>
      <c r="D9" s="313">
        <v>1.1879</v>
      </c>
      <c r="E9" s="9">
        <f t="shared" si="2"/>
        <v>49.392931392931395</v>
      </c>
      <c r="F9" s="9">
        <f t="shared" si="1"/>
        <v>-1.2170999999999998</v>
      </c>
    </row>
    <row r="10" spans="1:6">
      <c r="A10" s="7">
        <v>1030225001</v>
      </c>
      <c r="B10" s="8" t="s">
        <v>281</v>
      </c>
      <c r="C10" s="9">
        <v>374.58</v>
      </c>
      <c r="D10" s="313">
        <v>216.95968999999999</v>
      </c>
      <c r="E10" s="9">
        <f t="shared" si="2"/>
        <v>57.920788616583906</v>
      </c>
      <c r="F10" s="9">
        <f t="shared" si="1"/>
        <v>-157.62030999999999</v>
      </c>
    </row>
    <row r="11" spans="1:6">
      <c r="A11" s="7">
        <v>1030226001</v>
      </c>
      <c r="B11" s="8" t="s">
        <v>290</v>
      </c>
      <c r="C11" s="9">
        <v>0</v>
      </c>
      <c r="D11" s="313">
        <v>-29.822340000000001</v>
      </c>
      <c r="E11" s="9" t="e">
        <f t="shared" si="2"/>
        <v>#DIV/0!</v>
      </c>
      <c r="F11" s="9">
        <f t="shared" si="1"/>
        <v>-29.822340000000001</v>
      </c>
    </row>
    <row r="12" spans="1:6" s="6" customFormat="1">
      <c r="A12" s="68">
        <v>1050000000</v>
      </c>
      <c r="B12" s="67" t="s">
        <v>6</v>
      </c>
      <c r="C12" s="5">
        <f>SUM(C13:C13)</f>
        <v>7</v>
      </c>
      <c r="D12" s="266">
        <f>SUM(D13:D13)</f>
        <v>7.8484400000000001</v>
      </c>
      <c r="E12" s="5">
        <f t="shared" si="0"/>
        <v>112.12057142857144</v>
      </c>
      <c r="F12" s="5">
        <f t="shared" si="1"/>
        <v>0.84844000000000008</v>
      </c>
    </row>
    <row r="13" spans="1:6" ht="15.75" customHeight="1">
      <c r="A13" s="7">
        <v>1050300000</v>
      </c>
      <c r="B13" s="11" t="s">
        <v>229</v>
      </c>
      <c r="C13" s="12">
        <v>7</v>
      </c>
      <c r="D13" s="313">
        <v>7.8484400000000001</v>
      </c>
      <c r="E13" s="9">
        <f t="shared" si="0"/>
        <v>112.12057142857144</v>
      </c>
      <c r="F13" s="9">
        <f t="shared" si="1"/>
        <v>0.84844000000000008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1058</v>
      </c>
      <c r="D14" s="266">
        <f>D15+D16</f>
        <v>106.79091</v>
      </c>
      <c r="E14" s="5">
        <f t="shared" si="0"/>
        <v>10.093658790170132</v>
      </c>
      <c r="F14" s="5">
        <f t="shared" si="1"/>
        <v>-951.20909000000006</v>
      </c>
    </row>
    <row r="15" spans="1:6" s="6" customFormat="1" ht="15.75" customHeight="1">
      <c r="A15" s="7">
        <v>1060100000</v>
      </c>
      <c r="B15" s="11" t="s">
        <v>8</v>
      </c>
      <c r="C15" s="9">
        <v>248</v>
      </c>
      <c r="D15" s="313">
        <v>43.025939999999999</v>
      </c>
      <c r="E15" s="9">
        <f t="shared" si="0"/>
        <v>17.349169354838708</v>
      </c>
      <c r="F15" s="9">
        <f>SUM(D15-C15)</f>
        <v>-204.97406000000001</v>
      </c>
    </row>
    <row r="16" spans="1:6" ht="15.75" customHeight="1">
      <c r="A16" s="7">
        <v>1060600000</v>
      </c>
      <c r="B16" s="11" t="s">
        <v>7</v>
      </c>
      <c r="C16" s="9">
        <v>810</v>
      </c>
      <c r="D16" s="313">
        <v>63.764969999999998</v>
      </c>
      <c r="E16" s="9">
        <f t="shared" si="0"/>
        <v>7.8722185185185189</v>
      </c>
      <c r="F16" s="9">
        <f t="shared" si="1"/>
        <v>-746.23503000000005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266">
        <f>D18</f>
        <v>2</v>
      </c>
      <c r="E17" s="5">
        <f t="shared" si="0"/>
        <v>40</v>
      </c>
      <c r="F17" s="5">
        <f t="shared" si="1"/>
        <v>-3</v>
      </c>
    </row>
    <row r="18" spans="1:6" ht="21.75" customHeight="1">
      <c r="A18" s="7">
        <v>1080400001</v>
      </c>
      <c r="B18" s="8" t="s">
        <v>227</v>
      </c>
      <c r="C18" s="9">
        <v>5</v>
      </c>
      <c r="D18" s="313">
        <v>2</v>
      </c>
      <c r="E18" s="9">
        <f t="shared" si="0"/>
        <v>40</v>
      </c>
      <c r="F18" s="9">
        <f t="shared" si="1"/>
        <v>-3</v>
      </c>
    </row>
    <row r="19" spans="1:6" ht="0.75" hidden="1" customHeight="1">
      <c r="A19" s="7">
        <v>1080714001</v>
      </c>
      <c r="B19" s="8" t="s">
        <v>11</v>
      </c>
      <c r="C19" s="9"/>
      <c r="D19" s="31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266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3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3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3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3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280</v>
      </c>
      <c r="D25" s="266">
        <f>D26+D30+D32+D37+D35</f>
        <v>71.083519999999993</v>
      </c>
      <c r="E25" s="5">
        <f t="shared" si="0"/>
        <v>25.386971428571425</v>
      </c>
      <c r="F25" s="5">
        <f t="shared" si="1"/>
        <v>-208.91648000000001</v>
      </c>
    </row>
    <row r="26" spans="1:6" s="6" customFormat="1" ht="30" customHeight="1">
      <c r="A26" s="68">
        <v>1110000000</v>
      </c>
      <c r="B26" s="69" t="s">
        <v>128</v>
      </c>
      <c r="C26" s="5">
        <f>C27+C28+C29</f>
        <v>220</v>
      </c>
      <c r="D26" s="266">
        <f>D27+D28+D29</f>
        <v>51.040900000000001</v>
      </c>
      <c r="E26" s="5">
        <f t="shared" si="0"/>
        <v>23.200409090909091</v>
      </c>
      <c r="F26" s="5">
        <f t="shared" si="1"/>
        <v>-168.95910000000001</v>
      </c>
    </row>
    <row r="27" spans="1:6">
      <c r="A27" s="16">
        <v>1110501101</v>
      </c>
      <c r="B27" s="17" t="s">
        <v>225</v>
      </c>
      <c r="C27" s="12">
        <v>0</v>
      </c>
      <c r="D27" s="313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299</v>
      </c>
      <c r="C28" s="12">
        <v>200</v>
      </c>
      <c r="D28" s="313">
        <v>24.7</v>
      </c>
      <c r="E28" s="9">
        <f t="shared" si="0"/>
        <v>12.35</v>
      </c>
      <c r="F28" s="9">
        <f t="shared" si="1"/>
        <v>-175.3</v>
      </c>
    </row>
    <row r="29" spans="1:6" ht="18" customHeight="1">
      <c r="A29" s="7">
        <v>1110503505</v>
      </c>
      <c r="B29" s="11" t="s">
        <v>224</v>
      </c>
      <c r="C29" s="12">
        <v>20</v>
      </c>
      <c r="D29" s="313">
        <v>26.340900000000001</v>
      </c>
      <c r="E29" s="9">
        <f t="shared" si="0"/>
        <v>131.7045</v>
      </c>
      <c r="F29" s="9">
        <f t="shared" si="1"/>
        <v>6.3409000000000013</v>
      </c>
    </row>
    <row r="30" spans="1:6" s="15" customFormat="1" ht="15.75" customHeight="1">
      <c r="A30" s="68">
        <v>1130000000</v>
      </c>
      <c r="B30" s="69" t="s">
        <v>130</v>
      </c>
      <c r="C30" s="5">
        <f>C31</f>
        <v>60</v>
      </c>
      <c r="D30" s="266">
        <f>D31</f>
        <v>20.042619999999999</v>
      </c>
      <c r="E30" s="5">
        <f t="shared" si="0"/>
        <v>33.404366666666668</v>
      </c>
      <c r="F30" s="5">
        <f t="shared" si="1"/>
        <v>-39.957380000000001</v>
      </c>
    </row>
    <row r="31" spans="1:6">
      <c r="A31" s="7">
        <v>1130305005</v>
      </c>
      <c r="B31" s="8" t="s">
        <v>14</v>
      </c>
      <c r="C31" s="9">
        <v>60</v>
      </c>
      <c r="D31" s="313">
        <v>20.042619999999999</v>
      </c>
      <c r="E31" s="9">
        <f t="shared" si="0"/>
        <v>33.404366666666668</v>
      </c>
      <c r="F31" s="9">
        <f t="shared" si="1"/>
        <v>-39.957380000000001</v>
      </c>
    </row>
    <row r="32" spans="1:6" ht="17.25" customHeight="1">
      <c r="A32" s="70">
        <v>1140000000</v>
      </c>
      <c r="B32" s="71" t="s">
        <v>131</v>
      </c>
      <c r="C32" s="5">
        <f>C34</f>
        <v>0</v>
      </c>
      <c r="D32" s="266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132</v>
      </c>
      <c r="C33" s="9">
        <v>0</v>
      </c>
      <c r="D33" s="313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222</v>
      </c>
      <c r="C34" s="9">
        <v>0</v>
      </c>
      <c r="D34" s="313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251</v>
      </c>
      <c r="C35" s="5">
        <f>C36</f>
        <v>0</v>
      </c>
      <c r="D35" s="266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322</v>
      </c>
      <c r="C36" s="9">
        <v>0</v>
      </c>
      <c r="D36" s="313">
        <v>0</v>
      </c>
      <c r="E36" s="9" t="e">
        <f t="shared" si="0"/>
        <v>#DIV/0!</v>
      </c>
      <c r="F36" s="9">
        <f t="shared" si="1"/>
        <v>0</v>
      </c>
    </row>
    <row r="37" spans="1:7" ht="14.25" customHeight="1">
      <c r="A37" s="3">
        <v>1170000000</v>
      </c>
      <c r="B37" s="13" t="s">
        <v>134</v>
      </c>
      <c r="C37" s="5">
        <f>C38+C39</f>
        <v>0</v>
      </c>
      <c r="D37" s="266">
        <f>D38+D39</f>
        <v>0</v>
      </c>
      <c r="E37" s="9" t="e">
        <f t="shared" si="0"/>
        <v>#DIV/0!</v>
      </c>
      <c r="F37" s="5">
        <f t="shared" si="1"/>
        <v>0</v>
      </c>
    </row>
    <row r="38" spans="1:7" ht="19.5" customHeight="1">
      <c r="A38" s="7">
        <v>1170105005</v>
      </c>
      <c r="B38" s="8" t="s">
        <v>17</v>
      </c>
      <c r="C38" s="9">
        <v>0</v>
      </c>
      <c r="D38" s="315">
        <v>0</v>
      </c>
      <c r="E38" s="9" t="e">
        <f t="shared" si="0"/>
        <v>#DIV/0!</v>
      </c>
      <c r="F38" s="9">
        <f t="shared" si="1"/>
        <v>0</v>
      </c>
    </row>
    <row r="39" spans="1:7" s="337" customFormat="1" ht="1.5" customHeight="1">
      <c r="A39" s="333">
        <v>1170505005</v>
      </c>
      <c r="B39" s="334" t="s">
        <v>220</v>
      </c>
      <c r="C39" s="335">
        <v>0</v>
      </c>
      <c r="D39" s="336">
        <v>0</v>
      </c>
      <c r="E39" s="335" t="e">
        <f t="shared" si="0"/>
        <v>#DIV/0!</v>
      </c>
      <c r="F39" s="335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2051.4749999999999</v>
      </c>
      <c r="D40" s="308">
        <f>D4+D25</f>
        <v>568.59523999999999</v>
      </c>
      <c r="E40" s="5">
        <f t="shared" si="0"/>
        <v>27.71641087510206</v>
      </c>
      <c r="F40" s="5">
        <f t="shared" si="1"/>
        <v>-1482.8797599999998</v>
      </c>
    </row>
    <row r="41" spans="1:7" s="6" customFormat="1">
      <c r="A41" s="3">
        <v>2000000000</v>
      </c>
      <c r="B41" s="4" t="s">
        <v>19</v>
      </c>
      <c r="C41" s="271">
        <f>C42+C44+C46+C47+C48+C49+C43+C45+C51</f>
        <v>7959.6357100000014</v>
      </c>
      <c r="D41" s="266">
        <f>D42+D44+D46+D47+D48+D49+D43+D45+D51</f>
        <v>1848.8670099999999</v>
      </c>
      <c r="E41" s="5">
        <f t="shared" si="0"/>
        <v>23.228035520233622</v>
      </c>
      <c r="F41" s="5">
        <f t="shared" si="1"/>
        <v>-6110.7687000000014</v>
      </c>
      <c r="G41" s="19"/>
    </row>
    <row r="42" spans="1:7">
      <c r="A42" s="16">
        <v>2021000000</v>
      </c>
      <c r="B42" s="17" t="s">
        <v>20</v>
      </c>
      <c r="C42" s="338">
        <v>1759.1</v>
      </c>
      <c r="D42" s="318">
        <v>879.55200000000002</v>
      </c>
      <c r="E42" s="9">
        <f t="shared" si="0"/>
        <v>50.000113694502879</v>
      </c>
      <c r="F42" s="9">
        <f t="shared" si="1"/>
        <v>-879.54799999999989</v>
      </c>
    </row>
    <row r="43" spans="1:7">
      <c r="A43" s="16">
        <v>2021500200</v>
      </c>
      <c r="B43" s="17" t="s">
        <v>231</v>
      </c>
      <c r="C43" s="284">
        <v>371.6</v>
      </c>
      <c r="D43" s="318">
        <v>60</v>
      </c>
      <c r="E43" s="9">
        <f t="shared" si="0"/>
        <v>16.146393972012916</v>
      </c>
      <c r="F43" s="9">
        <f t="shared" si="1"/>
        <v>-311.60000000000002</v>
      </c>
    </row>
    <row r="44" spans="1:7" ht="16.5" customHeight="1">
      <c r="A44" s="16">
        <v>2022000000</v>
      </c>
      <c r="B44" s="17" t="s">
        <v>21</v>
      </c>
      <c r="C44" s="284">
        <v>3964.4985700000002</v>
      </c>
      <c r="D44" s="313">
        <v>220</v>
      </c>
      <c r="E44" s="9">
        <f t="shared" si="0"/>
        <v>5.5492515917340839</v>
      </c>
      <c r="F44" s="9">
        <f t="shared" si="1"/>
        <v>-3744.4985700000002</v>
      </c>
    </row>
    <row r="45" spans="1:7">
      <c r="A45" s="16">
        <v>2022999910</v>
      </c>
      <c r="B45" s="18" t="s">
        <v>349</v>
      </c>
      <c r="C45" s="284">
        <v>0</v>
      </c>
      <c r="D45" s="313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22</v>
      </c>
      <c r="C46" s="284">
        <v>181.08199999999999</v>
      </c>
      <c r="D46" s="319">
        <v>89.649000000000001</v>
      </c>
      <c r="E46" s="9">
        <f>SUM(D46/C46*100)</f>
        <v>49.50740548480799</v>
      </c>
      <c r="F46" s="9">
        <f>SUM(D46-C46)</f>
        <v>-91.432999999999993</v>
      </c>
    </row>
    <row r="47" spans="1:7">
      <c r="A47" s="16">
        <v>2020400000</v>
      </c>
      <c r="B47" s="17" t="s">
        <v>23</v>
      </c>
      <c r="C47" s="284">
        <v>1381.01828</v>
      </c>
      <c r="D47" s="320">
        <v>323.10701</v>
      </c>
      <c r="E47" s="9">
        <f t="shared" si="0"/>
        <v>23.396287701564674</v>
      </c>
      <c r="F47" s="9">
        <f t="shared" si="1"/>
        <v>-1057.9112700000001</v>
      </c>
    </row>
    <row r="48" spans="1:7" ht="47.25">
      <c r="A48" s="16">
        <v>2020700000</v>
      </c>
      <c r="B48" s="18" t="s">
        <v>24</v>
      </c>
      <c r="C48" s="284"/>
      <c r="D48" s="320"/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25</v>
      </c>
      <c r="C49" s="283">
        <v>0</v>
      </c>
      <c r="D49" s="313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26</v>
      </c>
      <c r="C50" s="285">
        <v>0</v>
      </c>
      <c r="D50" s="314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356</v>
      </c>
      <c r="C51" s="284">
        <v>302.33686</v>
      </c>
      <c r="D51" s="313">
        <v>276.55900000000003</v>
      </c>
      <c r="E51" s="9">
        <f t="shared" si="0"/>
        <v>91.473795156832693</v>
      </c>
      <c r="F51" s="9">
        <f t="shared" si="1"/>
        <v>-25.777859999999976</v>
      </c>
    </row>
    <row r="52" spans="1:8" s="6" customFormat="1" ht="23.25" customHeight="1">
      <c r="A52" s="3"/>
      <c r="B52" s="4" t="s">
        <v>27</v>
      </c>
      <c r="C52" s="248">
        <f>C40+C41</f>
        <v>10011.110710000001</v>
      </c>
      <c r="D52" s="339">
        <f>D40+D41</f>
        <v>2417.46225</v>
      </c>
      <c r="E52" s="5">
        <f t="shared" si="0"/>
        <v>24.14779258794152</v>
      </c>
      <c r="F52" s="5">
        <f t="shared" si="1"/>
        <v>-7593.6484600000003</v>
      </c>
      <c r="G52" s="94"/>
      <c r="H52" s="94"/>
    </row>
    <row r="53" spans="1:8" s="6" customFormat="1">
      <c r="A53" s="3"/>
      <c r="B53" s="21" t="s">
        <v>320</v>
      </c>
      <c r="C53" s="248">
        <f>C52-C101</f>
        <v>-513.93217999999797</v>
      </c>
      <c r="D53" s="266">
        <f>D52-D101</f>
        <v>87.568230000000312</v>
      </c>
      <c r="E53" s="22"/>
      <c r="F53" s="22"/>
    </row>
    <row r="54" spans="1:8" ht="32.25" customHeight="1">
      <c r="A54" s="23"/>
      <c r="B54" s="24"/>
      <c r="C54" s="196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424</v>
      </c>
      <c r="E55" s="72" t="s">
        <v>2</v>
      </c>
      <c r="F55" s="74" t="s">
        <v>3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29</v>
      </c>
      <c r="B57" s="31" t="s">
        <v>30</v>
      </c>
      <c r="C57" s="303">
        <f>C58+C59+C60+C61+C62+C64+C63</f>
        <v>1261.7510000000002</v>
      </c>
      <c r="D57" s="33">
        <f>D58+D59+D60+D61+D62+D64+D63</f>
        <v>510.32502999999997</v>
      </c>
      <c r="E57" s="34">
        <f>SUM(D57/C57*100)</f>
        <v>40.445779714064017</v>
      </c>
      <c r="F57" s="34">
        <f>SUM(D57-C57)</f>
        <v>-751.42597000000023</v>
      </c>
    </row>
    <row r="58" spans="1:8" s="6" customFormat="1" ht="1.5" hidden="1" customHeight="1">
      <c r="A58" s="35" t="s">
        <v>31</v>
      </c>
      <c r="B58" s="36" t="s">
        <v>32</v>
      </c>
      <c r="C58" s="302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33</v>
      </c>
      <c r="B59" s="39" t="s">
        <v>34</v>
      </c>
      <c r="C59" s="302">
        <v>1247.4000000000001</v>
      </c>
      <c r="D59" s="37">
        <v>503.77402999999998</v>
      </c>
      <c r="E59" s="38">
        <f t="shared" ref="E59:E101" si="3">SUM(D59/C59*100)</f>
        <v>40.385925124258456</v>
      </c>
      <c r="F59" s="38">
        <f t="shared" ref="F59:F101" si="4">SUM(D59-C59)</f>
        <v>-743.62597000000005</v>
      </c>
    </row>
    <row r="60" spans="1:8" ht="16.5" hidden="1" customHeight="1">
      <c r="A60" s="35" t="s">
        <v>35</v>
      </c>
      <c r="B60" s="39" t="s">
        <v>36</v>
      </c>
      <c r="C60" s="302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02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39</v>
      </c>
      <c r="B62" s="39" t="s">
        <v>40</v>
      </c>
      <c r="C62" s="302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304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43</v>
      </c>
      <c r="B64" s="39" t="s">
        <v>44</v>
      </c>
      <c r="C64" s="302">
        <v>9.3510000000000009</v>
      </c>
      <c r="D64" s="37">
        <v>6.5510000000000002</v>
      </c>
      <c r="E64" s="38">
        <f t="shared" si="3"/>
        <v>70.056678430114417</v>
      </c>
      <c r="F64" s="38">
        <f t="shared" si="4"/>
        <v>-2.8000000000000007</v>
      </c>
    </row>
    <row r="65" spans="1:7" s="6" customFormat="1">
      <c r="A65" s="41" t="s">
        <v>45</v>
      </c>
      <c r="B65" s="42" t="s">
        <v>46</v>
      </c>
      <c r="C65" s="303">
        <f>C66</f>
        <v>179.892</v>
      </c>
      <c r="D65" s="32">
        <f>D66</f>
        <v>79.12</v>
      </c>
      <c r="E65" s="34">
        <f t="shared" si="3"/>
        <v>43.981944722388995</v>
      </c>
      <c r="F65" s="34">
        <f t="shared" si="4"/>
        <v>-100.77199999999999</v>
      </c>
    </row>
    <row r="66" spans="1:7" ht="15" customHeight="1">
      <c r="A66" s="43" t="s">
        <v>47</v>
      </c>
      <c r="B66" s="44" t="s">
        <v>48</v>
      </c>
      <c r="C66" s="302">
        <v>179.892</v>
      </c>
      <c r="D66" s="37">
        <v>79.12</v>
      </c>
      <c r="E66" s="38">
        <f t="shared" si="3"/>
        <v>43.981944722388995</v>
      </c>
      <c r="F66" s="38">
        <f t="shared" si="4"/>
        <v>-100.77199999999999</v>
      </c>
    </row>
    <row r="67" spans="1:7" s="6" customFormat="1" ht="18" customHeight="1">
      <c r="A67" s="30" t="s">
        <v>49</v>
      </c>
      <c r="B67" s="31" t="s">
        <v>50</v>
      </c>
      <c r="C67" s="303">
        <f>C70+C71+C72</f>
        <v>6</v>
      </c>
      <c r="D67" s="32">
        <f>D70+D71+D72</f>
        <v>4</v>
      </c>
      <c r="E67" s="34">
        <f t="shared" si="3"/>
        <v>66.666666666666657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302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53</v>
      </c>
      <c r="B69" s="39" t="s">
        <v>54</v>
      </c>
      <c r="C69" s="302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302">
        <v>2</v>
      </c>
      <c r="D70" s="37">
        <v>2</v>
      </c>
      <c r="E70" s="34">
        <f t="shared" si="3"/>
        <v>100</v>
      </c>
      <c r="F70" s="34">
        <f t="shared" si="4"/>
        <v>0</v>
      </c>
    </row>
    <row r="71" spans="1:7" ht="17.25" customHeight="1">
      <c r="A71" s="46" t="s">
        <v>218</v>
      </c>
      <c r="B71" s="47" t="s">
        <v>219</v>
      </c>
      <c r="C71" s="302">
        <v>2</v>
      </c>
      <c r="D71" s="37">
        <v>2</v>
      </c>
      <c r="E71" s="38">
        <f t="shared" si="3"/>
        <v>100</v>
      </c>
      <c r="F71" s="38">
        <f t="shared" si="4"/>
        <v>0</v>
      </c>
    </row>
    <row r="72" spans="1:7" ht="17.25" customHeight="1">
      <c r="A72" s="46" t="s">
        <v>357</v>
      </c>
      <c r="B72" s="47" t="s">
        <v>408</v>
      </c>
      <c r="C72" s="302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57</v>
      </c>
      <c r="B73" s="31" t="s">
        <v>58</v>
      </c>
      <c r="C73" s="290">
        <f>C75+C76+C77+C74</f>
        <v>6119.0925799999995</v>
      </c>
      <c r="D73" s="48">
        <f>SUM(D74:D77)</f>
        <v>612.26700999999991</v>
      </c>
      <c r="E73" s="34">
        <f t="shared" si="3"/>
        <v>10.005846487781035</v>
      </c>
      <c r="F73" s="34">
        <f t="shared" si="4"/>
        <v>-5506.82557</v>
      </c>
    </row>
    <row r="74" spans="1:7" ht="17.25" customHeight="1">
      <c r="A74" s="35" t="s">
        <v>59</v>
      </c>
      <c r="B74" s="39" t="s">
        <v>60</v>
      </c>
      <c r="C74" s="305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61</v>
      </c>
      <c r="B75" s="39" t="s">
        <v>62</v>
      </c>
      <c r="C75" s="305">
        <v>785.64328999999998</v>
      </c>
      <c r="D75" s="37">
        <v>323.10701</v>
      </c>
      <c r="E75" s="38">
        <f t="shared" si="3"/>
        <v>41.126426472757124</v>
      </c>
      <c r="F75" s="38">
        <f t="shared" si="4"/>
        <v>-462.53627999999998</v>
      </c>
      <c r="G75" s="50"/>
    </row>
    <row r="76" spans="1:7" ht="16.5" customHeight="1">
      <c r="A76" s="35" t="s">
        <v>63</v>
      </c>
      <c r="B76" s="39" t="s">
        <v>64</v>
      </c>
      <c r="C76" s="305">
        <v>5250.76829</v>
      </c>
      <c r="D76" s="37">
        <v>250</v>
      </c>
      <c r="E76" s="38">
        <f t="shared" si="3"/>
        <v>4.7612080021912373</v>
      </c>
      <c r="F76" s="38">
        <f t="shared" si="4"/>
        <v>-5000.76829</v>
      </c>
    </row>
    <row r="77" spans="1:7" ht="16.5" customHeight="1">
      <c r="A77" s="35" t="s">
        <v>65</v>
      </c>
      <c r="B77" s="39" t="s">
        <v>66</v>
      </c>
      <c r="C77" s="305">
        <v>80</v>
      </c>
      <c r="D77" s="37">
        <v>39.159999999999997</v>
      </c>
      <c r="E77" s="38">
        <f t="shared" si="3"/>
        <v>48.949999999999996</v>
      </c>
      <c r="F77" s="38">
        <f t="shared" si="4"/>
        <v>-40.840000000000003</v>
      </c>
    </row>
    <row r="78" spans="1:7" ht="15.75" hidden="1" customHeight="1">
      <c r="A78" s="30" t="s">
        <v>49</v>
      </c>
      <c r="B78" s="31" t="s">
        <v>50</v>
      </c>
      <c r="C78" s="290">
        <v>0</v>
      </c>
      <c r="D78" s="37"/>
      <c r="E78" s="38"/>
      <c r="F78" s="38"/>
    </row>
    <row r="79" spans="1:7" ht="15.75" hidden="1" customHeight="1">
      <c r="A79" s="46" t="s">
        <v>218</v>
      </c>
      <c r="B79" s="47" t="s">
        <v>219</v>
      </c>
      <c r="C79" s="305">
        <v>0</v>
      </c>
      <c r="D79" s="37"/>
      <c r="E79" s="38"/>
      <c r="F79" s="38"/>
    </row>
    <row r="80" spans="1:7" s="6" customFormat="1" ht="19.5" customHeight="1">
      <c r="A80" s="30" t="s">
        <v>67</v>
      </c>
      <c r="B80" s="31" t="s">
        <v>68</v>
      </c>
      <c r="C80" s="303">
        <f>SUM(C81:C83)</f>
        <v>684.64191000000005</v>
      </c>
      <c r="D80" s="32">
        <f>SUM(D81:D83)</f>
        <v>335.06623999999999</v>
      </c>
      <c r="E80" s="34">
        <f t="shared" si="3"/>
        <v>48.940363583643304</v>
      </c>
      <c r="F80" s="34">
        <f t="shared" si="4"/>
        <v>-349.57567000000006</v>
      </c>
    </row>
    <row r="81" spans="1:6" hidden="1">
      <c r="A81" s="35" t="s">
        <v>69</v>
      </c>
      <c r="B81" s="51" t="s">
        <v>70</v>
      </c>
      <c r="C81" s="302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71</v>
      </c>
      <c r="B82" s="51" t="s">
        <v>72</v>
      </c>
      <c r="C82" s="302"/>
      <c r="D82" s="37"/>
      <c r="E82" s="38" t="e">
        <f t="shared" si="3"/>
        <v>#DIV/0!</v>
      </c>
      <c r="F82" s="38">
        <f t="shared" si="4"/>
        <v>0</v>
      </c>
    </row>
    <row r="83" spans="1:6" ht="18" customHeight="1">
      <c r="A83" s="35" t="s">
        <v>73</v>
      </c>
      <c r="B83" s="39" t="s">
        <v>74</v>
      </c>
      <c r="C83" s="302">
        <v>684.64191000000005</v>
      </c>
      <c r="D83" s="37">
        <v>335.06623999999999</v>
      </c>
      <c r="E83" s="38">
        <f t="shared" si="3"/>
        <v>48.940363583643304</v>
      </c>
      <c r="F83" s="38">
        <f t="shared" si="4"/>
        <v>-349.57567000000006</v>
      </c>
    </row>
    <row r="84" spans="1:6" s="6" customFormat="1" ht="16.5" customHeight="1">
      <c r="A84" s="30" t="s">
        <v>85</v>
      </c>
      <c r="B84" s="31" t="s">
        <v>86</v>
      </c>
      <c r="C84" s="303">
        <f>C85</f>
        <v>2221.6653999999999</v>
      </c>
      <c r="D84" s="32">
        <f>SUM(D85)</f>
        <v>789.11573999999996</v>
      </c>
      <c r="E84" s="34">
        <f t="shared" si="3"/>
        <v>35.519108322972485</v>
      </c>
      <c r="F84" s="34">
        <f t="shared" si="4"/>
        <v>-1432.5496599999999</v>
      </c>
    </row>
    <row r="85" spans="1:6" ht="14.25" customHeight="1">
      <c r="A85" s="35" t="s">
        <v>87</v>
      </c>
      <c r="B85" s="39" t="s">
        <v>233</v>
      </c>
      <c r="C85" s="302">
        <v>2221.6653999999999</v>
      </c>
      <c r="D85" s="37">
        <v>789.11573999999996</v>
      </c>
      <c r="E85" s="38">
        <f t="shared" si="3"/>
        <v>35.519108322972485</v>
      </c>
      <c r="F85" s="38">
        <f t="shared" si="4"/>
        <v>-1432.5496599999999</v>
      </c>
    </row>
    <row r="86" spans="1:6" s="6" customFormat="1" ht="12" hidden="1" customHeight="1">
      <c r="A86" s="52">
        <v>1000</v>
      </c>
      <c r="B86" s="31" t="s">
        <v>88</v>
      </c>
      <c r="C86" s="303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89</v>
      </c>
      <c r="C87" s="302"/>
      <c r="D87" s="37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90</v>
      </c>
      <c r="C88" s="302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91</v>
      </c>
      <c r="C89" s="302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92</v>
      </c>
      <c r="B90" s="39" t="s">
        <v>93</v>
      </c>
      <c r="C90" s="302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303">
        <f>C92+C93+C94+C95+C96</f>
        <v>52</v>
      </c>
      <c r="D91" s="32">
        <f>D92+D93+D94+D95+D96</f>
        <v>0</v>
      </c>
      <c r="E91" s="38">
        <f t="shared" si="3"/>
        <v>0</v>
      </c>
      <c r="F91" s="22">
        <f>F92+F93+F94+F95+F96</f>
        <v>-52</v>
      </c>
    </row>
    <row r="92" spans="1:6" ht="19.5" customHeight="1">
      <c r="A92" s="35" t="s">
        <v>96</v>
      </c>
      <c r="B92" s="39" t="s">
        <v>97</v>
      </c>
      <c r="C92" s="302">
        <v>52</v>
      </c>
      <c r="D92" s="37">
        <v>0</v>
      </c>
      <c r="E92" s="38">
        <f t="shared" si="3"/>
        <v>0</v>
      </c>
      <c r="F92" s="38">
        <f>SUM(D92-C92)</f>
        <v>-52</v>
      </c>
    </row>
    <row r="93" spans="1:6" ht="15" hidden="1" customHeight="1">
      <c r="A93" s="35" t="s">
        <v>98</v>
      </c>
      <c r="B93" s="39" t="s">
        <v>99</v>
      </c>
      <c r="C93" s="302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302"/>
      <c r="D94" s="37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302"/>
      <c r="D95" s="37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302"/>
      <c r="D96" s="189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114</v>
      </c>
      <c r="C97" s="290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115</v>
      </c>
      <c r="C98" s="302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116</v>
      </c>
      <c r="C99" s="305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117</v>
      </c>
      <c r="C100" s="305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118</v>
      </c>
      <c r="C101" s="307">
        <f>C57+C65+C67+C73+C80+C84+C86+C91+C78</f>
        <v>10525.042889999999</v>
      </c>
      <c r="D101" s="277">
        <f>D57+D65+D67+D73+D80+D84+D91+D86</f>
        <v>2329.8940199999997</v>
      </c>
      <c r="E101" s="34">
        <f t="shared" si="3"/>
        <v>22.136670076790537</v>
      </c>
      <c r="F101" s="34">
        <f t="shared" si="4"/>
        <v>-8195.1488699999991</v>
      </c>
    </row>
    <row r="102" spans="1:6" ht="5.25" customHeight="1">
      <c r="C102" s="120"/>
      <c r="D102" s="61"/>
    </row>
    <row r="103" spans="1:6" s="65" customFormat="1" ht="12.75">
      <c r="A103" s="63" t="s">
        <v>119</v>
      </c>
      <c r="B103" s="63"/>
      <c r="C103" s="116"/>
      <c r="D103" s="64"/>
    </row>
    <row r="104" spans="1:6" s="65" customFormat="1" ht="12.75">
      <c r="A104" s="66" t="s">
        <v>120</v>
      </c>
      <c r="B104" s="66"/>
      <c r="C104" s="65" t="s">
        <v>121</v>
      </c>
    </row>
    <row r="105" spans="1:6">
      <c r="C105" s="120"/>
    </row>
    <row r="143" hidden="1"/>
  </sheetData>
  <customSheetViews>
    <customSheetView guid="{B30CE22D-C12F-4E12-8BB9-3AAE0A6991CC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8"/>
    </customSheetView>
    <customSheetView guid="{61528DAC-5C4C-48F4-ADE2-8A724B05A086}" scale="70" showPageBreaks="1" fitToPage="1" printArea="1" hiddenRows="1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SheetLayoutView="70" workbookViewId="0">
      <selection activeCell="D46" sqref="D4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54" t="s">
        <v>428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207">
        <f>C5+C12+C14+C17+C20+C7</f>
        <v>4380.491</v>
      </c>
      <c r="D4" s="207">
        <f>D5+D12+D14+D17+D20+D7</f>
        <v>1082.70425</v>
      </c>
      <c r="E4" s="5">
        <f>SUM(D4/C4*100)</f>
        <v>24.716504382727873</v>
      </c>
      <c r="F4" s="5">
        <f>SUM(D4-C4)</f>
        <v>-3297.7867500000002</v>
      </c>
    </row>
    <row r="5" spans="1:6" s="6" customFormat="1">
      <c r="A5" s="68">
        <v>1010000000</v>
      </c>
      <c r="B5" s="67" t="s">
        <v>5</v>
      </c>
      <c r="C5" s="207">
        <f>C6</f>
        <v>452.03100000000001</v>
      </c>
      <c r="D5" s="207">
        <f>D6</f>
        <v>203.05742000000001</v>
      </c>
      <c r="E5" s="5">
        <f t="shared" ref="E5:E50" si="0">SUM(D5/C5*100)</f>
        <v>44.921127090841118</v>
      </c>
      <c r="F5" s="5">
        <f t="shared" ref="F5:F50" si="1">SUM(D5-C5)</f>
        <v>-248.97358</v>
      </c>
    </row>
    <row r="6" spans="1:6">
      <c r="A6" s="7">
        <v>1010200001</v>
      </c>
      <c r="B6" s="8" t="s">
        <v>228</v>
      </c>
      <c r="C6" s="234">
        <v>452.03100000000001</v>
      </c>
      <c r="D6" s="235">
        <v>203.05742000000001</v>
      </c>
      <c r="E6" s="9">
        <f t="shared" ref="E6:E11" si="2">SUM(D6/C6*100)</f>
        <v>44.921127090841118</v>
      </c>
      <c r="F6" s="9">
        <f t="shared" si="1"/>
        <v>-248.97358</v>
      </c>
    </row>
    <row r="7" spans="1:6" ht="31.5">
      <c r="A7" s="3">
        <v>1030000000</v>
      </c>
      <c r="B7" s="13" t="s">
        <v>280</v>
      </c>
      <c r="C7" s="294">
        <f>C8+C10+C9</f>
        <v>715.46</v>
      </c>
      <c r="D7" s="207">
        <f>D8+D10+D9+D11</f>
        <v>410.40846999999991</v>
      </c>
      <c r="E7" s="5">
        <f t="shared" si="2"/>
        <v>57.362881223268936</v>
      </c>
      <c r="F7" s="5">
        <f t="shared" si="1"/>
        <v>-305.05153000000013</v>
      </c>
    </row>
    <row r="8" spans="1:6">
      <c r="A8" s="7">
        <v>1030223001</v>
      </c>
      <c r="B8" s="8" t="s">
        <v>282</v>
      </c>
      <c r="C8" s="234">
        <v>266.87</v>
      </c>
      <c r="D8" s="235">
        <v>186.30819</v>
      </c>
      <c r="E8" s="9">
        <f t="shared" si="2"/>
        <v>69.812339341252297</v>
      </c>
      <c r="F8" s="9">
        <f t="shared" si="1"/>
        <v>-80.561810000000008</v>
      </c>
    </row>
    <row r="9" spans="1:6">
      <c r="A9" s="7">
        <v>1030224001</v>
      </c>
      <c r="B9" s="8" t="s">
        <v>288</v>
      </c>
      <c r="C9" s="234">
        <v>2.86</v>
      </c>
      <c r="D9" s="235">
        <v>1.4135500000000001</v>
      </c>
      <c r="E9" s="9">
        <f t="shared" si="2"/>
        <v>49.42482517482518</v>
      </c>
      <c r="F9" s="9">
        <f t="shared" si="1"/>
        <v>-1.4464499999999998</v>
      </c>
    </row>
    <row r="10" spans="1:6">
      <c r="A10" s="7">
        <v>1030225001</v>
      </c>
      <c r="B10" s="8" t="s">
        <v>281</v>
      </c>
      <c r="C10" s="234">
        <v>445.73</v>
      </c>
      <c r="D10" s="235">
        <v>258.17426999999998</v>
      </c>
      <c r="E10" s="9">
        <f t="shared" si="2"/>
        <v>57.921672312835113</v>
      </c>
      <c r="F10" s="9">
        <f t="shared" si="1"/>
        <v>-187.55573000000004</v>
      </c>
    </row>
    <row r="11" spans="1:6">
      <c r="A11" s="7">
        <v>1030226001</v>
      </c>
      <c r="B11" s="8" t="s">
        <v>289</v>
      </c>
      <c r="C11" s="234">
        <v>0</v>
      </c>
      <c r="D11" s="233">
        <v>-35.487540000000003</v>
      </c>
      <c r="E11" s="9" t="e">
        <f t="shared" si="2"/>
        <v>#DIV/0!</v>
      </c>
      <c r="F11" s="9">
        <f t="shared" si="1"/>
        <v>-35.487540000000003</v>
      </c>
    </row>
    <row r="12" spans="1:6" s="6" customFormat="1">
      <c r="A12" s="68">
        <v>1050000000</v>
      </c>
      <c r="B12" s="67" t="s">
        <v>6</v>
      </c>
      <c r="C12" s="207">
        <f>SUM(C13:C13)</f>
        <v>50</v>
      </c>
      <c r="D12" s="207">
        <f>D13</f>
        <v>26.8843</v>
      </c>
      <c r="E12" s="5">
        <f t="shared" si="0"/>
        <v>53.768599999999999</v>
      </c>
      <c r="F12" s="5">
        <f t="shared" si="1"/>
        <v>-23.1157</v>
      </c>
    </row>
    <row r="13" spans="1:6" ht="15.75" customHeight="1">
      <c r="A13" s="7">
        <v>1050300000</v>
      </c>
      <c r="B13" s="11" t="s">
        <v>229</v>
      </c>
      <c r="C13" s="236">
        <v>50</v>
      </c>
      <c r="D13" s="235">
        <v>26.8843</v>
      </c>
      <c r="E13" s="9">
        <f t="shared" si="0"/>
        <v>53.768599999999999</v>
      </c>
      <c r="F13" s="9">
        <f t="shared" si="1"/>
        <v>-23.1157</v>
      </c>
    </row>
    <row r="14" spans="1:6" s="6" customFormat="1" ht="15.75" customHeight="1">
      <c r="A14" s="68">
        <v>1060000000</v>
      </c>
      <c r="B14" s="67" t="s">
        <v>135</v>
      </c>
      <c r="C14" s="207">
        <f>C15+C16</f>
        <v>3138</v>
      </c>
      <c r="D14" s="207">
        <f>D15+D16</f>
        <v>431.15406000000002</v>
      </c>
      <c r="E14" s="5">
        <f t="shared" si="0"/>
        <v>13.739772466539197</v>
      </c>
      <c r="F14" s="5">
        <f t="shared" si="1"/>
        <v>-2706.8459400000002</v>
      </c>
    </row>
    <row r="15" spans="1:6" s="6" customFormat="1" ht="15.75" customHeight="1">
      <c r="A15" s="7">
        <v>1060100000</v>
      </c>
      <c r="B15" s="11" t="s">
        <v>8</v>
      </c>
      <c r="C15" s="234">
        <v>338</v>
      </c>
      <c r="D15" s="235">
        <v>36.755789999999998</v>
      </c>
      <c r="E15" s="9">
        <f t="shared" si="0"/>
        <v>10.874494082840236</v>
      </c>
      <c r="F15" s="9">
        <f>SUM(D15-C15)</f>
        <v>-301.24421000000001</v>
      </c>
    </row>
    <row r="16" spans="1:6" ht="15.75" customHeight="1">
      <c r="A16" s="7">
        <v>1060600000</v>
      </c>
      <c r="B16" s="11" t="s">
        <v>7</v>
      </c>
      <c r="C16" s="234">
        <v>2800</v>
      </c>
      <c r="D16" s="235">
        <v>394.39827000000002</v>
      </c>
      <c r="E16" s="9">
        <f t="shared" si="0"/>
        <v>14.085652500000002</v>
      </c>
      <c r="F16" s="9">
        <f t="shared" si="1"/>
        <v>-2405.6017299999999</v>
      </c>
    </row>
    <row r="17" spans="1:6" s="6" customFormat="1">
      <c r="A17" s="3">
        <v>1080000000</v>
      </c>
      <c r="B17" s="4" t="s">
        <v>10</v>
      </c>
      <c r="C17" s="207">
        <f>C18</f>
        <v>25</v>
      </c>
      <c r="D17" s="207">
        <f>D18</f>
        <v>11.2</v>
      </c>
      <c r="E17" s="5">
        <f t="shared" si="0"/>
        <v>44.8</v>
      </c>
      <c r="F17" s="5">
        <f t="shared" si="1"/>
        <v>-13.8</v>
      </c>
    </row>
    <row r="18" spans="1:6" ht="18" customHeight="1">
      <c r="A18" s="7">
        <v>1080400001</v>
      </c>
      <c r="B18" s="8" t="s">
        <v>227</v>
      </c>
      <c r="C18" s="234">
        <v>25</v>
      </c>
      <c r="D18" s="235">
        <v>11.2</v>
      </c>
      <c r="E18" s="9">
        <f t="shared" si="0"/>
        <v>44.8</v>
      </c>
      <c r="F18" s="9">
        <f t="shared" si="1"/>
        <v>-13.8</v>
      </c>
    </row>
    <row r="19" spans="1:6" ht="47.25" hidden="1" customHeight="1">
      <c r="A19" s="7">
        <v>1080714001</v>
      </c>
      <c r="B19" s="8" t="s">
        <v>11</v>
      </c>
      <c r="C19" s="234"/>
      <c r="D19" s="23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207">
        <f>C21+C22+C23+C24</f>
        <v>0</v>
      </c>
      <c r="D20" s="20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207"/>
      <c r="D21" s="23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207"/>
      <c r="D22" s="23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207"/>
      <c r="D23" s="23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207"/>
      <c r="D24" s="23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207">
        <f>C26+C29+C31+C36</f>
        <v>40</v>
      </c>
      <c r="D25" s="93">
        <f>D26+D29+D31+D36+D34</f>
        <v>139.18119999999999</v>
      </c>
      <c r="E25" s="5">
        <f t="shared" si="0"/>
        <v>347.95299999999997</v>
      </c>
      <c r="F25" s="5">
        <f t="shared" si="1"/>
        <v>99.18119999999999</v>
      </c>
    </row>
    <row r="26" spans="1:6" s="6" customFormat="1" ht="30" customHeight="1">
      <c r="A26" s="68">
        <v>1110000000</v>
      </c>
      <c r="B26" s="69" t="s">
        <v>128</v>
      </c>
      <c r="C26" s="207">
        <f>C27+C28</f>
        <v>40</v>
      </c>
      <c r="D26" s="93">
        <f>D27+D28</f>
        <v>94.560379999999995</v>
      </c>
      <c r="E26" s="5">
        <f t="shared" si="0"/>
        <v>236.40094999999999</v>
      </c>
      <c r="F26" s="5">
        <f t="shared" si="1"/>
        <v>54.560379999999995</v>
      </c>
    </row>
    <row r="27" spans="1:6" ht="15" customHeight="1">
      <c r="A27" s="16">
        <v>1110502510</v>
      </c>
      <c r="B27" s="17" t="s">
        <v>225</v>
      </c>
      <c r="C27" s="236">
        <v>40</v>
      </c>
      <c r="D27" s="233">
        <v>94.560379999999995</v>
      </c>
      <c r="E27" s="9">
        <f t="shared" si="0"/>
        <v>236.40094999999999</v>
      </c>
      <c r="F27" s="9">
        <f t="shared" si="1"/>
        <v>54.560379999999995</v>
      </c>
    </row>
    <row r="28" spans="1:6" ht="15.75" customHeight="1">
      <c r="A28" s="7">
        <v>1110503505</v>
      </c>
      <c r="B28" s="11" t="s">
        <v>224</v>
      </c>
      <c r="C28" s="236">
        <v>0</v>
      </c>
      <c r="D28" s="235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207">
        <f>C30</f>
        <v>0</v>
      </c>
      <c r="D29" s="207">
        <f>D30</f>
        <v>30.22082</v>
      </c>
      <c r="E29" s="5" t="e">
        <f t="shared" si="0"/>
        <v>#DIV/0!</v>
      </c>
      <c r="F29" s="5">
        <f t="shared" si="1"/>
        <v>30.22082</v>
      </c>
    </row>
    <row r="30" spans="1:6" ht="17.25" customHeight="1">
      <c r="A30" s="7">
        <v>1130206005</v>
      </c>
      <c r="B30" s="8" t="s">
        <v>223</v>
      </c>
      <c r="C30" s="234">
        <v>0</v>
      </c>
      <c r="D30" s="235">
        <v>30.22082</v>
      </c>
      <c r="E30" s="9" t="e">
        <f t="shared" si="0"/>
        <v>#DIV/0!</v>
      </c>
      <c r="F30" s="9">
        <f t="shared" si="1"/>
        <v>30.22082</v>
      </c>
    </row>
    <row r="31" spans="1:6" ht="28.5" hidden="1">
      <c r="A31" s="70">
        <v>1140000000</v>
      </c>
      <c r="B31" s="71" t="s">
        <v>131</v>
      </c>
      <c r="C31" s="207">
        <f>C32+C33</f>
        <v>0</v>
      </c>
      <c r="D31" s="207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234">
        <v>0</v>
      </c>
      <c r="D32" s="235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234">
        <v>0</v>
      </c>
      <c r="D33" s="235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251</v>
      </c>
      <c r="C34" s="207">
        <f>C35</f>
        <v>0</v>
      </c>
      <c r="D34" s="207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267</v>
      </c>
      <c r="C35" s="234">
        <v>0</v>
      </c>
      <c r="D35" s="235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134</v>
      </c>
      <c r="C36" s="207">
        <f>C37+C38</f>
        <v>0</v>
      </c>
      <c r="D36" s="93">
        <f>D37</f>
        <v>14.4</v>
      </c>
      <c r="E36" s="5" t="e">
        <f t="shared" si="0"/>
        <v>#DIV/0!</v>
      </c>
      <c r="F36" s="5">
        <f t="shared" si="1"/>
        <v>14.4</v>
      </c>
    </row>
    <row r="37" spans="1:7" ht="19.5" customHeight="1">
      <c r="A37" s="7">
        <v>1170105005</v>
      </c>
      <c r="B37" s="8" t="s">
        <v>17</v>
      </c>
      <c r="C37" s="234">
        <f>C38</f>
        <v>0</v>
      </c>
      <c r="D37" s="244">
        <v>14.4</v>
      </c>
      <c r="E37" s="9" t="e">
        <f t="shared" si="0"/>
        <v>#DIV/0!</v>
      </c>
      <c r="F37" s="9">
        <f t="shared" si="1"/>
        <v>14.4</v>
      </c>
    </row>
    <row r="38" spans="1:7" ht="17.25" hidden="1" customHeight="1">
      <c r="A38" s="7">
        <v>1170505005</v>
      </c>
      <c r="B38" s="11" t="s">
        <v>220</v>
      </c>
      <c r="C38" s="234">
        <v>0</v>
      </c>
      <c r="D38" s="23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238">
        <f>SUM(C4,C25)</f>
        <v>4420.491</v>
      </c>
      <c r="D39" s="238">
        <f>D4+D25</f>
        <v>1221.88545</v>
      </c>
      <c r="E39" s="5">
        <f t="shared" si="0"/>
        <v>27.641396623135307</v>
      </c>
      <c r="F39" s="5">
        <f t="shared" si="1"/>
        <v>-3198.6055500000002</v>
      </c>
    </row>
    <row r="40" spans="1:7" s="6" customFormat="1">
      <c r="A40" s="3">
        <v>2000000000</v>
      </c>
      <c r="B40" s="4" t="s">
        <v>19</v>
      </c>
      <c r="C40" s="278">
        <f>C41+C43+C45+C46+C47+C48+C42+C44</f>
        <v>4602.7895800000006</v>
      </c>
      <c r="D40" s="207">
        <f>D41+D43+D45+D46+D47+D48+D42</f>
        <v>1686.019</v>
      </c>
      <c r="E40" s="5">
        <f t="shared" si="0"/>
        <v>36.630373183385885</v>
      </c>
      <c r="F40" s="5">
        <f t="shared" si="1"/>
        <v>-2916.7705800000003</v>
      </c>
      <c r="G40" s="19"/>
    </row>
    <row r="41" spans="1:7">
      <c r="A41" s="16">
        <v>2021000000</v>
      </c>
      <c r="B41" s="17" t="s">
        <v>20</v>
      </c>
      <c r="C41" s="239">
        <v>1151.0999999999999</v>
      </c>
      <c r="D41" s="240">
        <v>1101.0999999999999</v>
      </c>
      <c r="E41" s="9">
        <f t="shared" si="0"/>
        <v>95.656328729041789</v>
      </c>
      <c r="F41" s="9">
        <f t="shared" si="1"/>
        <v>-50</v>
      </c>
    </row>
    <row r="42" spans="1:7" ht="17.25" hidden="1" customHeight="1">
      <c r="A42" s="16">
        <v>2021500200</v>
      </c>
      <c r="B42" s="17" t="s">
        <v>231</v>
      </c>
      <c r="C42" s="239">
        <v>0</v>
      </c>
      <c r="D42" s="24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21</v>
      </c>
      <c r="C43" s="239">
        <v>2973.0091900000002</v>
      </c>
      <c r="D43" s="235">
        <v>361.47</v>
      </c>
      <c r="E43" s="9">
        <f t="shared" si="0"/>
        <v>12.158388249045405</v>
      </c>
      <c r="F43" s="9">
        <f t="shared" si="1"/>
        <v>-2611.5391900000004</v>
      </c>
    </row>
    <row r="44" spans="1:7" ht="15.75" customHeight="1">
      <c r="A44" s="16">
        <v>2022999910</v>
      </c>
      <c r="B44" s="18" t="s">
        <v>349</v>
      </c>
      <c r="C44" s="239">
        <v>0</v>
      </c>
      <c r="D44" s="235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22</v>
      </c>
      <c r="C45" s="236">
        <v>182.38900000000001</v>
      </c>
      <c r="D45" s="241">
        <v>89.649000000000001</v>
      </c>
      <c r="E45" s="9">
        <f t="shared" si="0"/>
        <v>49.15263530147103</v>
      </c>
      <c r="F45" s="9">
        <f t="shared" si="1"/>
        <v>-92.740000000000009</v>
      </c>
    </row>
    <row r="46" spans="1:7" ht="17.25" customHeight="1">
      <c r="A46" s="16">
        <v>2020400000</v>
      </c>
      <c r="B46" s="17" t="s">
        <v>23</v>
      </c>
      <c r="C46" s="236">
        <v>293.8</v>
      </c>
      <c r="D46" s="242">
        <v>133.80000000000001</v>
      </c>
      <c r="E46" s="9">
        <f t="shared" si="0"/>
        <v>45.541184479237579</v>
      </c>
      <c r="F46" s="9">
        <f t="shared" si="1"/>
        <v>-160</v>
      </c>
    </row>
    <row r="47" spans="1:7" ht="17.25" customHeight="1">
      <c r="A47" s="7">
        <v>2070500010</v>
      </c>
      <c r="B47" s="17" t="s">
        <v>356</v>
      </c>
      <c r="C47" s="236">
        <v>2.49139</v>
      </c>
      <c r="D47" s="242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25</v>
      </c>
      <c r="C48" s="237"/>
      <c r="D48" s="237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26</v>
      </c>
      <c r="C49" s="243">
        <v>0</v>
      </c>
      <c r="D49" s="23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27</v>
      </c>
      <c r="C50" s="267">
        <f>C39+C40</f>
        <v>9023.2805800000006</v>
      </c>
      <c r="D50" s="265">
        <f>D39+D40</f>
        <v>2907.90445</v>
      </c>
      <c r="E50" s="207">
        <f t="shared" si="0"/>
        <v>32.226687668843383</v>
      </c>
      <c r="F50" s="93">
        <f t="shared" si="1"/>
        <v>-6115.3761300000006</v>
      </c>
      <c r="G50" s="151"/>
      <c r="H50" s="213"/>
    </row>
    <row r="51" spans="1:8" s="6" customFormat="1">
      <c r="A51" s="3"/>
      <c r="B51" s="21" t="s">
        <v>320</v>
      </c>
      <c r="C51" s="93">
        <f>C50-C97</f>
        <v>-906.38554999999906</v>
      </c>
      <c r="D51" s="93">
        <f>D50-D97</f>
        <v>-598.08119999999963</v>
      </c>
      <c r="E51" s="32"/>
      <c r="F51" s="32"/>
    </row>
    <row r="52" spans="1:8">
      <c r="A52" s="23"/>
      <c r="B52" s="24"/>
      <c r="C52" s="231"/>
      <c r="D52" s="231"/>
      <c r="E52" s="26"/>
      <c r="F52" s="27"/>
    </row>
    <row r="53" spans="1:8" ht="45.75" customHeight="1">
      <c r="A53" s="28" t="s">
        <v>0</v>
      </c>
      <c r="B53" s="28" t="s">
        <v>28</v>
      </c>
      <c r="C53" s="192" t="s">
        <v>411</v>
      </c>
      <c r="D53" s="193" t="s">
        <v>424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29</v>
      </c>
      <c r="B55" s="31" t="s">
        <v>30</v>
      </c>
      <c r="C55" s="32">
        <f>C56+C57+C58+C59+C60+C62+C61</f>
        <v>1662.1209999999999</v>
      </c>
      <c r="D55" s="32">
        <f>D56+D57+D58+D59+D60+D62+D61</f>
        <v>680.77819999999997</v>
      </c>
      <c r="E55" s="34">
        <f>SUM(D55/C55*100)</f>
        <v>40.958401945466065</v>
      </c>
      <c r="F55" s="34">
        <f>SUM(D55-C55)</f>
        <v>-981.3427999999999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8"/>
      <c r="F56" s="38"/>
    </row>
    <row r="57" spans="1:8" ht="15.75" customHeight="1">
      <c r="A57" s="35" t="s">
        <v>33</v>
      </c>
      <c r="B57" s="39" t="s">
        <v>34</v>
      </c>
      <c r="C57" s="37">
        <v>1582.0709999999999</v>
      </c>
      <c r="D57" s="37">
        <v>625.72820000000002</v>
      </c>
      <c r="E57" s="38">
        <f t="shared" ref="E57:E69" si="3">SUM(D57/C57*100)</f>
        <v>39.551208510869614</v>
      </c>
      <c r="F57" s="38">
        <f t="shared" ref="F57:F69" si="4">SUM(D57-C57)</f>
        <v>-956.3427999999999</v>
      </c>
    </row>
    <row r="58" spans="1:8" ht="0.75" hidden="1" customHeight="1">
      <c r="A58" s="35" t="s">
        <v>35</v>
      </c>
      <c r="B58" s="39" t="s">
        <v>36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41</v>
      </c>
      <c r="B61" s="39" t="s">
        <v>42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43</v>
      </c>
      <c r="B62" s="39" t="s">
        <v>44</v>
      </c>
      <c r="C62" s="37">
        <v>75.05</v>
      </c>
      <c r="D62" s="37">
        <v>55.05</v>
      </c>
      <c r="E62" s="38">
        <f t="shared" si="3"/>
        <v>73.351099267155234</v>
      </c>
      <c r="F62" s="38">
        <f t="shared" si="4"/>
        <v>-20</v>
      </c>
    </row>
    <row r="63" spans="1:8" s="6" customFormat="1">
      <c r="A63" s="41" t="s">
        <v>45</v>
      </c>
      <c r="B63" s="42" t="s">
        <v>46</v>
      </c>
      <c r="C63" s="32">
        <f>C64</f>
        <v>179.892</v>
      </c>
      <c r="D63" s="32">
        <f>D64</f>
        <v>78.58493</v>
      </c>
      <c r="E63" s="34">
        <f t="shared" si="3"/>
        <v>43.684505147532967</v>
      </c>
      <c r="F63" s="34">
        <f t="shared" si="4"/>
        <v>-101.30707</v>
      </c>
    </row>
    <row r="64" spans="1:8">
      <c r="A64" s="43" t="s">
        <v>47</v>
      </c>
      <c r="B64" s="44" t="s">
        <v>48</v>
      </c>
      <c r="C64" s="37">
        <v>179.892</v>
      </c>
      <c r="D64" s="37">
        <v>78.58493</v>
      </c>
      <c r="E64" s="38">
        <f t="shared" si="3"/>
        <v>43.684505147532967</v>
      </c>
      <c r="F64" s="38">
        <f t="shared" si="4"/>
        <v>-101.30707</v>
      </c>
    </row>
    <row r="65" spans="1:7" s="6" customFormat="1" ht="15.75" customHeight="1">
      <c r="A65" s="30" t="s">
        <v>49</v>
      </c>
      <c r="B65" s="31" t="s">
        <v>50</v>
      </c>
      <c r="C65" s="32">
        <f>C68+C69+C70</f>
        <v>6.8</v>
      </c>
      <c r="D65" s="32">
        <f>D68+D69</f>
        <v>0.6</v>
      </c>
      <c r="E65" s="34">
        <f t="shared" si="3"/>
        <v>8.8235294117647065</v>
      </c>
      <c r="F65" s="34">
        <f t="shared" si="4"/>
        <v>-6.2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3"/>
        <v>0</v>
      </c>
      <c r="F68" s="34">
        <f t="shared" si="4"/>
        <v>-2.4</v>
      </c>
    </row>
    <row r="69" spans="1:7" s="6" customFormat="1" ht="15.75" customHeight="1">
      <c r="A69" s="46" t="s">
        <v>218</v>
      </c>
      <c r="B69" s="47" t="s">
        <v>219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 s="6" customFormat="1" ht="15.75" customHeight="1">
      <c r="A70" s="46" t="s">
        <v>357</v>
      </c>
      <c r="B70" s="47" t="s">
        <v>413</v>
      </c>
      <c r="C70" s="37">
        <v>2</v>
      </c>
      <c r="D70" s="37"/>
      <c r="E70" s="38"/>
      <c r="F70" s="38"/>
    </row>
    <row r="71" spans="1:7">
      <c r="A71" s="30" t="s">
        <v>57</v>
      </c>
      <c r="B71" s="31" t="s">
        <v>58</v>
      </c>
      <c r="C71" s="48">
        <f>SUM(C72:C75)</f>
        <v>4768.7961299999997</v>
      </c>
      <c r="D71" s="48">
        <f>SUM(D72:D75)</f>
        <v>1606.55945</v>
      </c>
      <c r="E71" s="34">
        <f t="shared" ref="E71:E86" si="5">SUM(D71/C71*100)</f>
        <v>33.688994165493924</v>
      </c>
      <c r="F71" s="34">
        <f t="shared" ref="F71:F86" si="6">SUM(D71-C71)</f>
        <v>-3162.23668</v>
      </c>
    </row>
    <row r="72" spans="1:7" s="6" customFormat="1" ht="17.25" customHeight="1">
      <c r="A72" s="35" t="s">
        <v>59</v>
      </c>
      <c r="B72" s="39" t="s">
        <v>60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61</v>
      </c>
      <c r="B73" s="39" t="s">
        <v>62</v>
      </c>
      <c r="C73" s="49">
        <v>452</v>
      </c>
      <c r="D73" s="37">
        <v>363.82026000000002</v>
      </c>
      <c r="E73" s="38">
        <f t="shared" si="5"/>
        <v>80.49120796460177</v>
      </c>
      <c r="F73" s="38">
        <f t="shared" si="6"/>
        <v>-88.179739999999981</v>
      </c>
    </row>
    <row r="74" spans="1:7">
      <c r="A74" s="35" t="s">
        <v>63</v>
      </c>
      <c r="B74" s="39" t="s">
        <v>64</v>
      </c>
      <c r="C74" s="49">
        <v>4084.89363</v>
      </c>
      <c r="D74" s="37">
        <v>1234.3391899999999</v>
      </c>
      <c r="E74" s="38">
        <f t="shared" si="5"/>
        <v>30.217168470063683</v>
      </c>
      <c r="F74" s="38">
        <f t="shared" si="6"/>
        <v>-2850.5544399999999</v>
      </c>
    </row>
    <row r="75" spans="1:7" s="6" customFormat="1">
      <c r="A75" s="35" t="s">
        <v>65</v>
      </c>
      <c r="B75" s="39" t="s">
        <v>66</v>
      </c>
      <c r="C75" s="49">
        <v>225.2</v>
      </c>
      <c r="D75" s="37">
        <v>8.4</v>
      </c>
      <c r="E75" s="38">
        <f t="shared" si="5"/>
        <v>3.7300177619893433</v>
      </c>
      <c r="F75" s="38">
        <f t="shared" si="6"/>
        <v>-216.79999999999998</v>
      </c>
    </row>
    <row r="76" spans="1:7" ht="17.25" customHeight="1">
      <c r="A76" s="30" t="s">
        <v>67</v>
      </c>
      <c r="B76" s="31" t="s">
        <v>68</v>
      </c>
      <c r="C76" s="32">
        <f>SUM(C77:C79)</f>
        <v>1023.457</v>
      </c>
      <c r="D76" s="32">
        <f>SUM(D77:D79)</f>
        <v>572.46307000000002</v>
      </c>
      <c r="E76" s="34">
        <f t="shared" si="5"/>
        <v>55.934257130490096</v>
      </c>
      <c r="F76" s="34">
        <f t="shared" si="6"/>
        <v>-450.99392999999998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73</v>
      </c>
      <c r="B79" s="39" t="s">
        <v>74</v>
      </c>
      <c r="C79" s="37">
        <v>1023.457</v>
      </c>
      <c r="D79" s="37">
        <v>572.46307000000002</v>
      </c>
      <c r="E79" s="38">
        <f t="shared" si="5"/>
        <v>55.934257130490096</v>
      </c>
      <c r="F79" s="38">
        <f t="shared" si="6"/>
        <v>-450.99392999999998</v>
      </c>
    </row>
    <row r="80" spans="1:7">
      <c r="A80" s="30" t="s">
        <v>85</v>
      </c>
      <c r="B80" s="31" t="s">
        <v>86</v>
      </c>
      <c r="C80" s="32">
        <f>C81</f>
        <v>2287.6</v>
      </c>
      <c r="D80" s="32">
        <f>D81</f>
        <v>567</v>
      </c>
      <c r="E80" s="34">
        <f t="shared" si="5"/>
        <v>24.785801713586292</v>
      </c>
      <c r="F80" s="34">
        <f t="shared" si="6"/>
        <v>-1720.6</v>
      </c>
    </row>
    <row r="81" spans="1:6" s="6" customFormat="1" ht="15" customHeight="1">
      <c r="A81" s="35" t="s">
        <v>87</v>
      </c>
      <c r="B81" s="39" t="s">
        <v>233</v>
      </c>
      <c r="C81" s="37">
        <v>2287.6</v>
      </c>
      <c r="D81" s="37">
        <v>567</v>
      </c>
      <c r="E81" s="38">
        <f t="shared" si="5"/>
        <v>24.785801713586292</v>
      </c>
      <c r="F81" s="38">
        <f t="shared" si="6"/>
        <v>-1720.6</v>
      </c>
    </row>
    <row r="82" spans="1:6" ht="20.2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89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91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92</v>
      </c>
      <c r="B86" s="39" t="s">
        <v>93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94</v>
      </c>
      <c r="B87" s="31" t="s">
        <v>95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96</v>
      </c>
      <c r="B88" s="39" t="s">
        <v>97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98</v>
      </c>
      <c r="B89" s="39" t="s">
        <v>99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100</v>
      </c>
      <c r="B90" s="39" t="s">
        <v>101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102</v>
      </c>
      <c r="B91" s="39" t="s">
        <v>103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104</v>
      </c>
      <c r="B92" s="39" t="s">
        <v>105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115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116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117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118</v>
      </c>
      <c r="C97" s="267">
        <f>C55+C63+C65+C71+C76+C80+C82+C87+C93</f>
        <v>9929.6661299999996</v>
      </c>
      <c r="D97" s="275">
        <f>D55+D63+D65+D71+D76+D80+D82+D87+D93</f>
        <v>3505.9856499999996</v>
      </c>
      <c r="E97" s="34">
        <f t="shared" si="7"/>
        <v>35.308192683413012</v>
      </c>
      <c r="F97" s="34">
        <f>SUM(D97-C97)</f>
        <v>-6423.68048</v>
      </c>
    </row>
    <row r="98" spans="1:6" s="65" customFormat="1" ht="22.5" customHeight="1">
      <c r="A98" s="63" t="s">
        <v>119</v>
      </c>
      <c r="B98" s="63"/>
      <c r="C98" s="198"/>
      <c r="D98" s="198"/>
    </row>
    <row r="99" spans="1:6" ht="16.5" customHeight="1">
      <c r="A99" s="66" t="s">
        <v>120</v>
      </c>
      <c r="B99" s="66"/>
      <c r="C99" s="198" t="s">
        <v>121</v>
      </c>
      <c r="D99" s="198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B30CE22D-C12F-4E12-8BB9-3AAE0A6991CC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5">
      <selection activeCell="D51" sqref="D51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8"/>
    </customSheetView>
    <customSheetView guid="{61528DAC-5C4C-48F4-ADE2-8A724B05A086}" scale="70" showPageBreaks="1" hiddenRows="1" view="pageBreakPreview" topLeftCell="A13">
      <selection activeCell="C75" sqref="C7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28" zoomScale="70" zoomScaleSheetLayoutView="70" workbookViewId="0">
      <selection activeCell="B34" sqref="B34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4" t="s">
        <v>429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4744.2569999999996</v>
      </c>
      <c r="D4" s="5">
        <f>D5+D12+D14+D7+D20+D17</f>
        <v>1630.8715000000002</v>
      </c>
      <c r="E4" s="5">
        <f>SUM(D4/C4*100)</f>
        <v>34.375698871287966</v>
      </c>
      <c r="F4" s="5">
        <f>SUM(D4-C4)</f>
        <v>-3113.3854999999994</v>
      </c>
    </row>
    <row r="5" spans="1:6" s="6" customFormat="1">
      <c r="A5" s="68">
        <v>1010000000</v>
      </c>
      <c r="B5" s="67" t="s">
        <v>5</v>
      </c>
      <c r="C5" s="5">
        <f>C6</f>
        <v>1755.837</v>
      </c>
      <c r="D5" s="5">
        <f>D6</f>
        <v>825.33326</v>
      </c>
      <c r="E5" s="5">
        <f t="shared" ref="E5:E51" si="0">SUM(D5/C5*100)</f>
        <v>47.005118356658393</v>
      </c>
      <c r="F5" s="5">
        <f t="shared" ref="F5:F51" si="1">SUM(D5-C5)</f>
        <v>-930.50373999999999</v>
      </c>
    </row>
    <row r="6" spans="1:6">
      <c r="A6" s="7">
        <v>1010200001</v>
      </c>
      <c r="B6" s="8" t="s">
        <v>228</v>
      </c>
      <c r="C6" s="91">
        <v>1755.837</v>
      </c>
      <c r="D6" s="10">
        <v>825.33326</v>
      </c>
      <c r="E6" s="9">
        <f t="shared" ref="E6:E11" si="2">SUM(D6/C6*100)</f>
        <v>47.005118356658393</v>
      </c>
      <c r="F6" s="9">
        <f t="shared" si="1"/>
        <v>-930.50373999999999</v>
      </c>
    </row>
    <row r="7" spans="1:6">
      <c r="A7" s="3">
        <v>1030200001</v>
      </c>
      <c r="B7" s="13" t="s">
        <v>278</v>
      </c>
      <c r="C7" s="5">
        <f>C8+C10+C9</f>
        <v>353.42</v>
      </c>
      <c r="D7" s="5">
        <f>D8+D9+D10+D11</f>
        <v>202.73189000000002</v>
      </c>
      <c r="E7" s="9">
        <f t="shared" si="2"/>
        <v>57.36287985965707</v>
      </c>
      <c r="F7" s="9">
        <f t="shared" si="1"/>
        <v>-150.68810999999999</v>
      </c>
    </row>
    <row r="8" spans="1:6">
      <c r="A8" s="7">
        <v>1030223001</v>
      </c>
      <c r="B8" s="8" t="s">
        <v>282</v>
      </c>
      <c r="C8" s="9">
        <v>131.83000000000001</v>
      </c>
      <c r="D8" s="10">
        <v>92.031739999999999</v>
      </c>
      <c r="E8" s="9">
        <f t="shared" si="2"/>
        <v>69.810923158613363</v>
      </c>
      <c r="F8" s="9">
        <f t="shared" si="1"/>
        <v>-39.798260000000013</v>
      </c>
    </row>
    <row r="9" spans="1:6">
      <c r="A9" s="7">
        <v>1030224001</v>
      </c>
      <c r="B9" s="8" t="s">
        <v>288</v>
      </c>
      <c r="C9" s="9">
        <v>1.41</v>
      </c>
      <c r="D9" s="10">
        <v>0.69825999999999999</v>
      </c>
      <c r="E9" s="9">
        <f t="shared" si="2"/>
        <v>49.521985815602839</v>
      </c>
      <c r="F9" s="9">
        <f t="shared" si="1"/>
        <v>-0.71173999999999993</v>
      </c>
    </row>
    <row r="10" spans="1:6">
      <c r="A10" s="7">
        <v>1030225001</v>
      </c>
      <c r="B10" s="8" t="s">
        <v>281</v>
      </c>
      <c r="C10" s="9">
        <v>220.18</v>
      </c>
      <c r="D10" s="10">
        <v>127.53185999999999</v>
      </c>
      <c r="E10" s="9">
        <f t="shared" si="2"/>
        <v>57.921636842583332</v>
      </c>
      <c r="F10" s="9">
        <f t="shared" si="1"/>
        <v>-92.648140000000012</v>
      </c>
    </row>
    <row r="11" spans="1:6">
      <c r="A11" s="7">
        <v>1030226001</v>
      </c>
      <c r="B11" s="8" t="s">
        <v>290</v>
      </c>
      <c r="C11" s="9">
        <v>0</v>
      </c>
      <c r="D11" s="10">
        <v>-17.529969999999999</v>
      </c>
      <c r="E11" s="9" t="e">
        <f t="shared" si="2"/>
        <v>#DIV/0!</v>
      </c>
      <c r="F11" s="9">
        <f t="shared" si="1"/>
        <v>-17.529969999999999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75</v>
      </c>
      <c r="D12" s="5">
        <f>SUM(D13:D13)</f>
        <v>74.869259999999997</v>
      </c>
      <c r="E12" s="5">
        <f t="shared" si="0"/>
        <v>99.825679999999991</v>
      </c>
      <c r="F12" s="5">
        <f t="shared" si="1"/>
        <v>-0.13074000000000296</v>
      </c>
    </row>
    <row r="13" spans="1:6" ht="15.75" customHeight="1">
      <c r="A13" s="7">
        <v>1050300000</v>
      </c>
      <c r="B13" s="11" t="s">
        <v>229</v>
      </c>
      <c r="C13" s="12">
        <v>75</v>
      </c>
      <c r="D13" s="10">
        <v>74.869259999999997</v>
      </c>
      <c r="E13" s="9">
        <f t="shared" si="0"/>
        <v>99.825679999999991</v>
      </c>
      <c r="F13" s="9">
        <f t="shared" si="1"/>
        <v>-0.13074000000000296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2560</v>
      </c>
      <c r="D14" s="5">
        <f>D15+D16</f>
        <v>527.93709000000001</v>
      </c>
      <c r="E14" s="5">
        <f t="shared" si="0"/>
        <v>20.622542578125</v>
      </c>
      <c r="F14" s="5">
        <f t="shared" si="1"/>
        <v>-2032.0629100000001</v>
      </c>
    </row>
    <row r="15" spans="1:6" s="6" customFormat="1" ht="15" customHeight="1">
      <c r="A15" s="7">
        <v>1060100000</v>
      </c>
      <c r="B15" s="11" t="s">
        <v>253</v>
      </c>
      <c r="C15" s="9">
        <v>900</v>
      </c>
      <c r="D15" s="10">
        <v>83.15034</v>
      </c>
      <c r="E15" s="9">
        <f t="shared" si="0"/>
        <v>9.2389266666666661</v>
      </c>
      <c r="F15" s="9">
        <f>SUM(D15-C15)</f>
        <v>-816.84965999999997</v>
      </c>
    </row>
    <row r="16" spans="1:6" ht="17.25" customHeight="1">
      <c r="A16" s="7">
        <v>1060600000</v>
      </c>
      <c r="B16" s="11" t="s">
        <v>7</v>
      </c>
      <c r="C16" s="9">
        <v>1660</v>
      </c>
      <c r="D16" s="10">
        <v>444.78674999999998</v>
      </c>
      <c r="E16" s="9">
        <f t="shared" si="0"/>
        <v>26.79438253012048</v>
      </c>
      <c r="F16" s="9">
        <f t="shared" si="1"/>
        <v>-1215.21325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227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127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18</v>
      </c>
      <c r="C39" s="127">
        <f>SUM(C4,C25)</f>
        <v>4744.2569999999996</v>
      </c>
      <c r="D39" s="127">
        <f>D4+D25</f>
        <v>1630.8715000000002</v>
      </c>
      <c r="E39" s="5">
        <f t="shared" si="0"/>
        <v>34.375698871287966</v>
      </c>
      <c r="F39" s="5">
        <f t="shared" si="1"/>
        <v>-3113.3854999999994</v>
      </c>
    </row>
    <row r="40" spans="1:7" s="6" customFormat="1">
      <c r="A40" s="3">
        <v>2000000000</v>
      </c>
      <c r="B40" s="4" t="s">
        <v>19</v>
      </c>
      <c r="C40" s="5">
        <f>C41+C43+C45+C46+C47+C49+C42+C44+C48</f>
        <v>14266.395040000001</v>
      </c>
      <c r="D40" s="5">
        <f>D41+D43+D45+D46+D47+D49+D42+D48</f>
        <v>3719.3186800000003</v>
      </c>
      <c r="E40" s="5">
        <f t="shared" si="0"/>
        <v>26.070487110246177</v>
      </c>
      <c r="F40" s="5">
        <f t="shared" si="1"/>
        <v>-10547.076360000001</v>
      </c>
      <c r="G40" s="19"/>
    </row>
    <row r="41" spans="1:7" ht="17.25" customHeight="1">
      <c r="A41" s="16">
        <v>2021000000</v>
      </c>
      <c r="B41" s="17" t="s">
        <v>20</v>
      </c>
      <c r="C41" s="12">
        <v>4687.5</v>
      </c>
      <c r="D41" s="20">
        <v>2343.75</v>
      </c>
      <c r="E41" s="9">
        <f t="shared" si="0"/>
        <v>50</v>
      </c>
      <c r="F41" s="9">
        <f t="shared" si="1"/>
        <v>-2343.75</v>
      </c>
    </row>
    <row r="42" spans="1:7" ht="15" customHeight="1">
      <c r="A42" s="16">
        <v>2021500210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21</v>
      </c>
      <c r="C43" s="206">
        <v>9100.4907500000008</v>
      </c>
      <c r="D43" s="10">
        <v>929.66891999999996</v>
      </c>
      <c r="E43" s="9">
        <f t="shared" si="0"/>
        <v>10.2155910657895</v>
      </c>
      <c r="F43" s="9">
        <f t="shared" si="1"/>
        <v>-8170.8218300000008</v>
      </c>
    </row>
    <row r="44" spans="1:7" ht="0.75" hidden="1" customHeight="1">
      <c r="A44" s="16">
        <v>2022999910</v>
      </c>
      <c r="B44" s="18" t="s">
        <v>349</v>
      </c>
      <c r="C44" s="20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22</v>
      </c>
      <c r="C45" s="12">
        <v>9.2170000000000005</v>
      </c>
      <c r="D45" s="200">
        <v>1.1948000000000001</v>
      </c>
      <c r="E45" s="9">
        <f t="shared" si="0"/>
        <v>12.963003146359986</v>
      </c>
      <c r="F45" s="9">
        <f t="shared" si="1"/>
        <v>-8.0221999999999998</v>
      </c>
    </row>
    <row r="46" spans="1:7" ht="0.75" hidden="1" customHeight="1">
      <c r="A46" s="16">
        <v>2020400000</v>
      </c>
      <c r="B46" s="17" t="s">
        <v>23</v>
      </c>
      <c r="C46" s="12">
        <v>0</v>
      </c>
      <c r="D46" s="201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24</v>
      </c>
      <c r="C47" s="12"/>
      <c r="D47" s="20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297</v>
      </c>
      <c r="C48" s="12">
        <v>469.18729000000002</v>
      </c>
      <c r="D48" s="201">
        <v>444.70496000000003</v>
      </c>
      <c r="E48" s="9">
        <f>SUM(D48/C48*100)</f>
        <v>94.781970756283712</v>
      </c>
      <c r="F48" s="9">
        <f>SUM(D48-C48)</f>
        <v>-24.48232999999999</v>
      </c>
    </row>
    <row r="49" spans="1:7" hidden="1">
      <c r="A49" s="7">
        <v>2190500005</v>
      </c>
      <c r="B49" s="11" t="s">
        <v>25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26</v>
      </c>
      <c r="C50" s="20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27</v>
      </c>
      <c r="C51" s="264">
        <f>SUM(C39,C40,C50)</f>
        <v>19010.652040000001</v>
      </c>
      <c r="D51" s="265">
        <f>D39+D40</f>
        <v>5350.1901800000005</v>
      </c>
      <c r="E51" s="93">
        <f t="shared" si="0"/>
        <v>28.143117704446713</v>
      </c>
      <c r="F51" s="93">
        <f t="shared" si="1"/>
        <v>-13660.461859999999</v>
      </c>
      <c r="G51" s="151">
        <f>18510.65204-C51</f>
        <v>-500</v>
      </c>
    </row>
    <row r="52" spans="1:7" s="6" customFormat="1" ht="23.25" customHeight="1">
      <c r="A52" s="3"/>
      <c r="B52" s="21" t="s">
        <v>320</v>
      </c>
      <c r="C52" s="93">
        <f>C51-C98</f>
        <v>-554.81055999999808</v>
      </c>
      <c r="D52" s="93">
        <f>D51-D98</f>
        <v>-367.82946999999967</v>
      </c>
      <c r="E52" s="208"/>
      <c r="F52" s="20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28</v>
      </c>
      <c r="C54" s="197" t="s">
        <v>411</v>
      </c>
      <c r="D54" s="73" t="s">
        <v>424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29</v>
      </c>
      <c r="B56" s="31" t="s">
        <v>30</v>
      </c>
      <c r="C56" s="32">
        <f>C57+C58+C59+C60+C61+C63+C62+C65</f>
        <v>1974.018</v>
      </c>
      <c r="D56" s="33">
        <f>D57+D58+D59+D60+D61+D63+D62</f>
        <v>961.80522999999994</v>
      </c>
      <c r="E56" s="34">
        <f>SUM(D56/C56*100)</f>
        <v>48.723224914869064</v>
      </c>
      <c r="F56" s="34">
        <f>SUM(D56-C56)</f>
        <v>-1012.2127700000001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6.5" customHeight="1">
      <c r="A58" s="35" t="s">
        <v>33</v>
      </c>
      <c r="B58" s="39" t="s">
        <v>34</v>
      </c>
      <c r="C58" s="97">
        <v>1775.1</v>
      </c>
      <c r="D58" s="37">
        <v>821.87915999999996</v>
      </c>
      <c r="E58" s="38">
        <f t="shared" ref="E58:E98" si="3">SUM(D58/C58*100)</f>
        <v>46.300442791955383</v>
      </c>
      <c r="F58" s="38">
        <f t="shared" ref="F58:F98" si="4">SUM(D58-C58)</f>
        <v>-953.22083999999995</v>
      </c>
    </row>
    <row r="59" spans="1:7" ht="1.5" hidden="1" customHeight="1">
      <c r="A59" s="35" t="s">
        <v>35</v>
      </c>
      <c r="B59" s="39" t="s">
        <v>36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37</v>
      </c>
      <c r="B60" s="39" t="s">
        <v>38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41</v>
      </c>
      <c r="B62" s="39" t="s">
        <v>42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43</v>
      </c>
      <c r="B63" s="39" t="s">
        <v>44</v>
      </c>
      <c r="C63" s="97">
        <v>193.91800000000001</v>
      </c>
      <c r="D63" s="37">
        <v>139.92607000000001</v>
      </c>
      <c r="E63" s="38">
        <f t="shared" si="3"/>
        <v>72.157339700285689</v>
      </c>
      <c r="F63" s="38">
        <f t="shared" si="4"/>
        <v>-53.991929999999996</v>
      </c>
    </row>
    <row r="64" spans="1:7" s="6" customFormat="1" ht="15.75" hidden="1" customHeight="1">
      <c r="A64" s="41" t="s">
        <v>45</v>
      </c>
      <c r="B64" s="42" t="s">
        <v>46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47</v>
      </c>
      <c r="B65" s="44" t="s">
        <v>48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49</v>
      </c>
      <c r="B66" s="31" t="s">
        <v>50</v>
      </c>
      <c r="C66" s="150">
        <f>C69+C70+C71</f>
        <v>36.4</v>
      </c>
      <c r="D66" s="150">
        <f>D69+D70</f>
        <v>0</v>
      </c>
      <c r="E66" s="34">
        <f t="shared" si="3"/>
        <v>0</v>
      </c>
      <c r="F66" s="34">
        <f t="shared" si="4"/>
        <v>-36.4</v>
      </c>
    </row>
    <row r="67" spans="1:7" ht="3.75" hidden="1" customHeight="1">
      <c r="A67" s="35" t="s">
        <v>51</v>
      </c>
      <c r="B67" s="39" t="s">
        <v>52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53</v>
      </c>
      <c r="B68" s="39" t="s">
        <v>54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55</v>
      </c>
      <c r="B69" s="47" t="s">
        <v>56</v>
      </c>
      <c r="C69" s="97">
        <v>2.4</v>
      </c>
      <c r="D69" s="37">
        <v>0</v>
      </c>
      <c r="E69" s="34">
        <f t="shared" si="3"/>
        <v>0</v>
      </c>
      <c r="F69" s="34">
        <f t="shared" si="4"/>
        <v>-2.4</v>
      </c>
    </row>
    <row r="70" spans="1:7" ht="17.25" customHeight="1">
      <c r="A70" s="46" t="s">
        <v>218</v>
      </c>
      <c r="B70" s="47" t="s">
        <v>219</v>
      </c>
      <c r="C70" s="97">
        <v>32</v>
      </c>
      <c r="D70" s="37">
        <v>0</v>
      </c>
      <c r="E70" s="34">
        <f t="shared" si="3"/>
        <v>0</v>
      </c>
      <c r="F70" s="34">
        <f t="shared" si="4"/>
        <v>-32</v>
      </c>
    </row>
    <row r="71" spans="1:7" ht="17.25" customHeight="1">
      <c r="A71" s="46" t="s">
        <v>357</v>
      </c>
      <c r="B71" s="47" t="s">
        <v>414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3958.7777000000001</v>
      </c>
      <c r="D72" s="48">
        <f>SUM(D73:D76)</f>
        <v>1671.7032100000001</v>
      </c>
      <c r="E72" s="34">
        <f t="shared" si="3"/>
        <v>42.22776161439932</v>
      </c>
      <c r="F72" s="34">
        <f t="shared" si="4"/>
        <v>-2287.07449</v>
      </c>
    </row>
    <row r="73" spans="1:7" ht="15" customHeight="1">
      <c r="A73" s="35" t="s">
        <v>59</v>
      </c>
      <c r="B73" s="39" t="s">
        <v>60</v>
      </c>
      <c r="C73" s="49">
        <v>21.448</v>
      </c>
      <c r="D73" s="37">
        <v>2.681</v>
      </c>
      <c r="E73" s="38">
        <f t="shared" si="3"/>
        <v>12.5</v>
      </c>
      <c r="F73" s="38">
        <f t="shared" si="4"/>
        <v>-18.766999999999999</v>
      </c>
    </row>
    <row r="74" spans="1:7" s="6" customFormat="1" ht="15.75" customHeight="1">
      <c r="A74" s="35" t="s">
        <v>61</v>
      </c>
      <c r="B74" s="39" t="s">
        <v>62</v>
      </c>
      <c r="C74" s="49">
        <v>255</v>
      </c>
      <c r="D74" s="37">
        <v>113.99838</v>
      </c>
      <c r="E74" s="38">
        <f t="shared" si="3"/>
        <v>44.705247058823531</v>
      </c>
      <c r="F74" s="38">
        <f t="shared" si="4"/>
        <v>-141.00162</v>
      </c>
      <c r="G74" s="50"/>
    </row>
    <row r="75" spans="1:7" ht="15" customHeight="1">
      <c r="A75" s="35" t="s">
        <v>63</v>
      </c>
      <c r="B75" s="39" t="s">
        <v>64</v>
      </c>
      <c r="C75" s="49">
        <v>3366.7937000000002</v>
      </c>
      <c r="D75" s="37">
        <v>1461.5238300000001</v>
      </c>
      <c r="E75" s="38">
        <f t="shared" si="3"/>
        <v>43.409960937018504</v>
      </c>
      <c r="F75" s="38">
        <f t="shared" si="4"/>
        <v>-1905.2698700000001</v>
      </c>
    </row>
    <row r="76" spans="1:7" ht="18" customHeight="1">
      <c r="A76" s="35" t="s">
        <v>65</v>
      </c>
      <c r="B76" s="39" t="s">
        <v>66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67</v>
      </c>
      <c r="B77" s="31" t="s">
        <v>68</v>
      </c>
      <c r="C77" s="32">
        <f>C78+C79+C80+C83</f>
        <v>9856.2669000000005</v>
      </c>
      <c r="D77" s="32">
        <f>D78+D79+D80+D83</f>
        <v>1217.0112099999999</v>
      </c>
      <c r="E77" s="34">
        <f t="shared" si="3"/>
        <v>12.347587807306637</v>
      </c>
      <c r="F77" s="34">
        <f t="shared" si="4"/>
        <v>-8639.25569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73</v>
      </c>
      <c r="B80" s="39" t="s">
        <v>74</v>
      </c>
      <c r="C80" s="37">
        <v>9856.2669000000005</v>
      </c>
      <c r="D80" s="37">
        <v>1217.0112099999999</v>
      </c>
      <c r="E80" s="38">
        <f t="shared" si="3"/>
        <v>12.347587807306637</v>
      </c>
      <c r="F80" s="38">
        <f t="shared" si="4"/>
        <v>-8639.25569</v>
      </c>
    </row>
    <row r="81" spans="1:6" s="6" customFormat="1" ht="18.75" customHeight="1">
      <c r="A81" s="30" t="s">
        <v>85</v>
      </c>
      <c r="B81" s="31" t="s">
        <v>86</v>
      </c>
      <c r="C81" s="32">
        <f>C82</f>
        <v>3735</v>
      </c>
      <c r="D81" s="32">
        <f>D82</f>
        <v>1867.5</v>
      </c>
      <c r="E81" s="38">
        <f t="shared" si="3"/>
        <v>50</v>
      </c>
      <c r="F81" s="38">
        <f t="shared" si="4"/>
        <v>-1867.5</v>
      </c>
    </row>
    <row r="82" spans="1:6" ht="19.5" customHeight="1">
      <c r="A82" s="35" t="s">
        <v>87</v>
      </c>
      <c r="B82" s="39" t="s">
        <v>233</v>
      </c>
      <c r="C82" s="37">
        <v>3735</v>
      </c>
      <c r="D82" s="37">
        <v>1867.5</v>
      </c>
      <c r="E82" s="38">
        <f t="shared" si="3"/>
        <v>50</v>
      </c>
      <c r="F82" s="38">
        <f t="shared" si="4"/>
        <v>-1867.5</v>
      </c>
    </row>
    <row r="83" spans="1:6" ht="15" hidden="1" customHeight="1">
      <c r="A83" s="35" t="s">
        <v>263</v>
      </c>
      <c r="B83" s="39" t="s">
        <v>264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91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94</v>
      </c>
      <c r="B89" s="31" t="s">
        <v>95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96</v>
      </c>
      <c r="B90" s="39" t="s">
        <v>97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114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116</v>
      </c>
      <c r="C96" s="188"/>
      <c r="D96" s="189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118</v>
      </c>
      <c r="C98" s="267">
        <f>C56+C72+C77+C84+C89+C95+C66+C81</f>
        <v>19565.462599999999</v>
      </c>
      <c r="D98" s="267">
        <f>D56+D72+D77+D84+D89+D95+D66+D81</f>
        <v>5718.0196500000002</v>
      </c>
      <c r="E98" s="34">
        <f t="shared" si="3"/>
        <v>29.225067492143019</v>
      </c>
      <c r="F98" s="34">
        <f t="shared" si="4"/>
        <v>-13847.442949999999</v>
      </c>
      <c r="G98" s="213">
        <f>19065.4626-C98</f>
        <v>-500</v>
      </c>
    </row>
    <row r="99" spans="1:7" ht="20.25" customHeight="1">
      <c r="D99" s="194"/>
    </row>
    <row r="100" spans="1:7" s="65" customFormat="1" ht="13.5" customHeight="1">
      <c r="A100" s="63" t="s">
        <v>119</v>
      </c>
      <c r="B100" s="63"/>
      <c r="C100" s="119"/>
      <c r="D100" s="64"/>
    </row>
    <row r="101" spans="1:7" s="65" customFormat="1" ht="12.75">
      <c r="A101" s="66" t="s">
        <v>120</v>
      </c>
      <c r="B101" s="66"/>
      <c r="C101" s="134" t="s">
        <v>121</v>
      </c>
      <c r="D101" s="134"/>
    </row>
    <row r="102" spans="1:7" ht="5.25" customHeight="1"/>
    <row r="142" hidden="1"/>
  </sheetData>
  <customSheetViews>
    <customSheetView guid="{B30CE22D-C12F-4E12-8BB9-3AAE0A6991CC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8"/>
    </customSheetView>
    <customSheetView guid="{61528DAC-5C4C-48F4-ADE2-8A724B05A086}" scale="70" showPageBreaks="1" printArea="1" hiddenRows="1" view="pageBreakPreview" topLeftCell="A13">
      <selection activeCell="C76" sqref="C7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tabSelected="1" view="pageBreakPreview" zoomScale="70" zoomScaleSheetLayoutView="86" workbookViewId="0">
      <selection activeCell="B35" sqref="B35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54" t="s">
        <v>430</v>
      </c>
      <c r="B1" s="554"/>
      <c r="C1" s="554"/>
      <c r="D1" s="554"/>
      <c r="E1" s="554"/>
      <c r="F1" s="554"/>
    </row>
    <row r="2" spans="1:6">
      <c r="A2" s="554"/>
      <c r="B2" s="554"/>
      <c r="C2" s="554"/>
      <c r="D2" s="554"/>
      <c r="E2" s="554"/>
      <c r="F2" s="554"/>
    </row>
    <row r="3" spans="1:6" ht="63">
      <c r="A3" s="2" t="s">
        <v>0</v>
      </c>
      <c r="B3" s="2" t="s">
        <v>1</v>
      </c>
      <c r="C3" s="72" t="s">
        <v>411</v>
      </c>
      <c r="D3" s="73" t="s">
        <v>423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4541.1550000000007</v>
      </c>
      <c r="D4" s="5">
        <f>D5+D12+D14+D17+D20+D7</f>
        <v>1641.7542100000001</v>
      </c>
      <c r="E4" s="5">
        <f>SUM(D4/C4*100)</f>
        <v>36.152789543629318</v>
      </c>
      <c r="F4" s="5">
        <f>SUM(D4-C4)</f>
        <v>-2899.4007900000006</v>
      </c>
    </row>
    <row r="5" spans="1:6" s="6" customFormat="1">
      <c r="A5" s="68">
        <v>1010000000</v>
      </c>
      <c r="B5" s="67" t="s">
        <v>5</v>
      </c>
      <c r="C5" s="5">
        <f>C6</f>
        <v>1300.26</v>
      </c>
      <c r="D5" s="5">
        <f>D6</f>
        <v>719.22883000000002</v>
      </c>
      <c r="E5" s="5">
        <f t="shared" ref="E5:E52" si="0">SUM(D5/C5*100)</f>
        <v>55.314231769030812</v>
      </c>
      <c r="F5" s="5">
        <f t="shared" ref="F5:F52" si="1">SUM(D5-C5)</f>
        <v>-581.03116999999997</v>
      </c>
    </row>
    <row r="6" spans="1:6">
      <c r="A6" s="7">
        <v>1010200001</v>
      </c>
      <c r="B6" s="8" t="s">
        <v>228</v>
      </c>
      <c r="C6" s="9">
        <v>1300.26</v>
      </c>
      <c r="D6" s="10">
        <v>719.22883000000002</v>
      </c>
      <c r="E6" s="9">
        <f t="shared" ref="E6:E11" si="2">SUM(D6/C6*100)</f>
        <v>55.314231769030812</v>
      </c>
      <c r="F6" s="9">
        <f t="shared" si="1"/>
        <v>-581.03116999999997</v>
      </c>
    </row>
    <row r="7" spans="1:6" ht="31.5">
      <c r="A7" s="3">
        <v>1030000000</v>
      </c>
      <c r="B7" s="13" t="s">
        <v>280</v>
      </c>
      <c r="C7" s="5">
        <f>C8+C10+C9</f>
        <v>665.89499999999998</v>
      </c>
      <c r="D7" s="5">
        <f>D8+D10+D9+D11</f>
        <v>381.97658000000007</v>
      </c>
      <c r="E7" s="9">
        <f t="shared" si="2"/>
        <v>57.362884538853734</v>
      </c>
      <c r="F7" s="9">
        <f t="shared" si="1"/>
        <v>-283.91841999999991</v>
      </c>
    </row>
    <row r="8" spans="1:6">
      <c r="A8" s="7">
        <v>1030223001</v>
      </c>
      <c r="B8" s="8" t="s">
        <v>282</v>
      </c>
      <c r="C8" s="9">
        <v>248.38</v>
      </c>
      <c r="D8" s="10">
        <v>173.40131</v>
      </c>
      <c r="E8" s="9">
        <f t="shared" si="2"/>
        <v>69.812911667606087</v>
      </c>
      <c r="F8" s="9">
        <f t="shared" si="1"/>
        <v>-74.97869</v>
      </c>
    </row>
    <row r="9" spans="1:6">
      <c r="A9" s="7">
        <v>1030224001</v>
      </c>
      <c r="B9" s="8" t="s">
        <v>288</v>
      </c>
      <c r="C9" s="9">
        <v>2.665</v>
      </c>
      <c r="D9" s="10">
        <v>1.3156000000000001</v>
      </c>
      <c r="E9" s="9">
        <f t="shared" si="2"/>
        <v>49.365853658536594</v>
      </c>
      <c r="F9" s="9">
        <f t="shared" si="1"/>
        <v>-1.3493999999999999</v>
      </c>
    </row>
    <row r="10" spans="1:6">
      <c r="A10" s="7">
        <v>1030225001</v>
      </c>
      <c r="B10" s="8" t="s">
        <v>281</v>
      </c>
      <c r="C10" s="9">
        <v>414.85</v>
      </c>
      <c r="D10" s="10">
        <v>240.28870000000001</v>
      </c>
      <c r="E10" s="9">
        <f t="shared" si="2"/>
        <v>57.921827166445702</v>
      </c>
      <c r="F10" s="9">
        <f t="shared" si="1"/>
        <v>-174.56130000000002</v>
      </c>
    </row>
    <row r="11" spans="1:6">
      <c r="A11" s="7">
        <v>1030226001</v>
      </c>
      <c r="B11" s="8" t="s">
        <v>291</v>
      </c>
      <c r="C11" s="9">
        <v>0</v>
      </c>
      <c r="D11" s="10">
        <v>-33.029029999999999</v>
      </c>
      <c r="E11" s="9" t="e">
        <f t="shared" si="2"/>
        <v>#DIV/0!</v>
      </c>
      <c r="F11" s="9">
        <f t="shared" si="1"/>
        <v>-33.029029999999999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229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2535</v>
      </c>
      <c r="D14" s="5">
        <f>D15+D16</f>
        <v>509.01550000000003</v>
      </c>
      <c r="E14" s="5">
        <f t="shared" si="0"/>
        <v>20.07950690335306</v>
      </c>
      <c r="F14" s="5">
        <f t="shared" si="1"/>
        <v>-2025.9845</v>
      </c>
    </row>
    <row r="15" spans="1:6" s="6" customFormat="1" ht="15.75" customHeight="1">
      <c r="A15" s="7">
        <v>1060100000</v>
      </c>
      <c r="B15" s="11" t="s">
        <v>8</v>
      </c>
      <c r="C15" s="9">
        <v>295</v>
      </c>
      <c r="D15" s="10">
        <v>11.143840000000001</v>
      </c>
      <c r="E15" s="9">
        <f t="shared" si="0"/>
        <v>3.7775728813559324</v>
      </c>
      <c r="F15" s="9">
        <f>SUM(D15-C15)</f>
        <v>-283.85615999999999</v>
      </c>
    </row>
    <row r="16" spans="1:6" ht="15.75" customHeight="1">
      <c r="A16" s="7">
        <v>1060600000</v>
      </c>
      <c r="B16" s="11" t="s">
        <v>7</v>
      </c>
      <c r="C16" s="9">
        <v>2240</v>
      </c>
      <c r="D16" s="10">
        <v>497.87166000000002</v>
      </c>
      <c r="E16" s="9">
        <f t="shared" si="0"/>
        <v>22.226413392857143</v>
      </c>
      <c r="F16" s="9">
        <f t="shared" si="1"/>
        <v>-1742.12834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3.9</v>
      </c>
      <c r="E17" s="5">
        <f t="shared" si="0"/>
        <v>39</v>
      </c>
      <c r="F17" s="5">
        <f t="shared" si="1"/>
        <v>-6.1</v>
      </c>
    </row>
    <row r="18" spans="1:6" ht="15" customHeight="1">
      <c r="A18" s="7">
        <v>1080400001</v>
      </c>
      <c r="B18" s="8" t="s">
        <v>227</v>
      </c>
      <c r="C18" s="9">
        <v>10</v>
      </c>
      <c r="D18" s="10">
        <v>3.9</v>
      </c>
      <c r="E18" s="9">
        <f t="shared" si="0"/>
        <v>39</v>
      </c>
      <c r="F18" s="9">
        <f t="shared" si="1"/>
        <v>-6.1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0</v>
      </c>
      <c r="D25" s="5">
        <f>D26+D29+D31+D36+D34</f>
        <v>17.513960000000001</v>
      </c>
      <c r="E25" s="5" t="e">
        <f t="shared" si="0"/>
        <v>#DIV/0!</v>
      </c>
      <c r="F25" s="5">
        <f t="shared" si="1"/>
        <v>17.513960000000001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251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267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4541.1550000000007</v>
      </c>
      <c r="D39" s="127">
        <f>SUM(D4,D25)</f>
        <v>1659.2681700000001</v>
      </c>
      <c r="E39" s="5">
        <f t="shared" si="0"/>
        <v>36.538461470705137</v>
      </c>
      <c r="F39" s="5">
        <f t="shared" si="1"/>
        <v>-2881.8868300000004</v>
      </c>
    </row>
    <row r="40" spans="1:7" s="6" customFormat="1" ht="20.25" customHeight="1">
      <c r="A40" s="3">
        <v>2000000000</v>
      </c>
      <c r="B40" s="4" t="s">
        <v>19</v>
      </c>
      <c r="C40" s="5">
        <f>C41+C43+C45+C46+C48+C49+C42+C44+C51+C47</f>
        <v>6028.0687099999996</v>
      </c>
      <c r="D40" s="248">
        <f>D41+D43+D45+D46+D48+D49+D42+D44+D51</f>
        <v>1153.54547</v>
      </c>
      <c r="E40" s="5">
        <f t="shared" si="0"/>
        <v>19.136236255674667</v>
      </c>
      <c r="F40" s="5">
        <f t="shared" si="1"/>
        <v>-4874.5232399999995</v>
      </c>
      <c r="G40" s="19"/>
    </row>
    <row r="41" spans="1:7" ht="15.75" customHeight="1">
      <c r="A41" s="16">
        <v>2021500200</v>
      </c>
      <c r="B41" s="17" t="s">
        <v>416</v>
      </c>
      <c r="C41" s="12">
        <v>200</v>
      </c>
      <c r="D41" s="20">
        <v>0</v>
      </c>
      <c r="E41" s="9">
        <f t="shared" si="0"/>
        <v>0</v>
      </c>
      <c r="F41" s="9">
        <f t="shared" si="1"/>
        <v>-200</v>
      </c>
    </row>
    <row r="42" spans="1:7" ht="15.75" customHeight="1">
      <c r="A42" s="16">
        <v>2020100310</v>
      </c>
      <c r="B42" s="17" t="s">
        <v>231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21</v>
      </c>
      <c r="C43" s="12">
        <v>4758.9176399999997</v>
      </c>
      <c r="D43" s="10">
        <v>175.83</v>
      </c>
      <c r="E43" s="9">
        <f t="shared" si="0"/>
        <v>3.6947476989746777</v>
      </c>
      <c r="F43" s="9">
        <f t="shared" si="1"/>
        <v>-4583.0876399999997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22</v>
      </c>
      <c r="C45" s="12">
        <v>181.68199999999999</v>
      </c>
      <c r="D45" s="200">
        <v>90.246399999999994</v>
      </c>
      <c r="E45" s="9">
        <f t="shared" si="0"/>
        <v>49.672724870928327</v>
      </c>
      <c r="F45" s="9">
        <f t="shared" si="1"/>
        <v>-91.435599999999994</v>
      </c>
    </row>
    <row r="46" spans="1:7" ht="12.75" customHeight="1">
      <c r="A46" s="16">
        <v>2020400000</v>
      </c>
      <c r="B46" s="17" t="s">
        <v>23</v>
      </c>
      <c r="C46" s="12">
        <v>0</v>
      </c>
      <c r="D46" s="201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356</v>
      </c>
      <c r="C47" s="12">
        <v>0</v>
      </c>
      <c r="D47" s="201"/>
      <c r="E47" s="9"/>
      <c r="F47" s="9"/>
    </row>
    <row r="48" spans="1:7" ht="15" customHeight="1">
      <c r="A48" s="16">
        <v>2020900000</v>
      </c>
      <c r="B48" s="18" t="s">
        <v>24</v>
      </c>
      <c r="C48" s="12">
        <v>0</v>
      </c>
      <c r="D48" s="20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25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customHeight="1">
      <c r="A50" s="3">
        <v>3000000000</v>
      </c>
      <c r="B50" s="13" t="s">
        <v>26</v>
      </c>
      <c r="C50" s="20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351</v>
      </c>
      <c r="C51" s="12">
        <v>887.46906999999999</v>
      </c>
      <c r="D51" s="10">
        <v>887.46906999999999</v>
      </c>
      <c r="E51" s="9">
        <f t="shared" si="0"/>
        <v>100</v>
      </c>
      <c r="F51" s="9">
        <f t="shared" si="1"/>
        <v>0</v>
      </c>
    </row>
    <row r="52" spans="1:7" s="6" customFormat="1" ht="15.75" customHeight="1">
      <c r="A52" s="3"/>
      <c r="B52" s="4" t="s">
        <v>27</v>
      </c>
      <c r="C52" s="264">
        <f>C39+C40</f>
        <v>10569.22371</v>
      </c>
      <c r="D52" s="265">
        <f>D39+D40</f>
        <v>2812.8136400000003</v>
      </c>
      <c r="E52" s="5">
        <f t="shared" si="0"/>
        <v>26.613247265631017</v>
      </c>
      <c r="F52" s="5">
        <f t="shared" si="1"/>
        <v>-7756.4100699999999</v>
      </c>
      <c r="G52" s="94"/>
    </row>
    <row r="53" spans="1:7" s="6" customFormat="1">
      <c r="A53" s="3"/>
      <c r="B53" s="21" t="s">
        <v>321</v>
      </c>
      <c r="C53" s="93">
        <f>C52-C103</f>
        <v>-785.19563000000016</v>
      </c>
      <c r="D53" s="93">
        <f>D52-D103</f>
        <v>964.41553999999996</v>
      </c>
      <c r="E53" s="22"/>
      <c r="F53" s="22"/>
    </row>
    <row r="54" spans="1:7">
      <c r="A54" s="23"/>
      <c r="B54" s="24"/>
      <c r="C54" s="199"/>
      <c r="D54" s="199"/>
      <c r="E54" s="26"/>
      <c r="F54" s="92"/>
    </row>
    <row r="55" spans="1:7" ht="42.75" customHeight="1">
      <c r="A55" s="28" t="s">
        <v>0</v>
      </c>
      <c r="B55" s="28" t="s">
        <v>28</v>
      </c>
      <c r="C55" s="192" t="s">
        <v>411</v>
      </c>
      <c r="D55" s="193" t="s">
        <v>424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29</v>
      </c>
      <c r="B57" s="31" t="s">
        <v>30</v>
      </c>
      <c r="C57" s="195">
        <f>C58+C59+C60+C61+C62+C64+C63</f>
        <v>2124.7999999999997</v>
      </c>
      <c r="D57" s="32">
        <f>D58+D59+D60+D61+D62+D64+D63</f>
        <v>862.62648000000002</v>
      </c>
      <c r="E57" s="34">
        <f>SUM(D57/C57*100)</f>
        <v>40.598008283132536</v>
      </c>
      <c r="F57" s="34">
        <f>SUM(D57-C57)</f>
        <v>-1262.1735199999998</v>
      </c>
    </row>
    <row r="58" spans="1:7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7">
      <c r="A59" s="35" t="s">
        <v>33</v>
      </c>
      <c r="B59" s="39" t="s">
        <v>34</v>
      </c>
      <c r="C59" s="37">
        <v>2115.3229999999999</v>
      </c>
      <c r="D59" s="37">
        <v>858.14948000000004</v>
      </c>
      <c r="E59" s="38">
        <f t="shared" ref="E59:E103" si="3">SUM(D59/C59*100)</f>
        <v>40.568247969695413</v>
      </c>
      <c r="F59" s="38">
        <f t="shared" ref="F59:F103" si="4">SUM(D59-C59)</f>
        <v>-1257.1735199999998</v>
      </c>
    </row>
    <row r="60" spans="1:7" ht="0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43</v>
      </c>
      <c r="B64" s="39" t="s">
        <v>44</v>
      </c>
      <c r="C64" s="37">
        <v>4.4770000000000003</v>
      </c>
      <c r="D64" s="37">
        <v>4.4770000000000003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73.724000000000004</v>
      </c>
      <c r="E65" s="34">
        <f t="shared" si="3"/>
        <v>40.98236719809664</v>
      </c>
      <c r="F65" s="34">
        <f t="shared" si="4"/>
        <v>-106.16799999999999</v>
      </c>
    </row>
    <row r="66" spans="1:7">
      <c r="A66" s="43" t="s">
        <v>47</v>
      </c>
      <c r="B66" s="44" t="s">
        <v>48</v>
      </c>
      <c r="C66" s="37">
        <v>179.892</v>
      </c>
      <c r="D66" s="37">
        <v>73.724000000000004</v>
      </c>
      <c r="E66" s="38">
        <f t="shared" si="3"/>
        <v>40.98236719809664</v>
      </c>
      <c r="F66" s="38">
        <f t="shared" si="4"/>
        <v>-106.16799999999999</v>
      </c>
    </row>
    <row r="67" spans="1:7" s="6" customFormat="1" ht="15" customHeight="1">
      <c r="A67" s="30" t="s">
        <v>49</v>
      </c>
      <c r="B67" s="31" t="s">
        <v>50</v>
      </c>
      <c r="C67" s="32">
        <f>C70+C71+C72</f>
        <v>9</v>
      </c>
      <c r="D67" s="32">
        <f>D70+D71</f>
        <v>1.2</v>
      </c>
      <c r="E67" s="34">
        <f t="shared" si="3"/>
        <v>13.333333333333334</v>
      </c>
      <c r="F67" s="34">
        <f t="shared" si="4"/>
        <v>-7.8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218</v>
      </c>
      <c r="B71" s="47" t="s">
        <v>219</v>
      </c>
      <c r="C71" s="37">
        <v>5</v>
      </c>
      <c r="D71" s="37">
        <v>1.2</v>
      </c>
      <c r="E71" s="34">
        <f t="shared" si="3"/>
        <v>24</v>
      </c>
      <c r="F71" s="34">
        <f t="shared" si="4"/>
        <v>-3.8</v>
      </c>
    </row>
    <row r="72" spans="1:7" ht="15.75" customHeight="1">
      <c r="A72" s="46" t="s">
        <v>357</v>
      </c>
      <c r="B72" s="47" t="s">
        <v>415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57</v>
      </c>
      <c r="B73" s="31" t="s">
        <v>58</v>
      </c>
      <c r="C73" s="48">
        <f>SUM(C74:C77)</f>
        <v>6768.4988400000002</v>
      </c>
      <c r="D73" s="48">
        <f>SUM(D74:D77)</f>
        <v>412.80754000000002</v>
      </c>
      <c r="E73" s="34">
        <f t="shared" si="3"/>
        <v>6.0989526593462493</v>
      </c>
      <c r="F73" s="34">
        <f t="shared" si="4"/>
        <v>-6355.6913000000004</v>
      </c>
    </row>
    <row r="74" spans="1:7" ht="15" customHeight="1">
      <c r="A74" s="35" t="s">
        <v>59</v>
      </c>
      <c r="B74" s="39" t="s">
        <v>60</v>
      </c>
      <c r="C74" s="49">
        <v>4.0214999999999996</v>
      </c>
      <c r="D74" s="37">
        <v>1.3405</v>
      </c>
      <c r="E74" s="38">
        <f t="shared" si="3"/>
        <v>33.333333333333336</v>
      </c>
      <c r="F74" s="38">
        <f t="shared" si="4"/>
        <v>-2.6809999999999996</v>
      </c>
    </row>
    <row r="75" spans="1:7" s="6" customFormat="1" ht="15" customHeight="1">
      <c r="A75" s="35" t="s">
        <v>61</v>
      </c>
      <c r="B75" s="39" t="s">
        <v>62</v>
      </c>
      <c r="C75" s="49">
        <v>268</v>
      </c>
      <c r="D75" s="37">
        <v>133.05297999999999</v>
      </c>
      <c r="E75" s="38">
        <f t="shared" si="3"/>
        <v>49.646634328358211</v>
      </c>
      <c r="F75" s="38">
        <f t="shared" si="4"/>
        <v>-134.94702000000001</v>
      </c>
      <c r="G75" s="50"/>
    </row>
    <row r="76" spans="1:7">
      <c r="A76" s="35" t="s">
        <v>63</v>
      </c>
      <c r="B76" s="39" t="s">
        <v>64</v>
      </c>
      <c r="C76" s="49">
        <v>6479.4773400000004</v>
      </c>
      <c r="D76" s="37">
        <v>278.41406000000001</v>
      </c>
      <c r="E76" s="38">
        <f t="shared" si="3"/>
        <v>4.2968598451800437</v>
      </c>
      <c r="F76" s="38">
        <f t="shared" si="4"/>
        <v>-6201.0632800000003</v>
      </c>
    </row>
    <row r="77" spans="1:7">
      <c r="A77" s="35" t="s">
        <v>65</v>
      </c>
      <c r="B77" s="39" t="s">
        <v>66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67</v>
      </c>
      <c r="B78" s="31" t="s">
        <v>68</v>
      </c>
      <c r="C78" s="32">
        <f>SUM(C79:C82)</f>
        <v>830.52850000000001</v>
      </c>
      <c r="D78" s="32">
        <f>SUM(D79:D82)</f>
        <v>252.75608</v>
      </c>
      <c r="E78" s="34">
        <f t="shared" si="3"/>
        <v>30.433161535094822</v>
      </c>
      <c r="F78" s="34">
        <f t="shared" si="4"/>
        <v>-577.77242000000001</v>
      </c>
    </row>
    <row r="79" spans="1:7" ht="17.25" hidden="1" customHeight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73</v>
      </c>
      <c r="B81" s="39" t="s">
        <v>74</v>
      </c>
      <c r="C81" s="37">
        <v>830.52850000000001</v>
      </c>
      <c r="D81" s="37">
        <v>252.75608</v>
      </c>
      <c r="E81" s="38">
        <f t="shared" si="3"/>
        <v>30.433161535094822</v>
      </c>
      <c r="F81" s="38">
        <f t="shared" si="4"/>
        <v>-577.77242000000001</v>
      </c>
    </row>
    <row r="82" spans="1:6" hidden="1">
      <c r="A82" s="35" t="s">
        <v>263</v>
      </c>
      <c r="B82" s="39" t="s">
        <v>264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85</v>
      </c>
      <c r="B83" s="31" t="s">
        <v>86</v>
      </c>
      <c r="C83" s="32">
        <f>C84+C85</f>
        <v>1411.7</v>
      </c>
      <c r="D83" s="32">
        <f>D84+D85</f>
        <v>235.28399999999999</v>
      </c>
      <c r="E83" s="34">
        <f t="shared" si="3"/>
        <v>16.666713891053337</v>
      </c>
      <c r="F83" s="34">
        <f t="shared" si="4"/>
        <v>-1176.4160000000002</v>
      </c>
    </row>
    <row r="84" spans="1:6" ht="18" customHeight="1">
      <c r="A84" s="35" t="s">
        <v>87</v>
      </c>
      <c r="B84" s="39" t="s">
        <v>233</v>
      </c>
      <c r="C84" s="37">
        <v>1411.7</v>
      </c>
      <c r="D84" s="37">
        <v>235.28399999999999</v>
      </c>
      <c r="E84" s="38">
        <f t="shared" si="3"/>
        <v>16.666713891053337</v>
      </c>
      <c r="F84" s="38">
        <f t="shared" si="4"/>
        <v>-1176.4160000000002</v>
      </c>
    </row>
    <row r="85" spans="1:6" hidden="1">
      <c r="A85" s="35" t="s">
        <v>272</v>
      </c>
      <c r="B85" s="39" t="s">
        <v>273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88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89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90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91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92</v>
      </c>
      <c r="B90" s="39" t="s">
        <v>93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88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89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95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97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92</v>
      </c>
      <c r="B95" s="39" t="s">
        <v>93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100</v>
      </c>
      <c r="B96" s="39" t="s">
        <v>101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102</v>
      </c>
      <c r="B97" s="39" t="s">
        <v>103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104</v>
      </c>
      <c r="B98" s="39" t="s">
        <v>105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114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115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116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117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118</v>
      </c>
      <c r="C103" s="267">
        <f>C57+C65+C67+C73+C78+C83+C86+C93+C99+C91</f>
        <v>11354.41934</v>
      </c>
      <c r="D103" s="267">
        <f>D57+D65+D67+D73+D78+D83+D86+D93+D99+D91</f>
        <v>1848.3981000000003</v>
      </c>
      <c r="E103" s="34">
        <f t="shared" si="3"/>
        <v>16.279107232620497</v>
      </c>
      <c r="F103" s="34">
        <f t="shared" si="4"/>
        <v>-9506.02124</v>
      </c>
    </row>
    <row r="104" spans="1:6">
      <c r="D104" s="194"/>
    </row>
    <row r="105" spans="1:6" s="65" customFormat="1" ht="12.75">
      <c r="A105" s="63" t="s">
        <v>119</v>
      </c>
      <c r="B105" s="63"/>
      <c r="C105" s="119"/>
      <c r="D105" s="64"/>
    </row>
    <row r="106" spans="1:6" s="65" customFormat="1" ht="18.75" customHeight="1">
      <c r="A106" s="66" t="s">
        <v>120</v>
      </c>
      <c r="B106" s="66"/>
      <c r="C106" s="65" t="s">
        <v>121</v>
      </c>
    </row>
    <row r="143" hidden="1"/>
  </sheetData>
  <customSheetViews>
    <customSheetView guid="{B30CE22D-C12F-4E12-8BB9-3AAE0A6991CC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8"/>
    </customSheetView>
    <customSheetView guid="{61528DAC-5C4C-48F4-ADE2-8A724B05A086}" scale="70" showPageBreaks="1" hiddenRows="1" view="pageBreakPreview" topLeftCell="A28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11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Сун!Область_печати</vt:lpstr>
      <vt:lpstr>Тор!Область_печати</vt:lpstr>
      <vt:lpstr>Чум!Область_печати</vt:lpstr>
      <vt:lpstr>Юнг!Область_печати</vt:lpstr>
      <vt:lpstr>Юсь!Область_печати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2019-06-07T13:42:48Z</cp:lastPrinted>
  <dcterms:created xsi:type="dcterms:W3CDTF">1996-10-08T23:32:33Z</dcterms:created>
  <dcterms:modified xsi:type="dcterms:W3CDTF">2019-12-27T13:35:49Z</dcterms:modified>
</cp:coreProperties>
</file>