
<file path=[Content_Types].xml><?xml version="1.0" encoding="utf-8"?>
<Types xmlns="http://schemas.openxmlformats.org/package/2006/content-types">
  <Override PartName="/xl/revisions/revisionLog118.xml" ContentType="application/vnd.openxmlformats-officedocument.spreadsheetml.revisionLog+xml"/>
  <Override PartName="/xl/revisions/revisionLog11911.xml" ContentType="application/vnd.openxmlformats-officedocument.spreadsheetml.revisionLog+xml"/>
  <Override PartName="/xl/revisions/revisionLog1161211.xml" ContentType="application/vnd.openxmlformats-officedocument.spreadsheetml.revisionLog+xml"/>
  <Override PartName="/xl/revisions/revisionLog1103.xml" ContentType="application/vnd.openxmlformats-officedocument.spreadsheetml.revisionLog+xml"/>
  <Override PartName="/xl/revisions/revisionLog1251311.xml" ContentType="application/vnd.openxmlformats-officedocument.spreadsheetml.revisionLog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revisions/revisionLog130111.xml" ContentType="application/vnd.openxmlformats-officedocument.spreadsheetml.revisionLog+xml"/>
  <Override PartName="/xl/revisions/revisionLog1251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11211.xml" ContentType="application/vnd.openxmlformats-officedocument.spreadsheetml.revisionLog+xml"/>
  <Default Extension="xml" ContentType="application/xml"/>
  <Override PartName="/xl/revisions/revisionLog16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2711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721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110.xml" ContentType="application/vnd.openxmlformats-officedocument.spreadsheetml.revisionLog+xml"/>
  <Override PartName="/xl/revisions/revisionLog114131.xml" ContentType="application/vnd.openxmlformats-officedocument.spreadsheetml.revisionLog+xml"/>
  <Override PartName="/xl/revisions/revisionLog123111.xml" ContentType="application/vnd.openxmlformats-officedocument.spreadsheetml.revisionLog+xml"/>
  <Override PartName="/xl/revisions/revisionLog1513.xml" ContentType="application/vnd.openxmlformats-officedocument.spreadsheetml.revisionLog+xml"/>
  <Override PartName="/xl/revisions/revisionLog12011.xml" ContentType="application/vnd.openxmlformats-officedocument.spreadsheetml.revisionLog+xml"/>
  <Override PartName="/xl/revisions/revisionLog11312.xml" ContentType="application/vnd.openxmlformats-officedocument.spreadsheetml.revisionLog+xml"/>
  <Override PartName="/xl/revisions/revisionLog111211.xml" ContentType="application/vnd.openxmlformats-officedocument.spreadsheetml.revisionLog+xml"/>
  <Override PartName="/xl/revisions/revisionLog11621.xml" ContentType="application/vnd.openxmlformats-officedocument.spreadsheetml.revisionLog+xml"/>
  <Override PartName="/xl/revisions/revisionLog1191.xml" ContentType="application/vnd.openxmlformats-officedocument.spreadsheetml.revisionLog+xml"/>
  <Override PartName="/xl/revisions/revisionLog1411111.xml" ContentType="application/vnd.openxmlformats-officedocument.spreadsheetml.revisionLog+xml"/>
  <Override PartName="/xl/revisions/revisionLog1341.xml" ContentType="application/vnd.openxmlformats-officedocument.spreadsheetml.revisionLog+xml"/>
  <Override PartName="/xl/revisions/revisionLog116111.xml" ContentType="application/vnd.openxmlformats-officedocument.spreadsheetml.revisionLog+xml"/>
  <Override PartName="/xl/worksheets/sheet18.xml" ContentType="application/vnd.openxmlformats-officedocument.spreadsheetml.worksheet+xml"/>
  <Override PartName="/xl/revisions/revisionLog1811.xml" ContentType="application/vnd.openxmlformats-officedocument.spreadsheetml.revisionLog+xml"/>
  <Override PartName="/xl/revisions/revisionLog11413.xml" ContentType="application/vnd.openxmlformats-officedocument.spreadsheetml.revisionLog+xml"/>
  <Override PartName="/xl/revisions/revisionLog12112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3131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2101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19211.xml" ContentType="application/vnd.openxmlformats-officedocument.spreadsheetml.revisionLog+xml"/>
  <Override PartName="/xl/revisions/revisionLog110121.xml" ContentType="application/vnd.openxmlformats-officedocument.spreadsheetml.revisionLog+xml"/>
  <Override PartName="/xl/revisions/revisionLog119121.xml" ContentType="application/vnd.openxmlformats-officedocument.spreadsheetml.revisionLog+xml"/>
  <Override PartName="/xl/revisions/revisionLog126.xml" ContentType="application/vnd.openxmlformats-officedocument.spreadsheetml.revisionLog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revisions/revisionLog115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281.xml" ContentType="application/vnd.openxmlformats-officedocument.spreadsheetml.revisionLog+xml"/>
  <Override PartName="/xl/revisions/revisionLog11711.xml" ContentType="application/vnd.openxmlformats-officedocument.spreadsheetml.revisionLog+xml"/>
  <Override PartName="/xl/revisions/revisionLog15111.xml" ContentType="application/vnd.openxmlformats-officedocument.spreadsheetml.revisionLog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revisions/revisionLog13011111.xml" ContentType="application/vnd.openxmlformats-officedocument.spreadsheetml.revisionLog+xml"/>
  <Override PartName="/xl/revisions/revisionLog122111.xml" ContentType="application/vnd.openxmlformats-officedocument.spreadsheetml.revisionLog+xml"/>
  <Override PartName="/xl/revisions/revisionLog1212.xml" ContentType="application/vnd.openxmlformats-officedocument.spreadsheetml.revisionLog+xml"/>
  <Override PartName="/xl/revisions/revisionLog11321111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201.xml" ContentType="application/vnd.openxmlformats-officedocument.spreadsheetml.revisionLog+xml"/>
  <Override PartName="/xl/revisions/revisionLog11011.xml" ContentType="application/vnd.openxmlformats-officedocument.spreadsheetml.revisionLog+xml"/>
  <Override PartName="/xl/revisions/revisionLog12511.xml" ContentType="application/vnd.openxmlformats-officedocument.spreadsheetml.revisionLog+xml"/>
  <Override PartName="/xl/revisions/revisionLog119211.xml" ContentType="application/vnd.openxmlformats-officedocument.spreadsheetml.revisionLog+xml"/>
  <Override PartName="/xl/revisions/revisionLog1171111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110211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1222111.xml" ContentType="application/vnd.openxmlformats-officedocument.spreadsheetml.revisionLog+xml"/>
  <Override PartName="/xl/revisions/revisionLog1313.xml" ContentType="application/vnd.openxmlformats-officedocument.spreadsheetml.revisionLog+xml"/>
  <Override PartName="/xl/revisions/revisionLog1163.xml" ContentType="application/vnd.openxmlformats-officedocument.spreadsheetml.revisionLog+xml"/>
  <Override PartName="/xl/revisions/revisionLog13311.xml" ContentType="application/vnd.openxmlformats-officedocument.spreadsheetml.revisionLog+xml"/>
  <Override PartName="/xl/revisions/revisionLog1302.xml" ContentType="application/vnd.openxmlformats-officedocument.spreadsheetml.revisionLog+xml"/>
  <Override PartName="/xl/revisions/revisionLog1142111.xml" ContentType="application/vnd.openxmlformats-officedocument.spreadsheetml.revisionLog+xml"/>
  <Override PartName="/xl/revisions/revisionLog12612.xml" ContentType="application/vnd.openxmlformats-officedocument.spreadsheetml.revisionLog+xml"/>
  <Override PartName="/xl/worksheets/sheet15.xml" ContentType="application/vnd.openxmlformats-officedocument.spreadsheetml.worksheet+xml"/>
  <Override PartName="/xl/revisions/revisionLog1141.xml" ContentType="application/vnd.openxmlformats-officedocument.spreadsheetml.revisionLog+xml"/>
  <Override PartName="/xl/revisions/revisionLog18211.xml" ContentType="application/vnd.openxmlformats-officedocument.spreadsheetml.revisionLog+xml"/>
  <Override PartName="/xl/revisions/revisionLog11421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72111.xml" ContentType="application/vnd.openxmlformats-officedocument.spreadsheetml.revisionLog+xml"/>
  <Override PartName="/xl/revisions/userNames.xml" ContentType="application/vnd.openxmlformats-officedocument.spreadsheetml.userNames+xml"/>
  <Override PartName="/xl/revisions/revisionLog192.xml" ContentType="application/vnd.openxmlformats-officedocument.spreadsheetml.revisionLog+xml"/>
  <Override PartName="/xl/revisions/revisionLog1411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1301111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181.xml" ContentType="application/vnd.openxmlformats-officedocument.spreadsheetml.revisionLog+xml"/>
  <Override PartName="/xl/worksheets/sheet5.xml" ContentType="application/vnd.openxmlformats-officedocument.spreadsheetml.worksheet+xml"/>
  <Override PartName="/xl/revisions/revisionLog112.xml" ContentType="application/vnd.openxmlformats-officedocument.spreadsheetml.revisionLog+xml"/>
  <Override PartName="/xl/revisions/revisionLog1712.xml" ContentType="application/vnd.openxmlformats-officedocument.spreadsheetml.revisionLog+xml"/>
  <Override PartName="/xl/revisions/revisionLog118211.xml" ContentType="application/vnd.openxmlformats-officedocument.spreadsheetml.revisionLog+xml"/>
  <Override PartName="/xl/revisions/revisionLog1101211.xml" ContentType="application/vnd.openxmlformats-officedocument.spreadsheetml.revisionLog+xml"/>
  <Override PartName="/xl/revisions/revisionLog1511111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12221.xml" ContentType="application/vnd.openxmlformats-officedocument.spreadsheetml.revisionLog+xml"/>
  <Override PartName="/xl/revisions/revisionLog1721111.xml" ContentType="application/vnd.openxmlformats-officedocument.spreadsheetml.revisionLog+xml"/>
  <Override PartName="/xl/revisions/revisionLog1712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1511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3211.xml" ContentType="application/vnd.openxmlformats-officedocument.spreadsheetml.revisionLog+xml"/>
  <Override PartName="/xl/revisions/revisionLog12512.xml" ContentType="application/vnd.openxmlformats-officedocument.spreadsheetml.revisionLog+xml"/>
  <Override PartName="/xl/revisions/revisionLog18111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511.xml" ContentType="application/vnd.openxmlformats-officedocument.spreadsheetml.revisionLog+xml"/>
  <Override PartName="/xl/revisions/revisionLog11321.xml" ContentType="application/vnd.openxmlformats-officedocument.spreadsheetml.revisionLog+xml"/>
  <Override PartName="/xl/revisions/revisionLog114111.xml" ContentType="application/vnd.openxmlformats-officedocument.spreadsheetml.revisionLog+xml"/>
  <Override PartName="/xl/revisions/revisionLog1361.xml" ContentType="application/vnd.openxmlformats-officedocument.spreadsheetml.revisionLog+xml"/>
  <Override PartName="/xl/revisions/revisionLog13021.xml" ContentType="application/vnd.openxmlformats-officedocument.spreadsheetml.revisionLog+xml"/>
  <Override PartName="/xl/revisions/revisionLog1193.xml" ContentType="application/vnd.openxmlformats-officedocument.spreadsheetml.revisionLog+xml"/>
  <Override PartName="/xl/revisions/revisionLog11612.xml" ContentType="application/vnd.openxmlformats-officedocument.spreadsheetml.revisionLog+xml"/>
  <Override PartName="/xl/revisions/revisionLog12311.xml" ContentType="application/vnd.openxmlformats-officedocument.spreadsheetml.revisionLog+xml"/>
  <Override PartName="/xl/revisions/revisionLog11131.xml" ContentType="application/vnd.openxmlformats-officedocument.spreadsheetml.revisionLog+xml"/>
  <Override PartName="/xl/revisions/revisionLog116131.xml" ContentType="application/vnd.openxmlformats-officedocument.spreadsheetml.revisionLog+xml"/>
  <Override PartName="/xl/revisions/revisionLog1182.xml" ContentType="application/vnd.openxmlformats-officedocument.spreadsheetml.revisionLog+xml"/>
  <Override PartName="/xl/revisions/revisionLog181121.xml" ContentType="application/vnd.openxmlformats-officedocument.spreadsheetml.revisionLog+xml"/>
  <Override PartName="/xl/revisions/revisionLog12821.xml" ContentType="application/vnd.openxmlformats-officedocument.spreadsheetml.revisionLog+xml"/>
  <Override PartName="/xl/revisions/revisionLog1231211.xml" ContentType="application/vnd.openxmlformats-officedocument.spreadsheetml.revisionLog+xml"/>
  <Override PartName="/xl/revisions/revisionLog117311.xml" ContentType="application/vnd.openxmlformats-officedocument.spreadsheetml.revisionLog+xml"/>
  <Override PartName="/xl/revisions/revisionLog1191211.xml" ContentType="application/vnd.openxmlformats-officedocument.spreadsheetml.revisionLog+xml"/>
  <Override PartName="/xl/revisions/revisionLog1321.xml" ContentType="application/vnd.openxmlformats-officedocument.spreadsheetml.revisionLog+xml"/>
  <Override PartName="/xl/revisions/revisionLog17211.xml" ContentType="application/vnd.openxmlformats-officedocument.spreadsheetml.revisionLog+xml"/>
  <Override PartName="/xl/revisions/revisionLog1142.xml" ContentType="application/vnd.openxmlformats-officedocument.spreadsheetml.revisionLog+xml"/>
  <Override PartName="/xl/revisions/revisionLog1113.xml" ContentType="application/vnd.openxmlformats-officedocument.spreadsheetml.revisionLog+xml"/>
  <Override PartName="/xl/revisions/revisionLog182111.xml" ContentType="application/vnd.openxmlformats-officedocument.spreadsheetml.revisionLog+xml"/>
  <Override PartName="/xl/revisions/revisionLog12121.xml" ContentType="application/vnd.openxmlformats-officedocument.spreadsheetml.revisionLog+xml"/>
  <Override PartName="/xl/revisions/revisionLog1171.xml" ContentType="application/vnd.openxmlformats-officedocument.spreadsheetml.revisionLog+xml"/>
  <Override PartName="/xl/revisions/revisionLog113211.xml" ContentType="application/vnd.openxmlformats-officedocument.spreadsheetml.revisionLog+xml"/>
  <Override PartName="/xl/revisions/revisionLog11421111.xml" ContentType="application/vnd.openxmlformats-officedocument.spreadsheetml.revisionLog+xml"/>
  <Override PartName="/xl/revisions/revisionLog171111.xml" ContentType="application/vnd.openxmlformats-officedocument.spreadsheetml.revisionLog+xml"/>
  <Override PartName="/xl/worksheets/sheet16.xml" ContentType="application/vnd.openxmlformats-officedocument.spreadsheetml.worksheet+xml"/>
  <Override PartName="/xl/revisions/revisionLog11411.xml" ContentType="application/vnd.openxmlformats-officedocument.spreadsheetml.revisionLog+xml"/>
  <Override PartName="/xl/revisions/revisionLog11921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102.xml" ContentType="application/vnd.openxmlformats-officedocument.spreadsheetml.revisionLog+xml"/>
  <Override PartName="/xl/revisions/revisionLog129111.xml" ContentType="application/vnd.openxmlformats-officedocument.spreadsheetml.revisionLog+xml"/>
  <Override PartName="/xl/revisions/revisionLog111211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20111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2911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116221.xml" ContentType="application/vnd.openxmlformats-officedocument.spreadsheetml.revisionLog+xml"/>
  <Override PartName="/xl/revisions/revisionLog1811111.xml" ContentType="application/vnd.openxmlformats-officedocument.spreadsheetml.revisionLog+xml"/>
  <Override PartName="/xl/revisions/revisionLog1162211.xml" ContentType="application/vnd.openxmlformats-officedocument.spreadsheetml.revisionLog+xml"/>
  <Override PartName="/xl/revisions/revisionLog131111.xml" ContentType="application/vnd.openxmlformats-officedocument.spreadsheetml.revisionLog+xml"/>
  <Override PartName="/xl/revisions/revisionLog11731.xml" ContentType="application/vnd.openxmlformats-officedocument.spreadsheetml.revisionLog+xml"/>
  <Override PartName="/xl/revisions/revisionLog1283.xml" ContentType="application/vnd.openxmlformats-officedocument.spreadsheetml.revisionLog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revisions/revisionLog19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921.xml" ContentType="application/vnd.openxmlformats-officedocument.spreadsheetml.revisionLog+xml"/>
  <Override PartName="/xl/revisions/revisionLog18111111.xml" ContentType="application/vnd.openxmlformats-officedocument.spreadsheetml.revisionLog+xml"/>
  <Override PartName="/xl/revisions/revisionLog142111.xml" ContentType="application/vnd.openxmlformats-officedocument.spreadsheetml.revisionLog+xml"/>
  <Override PartName="/xl/revisions/revisionLog1261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2211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1512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161311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23121.xml" ContentType="application/vnd.openxmlformats-officedocument.spreadsheetml.revisionLog+xml"/>
  <Override PartName="/xl/revisions/revisionLog12513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Log15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210.xml" ContentType="application/vnd.openxmlformats-officedocument.spreadsheetml.revisionLog+xml"/>
  <Override PartName="/xl/revisions/revisionLog124111.xml" ContentType="application/vnd.openxmlformats-officedocument.spreadsheetml.revisionLog+xml"/>
  <Override PartName="/xl/revisions/revisionLog113111.xml" ContentType="application/vnd.openxmlformats-officedocument.spreadsheetml.revisionLog+xml"/>
  <Override PartName="/xl/revisions/revisionLog18112.xml" ContentType="application/vnd.openxmlformats-officedocument.spreadsheetml.revisionLog+xml"/>
  <Override PartName="/xl/revisions/revisionLog12021.xml" ContentType="application/vnd.openxmlformats-officedocument.spreadsheetml.revisionLog+xml"/>
  <Override PartName="/xl/revisions/revisionLog111411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13011.xml" ContentType="application/vnd.openxmlformats-officedocument.spreadsheetml.revisionLog+xml"/>
  <Override PartName="/xl/revisions/revisionLog11821.xml" ContentType="application/vnd.openxmlformats-officedocument.spreadsheetml.revisionLog+xml"/>
  <Override PartName="/xl/revisions/revisionLog151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172.xml" ContentType="application/vnd.openxmlformats-officedocument.spreadsheetml.revisionLog+xml"/>
  <Override PartName="/xl/revisions/revisionLog11613.xml" ContentType="application/vnd.openxmlformats-officedocument.spreadsheetml.revisionLog+xml"/>
  <Override PartName="/xl/revisions/revisionLog12811.xml" ContentType="application/vnd.openxmlformats-officedocument.spreadsheetml.revisionLog+xml"/>
  <Override PartName="/xl/revisions/revisionLog116121.xml" ContentType="application/vnd.openxmlformats-officedocument.spreadsheetml.revisionLog+xml"/>
  <Override PartName="/xl/revisions/revisionLog1351.xml" ContentType="application/vnd.openxmlformats-officedocument.spreadsheetml.revisionLog+xml"/>
  <Override PartName="/xl/revisions/revisionLog12312.xml" ContentType="application/vnd.openxmlformats-officedocument.spreadsheetml.revisionLog+xml"/>
  <Override PartName="/xl/revisions/revisionLog181111.xml" ContentType="application/vnd.openxmlformats-officedocument.spreadsheetml.revisionLog+xml"/>
  <Override PartName="/xl/revisions/revisionLog1173111.xml" ContentType="application/vnd.openxmlformats-officedocument.spreadsheetml.revisionLog+xml"/>
  <Override PartName="/xl/revisions/revisionLog1821.xml" ContentType="application/vnd.openxmlformats-officedocument.spreadsheetml.revisionLog+xml"/>
  <Override PartName="/xl/worksheets/sheet17.xml" ContentType="application/vnd.openxmlformats-officedocument.spreadsheetml.worksheet+xml"/>
  <Override PartName="/xl/revisions/revisionLog1311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611111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1121.xml" ContentType="application/vnd.openxmlformats-officedocument.spreadsheetml.revisionLog+xml"/>
  <Override PartName="/xl/revisions/revisionLog128111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117111.xml" ContentType="application/vnd.openxmlformats-officedocument.spreadsheetml.revisionLog+xml"/>
  <Override PartName="/xl/revisions/revisionLog1114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1412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1291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141111.xml" ContentType="application/vnd.openxmlformats-officedocument.spreadsheetml.revisionLog+xml"/>
  <Override PartName="/xl/revisions/revisionLog125.xml" ContentType="application/vnd.openxmlformats-officedocument.spreadsheetml.revisionLo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revisions/revisionLog161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5121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2212.xml" ContentType="application/vnd.openxmlformats-officedocument.spreadsheetml.revisionLog+xml"/>
  <Override PartName="/xl/revisions/revisionLog116211.xml" ContentType="application/vnd.openxmlformats-officedocument.spreadsheetml.revisionLog+xml"/>
  <Override PartName="/xl/revisions/revisionLog11721.xml" ContentType="application/vnd.openxmlformats-officedocument.spreadsheetml.revisionLog+xml"/>
  <Override PartName="/xl/revisions/revisionLog151211.xml" ContentType="application/vnd.openxmlformats-officedocument.spreadsheetml.revisionLog+xml"/>
  <Override PartName="/xl/revisions/revisionLog1222.xml" ContentType="application/vnd.openxmlformats-officedocument.spreadsheetml.revisionLog+xml"/>
  <Override PartName="/xl/revisions/revisionLog11021.xml" ContentType="application/vnd.openxmlformats-officedocument.spreadsheetml.revisionLog+xml"/>
  <Override PartName="/xl/revisions/revisionLog12312111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231211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1811.xml" ContentType="application/vnd.openxmlformats-officedocument.spreadsheetml.revisionLog+xml"/>
  <Override PartName="/xl/revisions/revisionLog11614.xml" ContentType="application/vnd.openxmlformats-officedocument.spreadsheetml.revisionLog+xml"/>
  <Override PartName="/xl/revisions/revisionLog12513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312.xml" ContentType="application/vnd.openxmlformats-officedocument.spreadsheetml.revisionLog+xml"/>
  <Override PartName="/xl/revisions/revisionLog1173.xml" ContentType="application/vnd.openxmlformats-officedocument.spreadsheetml.revisionLog+xml"/>
  <Override PartName="/xl/revisions/revisionLog122211.xml" ContentType="application/vnd.openxmlformats-officedocument.spreadsheetml.revisionLog+xml"/>
  <Override PartName="/xl/revisions/revisionLog11122.xml" ContentType="application/vnd.openxmlformats-officedocument.spreadsheetml.revisionLog+xml"/>
  <Override PartName="/xl/revisions/revisionLog1301.xml" ContentType="application/vnd.openxmlformats-officedocument.spreadsheetml.revisionLog+xml"/>
  <Override PartName="/xl/revisions/revisionLog1162.xml" ContentType="application/vnd.openxmlformats-officedocument.spreadsheetml.revisionLog+xml"/>
  <Override PartName="/xl/revisions/revisionLog127111.xml" ContentType="application/vnd.openxmlformats-officedocument.spreadsheetml.revisionLog+xml"/>
  <Override PartName="/xl/revisions/revisionLog11111.xml" ContentType="application/vnd.openxmlformats-officedocument.spreadsheetml.revisionLog+xml"/>
  <Override PartName="/xl/revisions/revisionLog1132111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104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2611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291111.xml" ContentType="application/vnd.openxmlformats-officedocument.spreadsheetml.revisionLog+xml"/>
  <Override PartName="/xl/revisions/revisionLog11912.xml" ContentType="application/vnd.openxmlformats-officedocument.spreadsheetml.revisionLog+xml"/>
  <Override PartName="/xl/worksheets/sheet14.xml" ContentType="application/vnd.openxmlformats-officedocument.spreadsheetml.worksheet+xml"/>
  <Override PartName="/xl/revisions/revisionLog191.xml" ContentType="application/vnd.openxmlformats-officedocument.spreadsheetml.revisionLog+xml"/>
  <Override PartName="/xl/revisions/revisionLog11412111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21121.xml" ContentType="application/vnd.openxmlformats-officedocument.spreadsheetml.revisionLog+xml"/>
  <Override PartName="/xl/revisions/revisionLog13411.xml" ContentType="application/vnd.openxmlformats-officedocument.spreadsheetml.revisionLog+xml"/>
  <Override PartName="/xl/revisions/revisionLog1252.xml" ContentType="application/vnd.openxmlformats-officedocument.spreadsheetml.revisionLog+xml"/>
  <Override PartName="/xl/revisions/revisionLog11212.xml" ContentType="application/vnd.openxmlformats-officedocument.spreadsheetml.revisionLo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revisions/revisionLog17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Log111111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33111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4211.xml" ContentType="application/vnd.openxmlformats-officedocument.spreadsheetml.revisionLog+xml"/>
  <Override PartName="/xl/revisions/revisionLog114121.xml" ContentType="application/vnd.openxmlformats-officedocument.spreadsheetml.revisionLog+xml"/>
  <Override PartName="/xl/revisions/revisionLog121211.xml" ContentType="application/vnd.openxmlformats-officedocument.spreadsheetml.revisionLog+xml"/>
  <Override PartName="/xl/revisions/revisionLog19111.xml" ContentType="application/vnd.openxmlformats-officedocument.spreadsheetml.revisionLog+xml"/>
  <Override PartName="/xl/revisions/revisionLog111212.xml" ContentType="application/vnd.openxmlformats-officedocument.spreadsheetml.revisionLog+xml"/>
  <Override PartName="/xl/worksheets/sheet19.xml" ContentType="application/vnd.openxmlformats-officedocument.spreadsheetml.worksheet+xml"/>
  <Override PartName="/xl/revisions/revisionLog126111.xml" ContentType="application/vnd.openxmlformats-officedocument.spreadsheetml.revisionLog+xml"/>
  <Override PartName="/xl/revisions/revisionLog1131111.xml" ContentType="application/vnd.openxmlformats-officedocument.spreadsheetml.revisionLog+xml"/>
  <Override PartName="/xl/revisions/revisionLog11622.xml" ContentType="application/vnd.openxmlformats-officedocument.spreadsheetml.revisionLog+xml"/>
  <Override PartName="/xl/revisions/revisionLog1192.xml" ContentType="application/vnd.openxmlformats-officedocument.spreadsheetml.revisionLog+xml"/>
  <Override PartName="/xl/revisions/revisionLog1331.xml" ContentType="application/vnd.openxmlformats-officedocument.spreadsheetml.revisionLog+xml"/>
  <Override PartName="/xl/revisions/revisionLog11141.xml" ContentType="application/vnd.openxmlformats-officedocument.spreadsheetml.revisionLog+xml"/>
  <Override PartName="/xl/revisions/revisionLog1181.xml" ContentType="application/vnd.openxmlformats-officedocument.spreadsheetml.revisionLog+xml"/>
  <Override PartName="/docProps/core.xml" ContentType="application/vnd.openxmlformats-package.core-properties+xml"/>
  <Override PartName="/xl/revisions/revisionLog11414.xml" ContentType="application/vnd.openxmlformats-officedocument.spreadsheetml.revisionLog+xml"/>
  <Override PartName="/xl/revisions/revisionLog11611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112.xml" ContentType="application/vnd.openxmlformats-officedocument.spreadsheetml.revisionLog+xml"/>
  <Override PartName="/xl/revisions/revisionLog161111.xml" ContentType="application/vnd.openxmlformats-officedocument.spreadsheetml.revisionLog+xml"/>
  <Override PartName="/xl/revisions/revisionLog114211.xml" ContentType="application/vnd.openxmlformats-officedocument.spreadsheetml.revisionLog+xml"/>
  <Override PartName="/xl/revisions/revisionLog138.xml" ContentType="application/vnd.openxmlformats-officedocument.spreadsheetml.revisionLo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revisions/revisionLog1141211.xml" ContentType="application/vnd.openxmlformats-officedocument.spreadsheetml.revisionLog+xml"/>
  <Override PartName="/xl/revisions/revisionLog1241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261111.xml" ContentType="application/vnd.openxmlformats-officedocument.spreadsheetml.revisionLog+xml"/>
  <Override PartName="/xl/revisions/revisionLog1282.xml" ContentType="application/vnd.openxmlformats-officedocument.spreadsheetml.revisionLog+xml"/>
  <Override PartName="/xl/revisions/revisionLog119111.xml" ContentType="application/vnd.openxmlformats-officedocument.spreadsheetml.revisionLog+xml"/>
  <Override PartName="/xl/revisions/revisionLog1101.xml" ContentType="application/vnd.openxmlformats-officedocument.spreadsheetml.revisionLog+xml"/>
  <Override PartName="/xl/worksheets/sheet11.xml" ContentType="application/vnd.openxmlformats-officedocument.spreadsheetml.worksheet+xml"/>
  <Default Extension="rels" ContentType="application/vnd.openxmlformats-package.relationships+xml"/>
  <Override PartName="/xl/revisions/revisionLog110111.xml" ContentType="application/vnd.openxmlformats-officedocument.spreadsheetml.revisionLog+xml"/>
  <Override PartName="/xl/revisions/revisionLog132111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271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15112.xml" ContentType="application/vnd.openxmlformats-officedocument.spreadsheetml.revisionLog+xml"/>
  <Override PartName="/xl/revisions/revisionLog17121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202.xml" ContentType="application/vnd.openxmlformats-officedocument.spreadsheetml.revisionLog+xml"/>
  <Override PartName="/xl/revisions/revisionLog110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activeTab="18"/>
  </bookViews>
  <sheets>
    <sheet name="Консол" sheetId="1" r:id="rId1"/>
    <sheet name="Справка" sheetId="2" r:id="rId2"/>
    <sheet name="район" sheetId="3" r:id="rId3"/>
    <sheet name="Але" sheetId="4" r:id="rId4"/>
    <sheet name="Сун" sheetId="5" r:id="rId5"/>
    <sheet name="Иль" sheetId="6" r:id="rId6"/>
    <sheet name="Кад" sheetId="7" r:id="rId7"/>
    <sheet name="Мор" sheetId="8" r:id="rId8"/>
    <sheet name="Мос" sheetId="9" r:id="rId9"/>
    <sheet name="Ори" sheetId="10" r:id="rId10"/>
    <sheet name="Сят" sheetId="11" r:id="rId11"/>
    <sheet name="Тор" sheetId="12" r:id="rId12"/>
    <sheet name="Хор" sheetId="13" r:id="rId13"/>
    <sheet name="Чум" sheetId="14" r:id="rId14"/>
    <sheet name="Шать" sheetId="15" r:id="rId15"/>
    <sheet name="Юнг" sheetId="16" r:id="rId16"/>
    <sheet name="Юсь" sheetId="17" r:id="rId17"/>
    <sheet name="Яра" sheetId="18" r:id="rId18"/>
    <sheet name="Яро" sheetId="19" r:id="rId19"/>
    <sheet name="Лист1" sheetId="20" state="hidden" r:id="rId20"/>
    <sheet name="Лист2" sheetId="21" state="hidden" r:id="rId21"/>
  </sheets>
  <definedNames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Иль!$A$1:$F$103</definedName>
    <definedName name="Z_1718F1EE_9F48_4DBE_9531_3B70F9C4A5DD_.wvu.PrintArea" localSheetId="0" hidden="1">Консол!$A$1:$K$50</definedName>
    <definedName name="Z_1718F1EE_9F48_4DBE_9531_3B70F9C4A5DD_.wvu.PrintArea" localSheetId="7" hidden="1">Мор!$A$1:$F$100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Тор!$A$1:$F$101</definedName>
    <definedName name="Z_1718F1EE_9F48_4DBE_9531_3B70F9C4A5DD_.wvu.PrintArea" localSheetId="15" hidden="1">Юнг!$A$1:$F$99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Але!$19:$24,Але!$28:$36,Але!$46:$46,Але!$53:$53,Але!$55:$57,Але!$63:$64,Але!$69:$69,Але!$71:$71,Але!$73:$74,Але!$78:$82,Але!$85:$92,Але!$141:$141</definedName>
    <definedName name="Z_1718F1EE_9F48_4DBE_9531_3B70F9C4A5DD_.wvu.Rows" localSheetId="5" hidden="1">Иль!$19:$24,Иль!$30:$39,Иль!$45:$45,Иль!$47:$50,Иль!$58:$58,Иль!$60:$62,Иль!$68:$69,Иль!$77:$78,Иль!$80:$80,Иль!$85:$89,Иль!$92:$99,Иль!$142:$142</definedName>
    <definedName name="Z_1718F1EE_9F48_4DBE_9531_3B70F9C4A5DD_.wvu.Rows" localSheetId="6" hidden="1">Кад!$19:$24,Кад!$29:$35,Кад!$38:$38,Кад!$42:$42,Кад!$44:$44,Кад!$46:$49,Кад!$56:$56,Кад!$58:$60,Кад!$66:$67,Кад!$76:$77,Кад!$81:$85,Кад!$88:$95,Кад!$141:$141</definedName>
    <definedName name="Z_1718F1EE_9F48_4DBE_9531_3B70F9C4A5DD_.wvu.Rows" localSheetId="0" hidden="1">Консол!$22:$22,Консол!$43:$45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Мор!$17:$24,Мор!$27:$27,Мор!$31:$35,Мор!$37:$37,Мор!$44:$44,Мор!$46:$47,Мор!$49:$50,Мор!$57:$57,Мор!$59:$61,Мор!$64:$65,Мор!$67:$68,Мор!$77:$78,Мор!$82:$87,Мор!$90:$96,Мор!$141:$141</definedName>
    <definedName name="Z_1718F1EE_9F48_4DBE_9531_3B70F9C4A5DD_.wvu.Rows" localSheetId="8" hidden="1">Мос!$19:$24,Мос!$29:$35,Мос!$44:$44,Мос!$46:$49,Мос!$57:$57,Мос!$59:$61,Мос!$67:$68,Мос!$77:$78,Мос!$80:$80,Мос!$83:$90,Мос!$93:$100,Мос!$141:$141</definedName>
    <definedName name="Z_1718F1EE_9F48_4DBE_9531_3B70F9C4A5DD_.wvu.Rows" localSheetId="9" hidden="1">Ори!$19:$24,Ори!$31:$35,Ори!$44:$44,Ори!$46:$46,Ори!$48:$50,Ори!$57:$57,Ори!$59:$61,Ори!$67:$68,Ори!$77:$78,Ори!$80:$80,Ори!$83:$87,Ори!$90:$97,Ори!$141:$141</definedName>
    <definedName name="Z_1718F1EE_9F48_4DBE_9531_3B70F9C4A5DD_.wvu.Rows" localSheetId="2" hidden="1">район!$17:$18,район!$20:$20,район!$25:$25,район!$27:$31,район!$35:$35,район!$38:$38,район!$49:$50,район!$74:$74,район!$81:$81,район!$98:$98,район!$104:$104,район!$131:$133,район!$136:$137</definedName>
    <definedName name="Z_1718F1EE_9F48_4DBE_9531_3B70F9C4A5DD_.wvu.Rows" localSheetId="1" hidden="1">Справка!$33:$33</definedName>
    <definedName name="Z_1718F1EE_9F48_4DBE_9531_3B70F9C4A5DD_.wvu.Rows" localSheetId="4" hidden="1">Сун!$19:$24,Сун!$34:$39,Сун!$43:$43,Сун!$45:$45,Сун!$47:$47,Сун!$49:$51,Сун!$58:$58,Сун!$60:$62,Сун!$68:$69,Сун!$78:$79,Сун!$81:$81,Сун!$84:$89,Сун!$92:$99,Сун!$141:$141</definedName>
    <definedName name="Z_1718F1EE_9F48_4DBE_9531_3B70F9C4A5DD_.wvu.Rows" localSheetId="10" hidden="1">Сят!$19:$24,Сят!$31:$35,Сят!$38:$38,Сят!$45:$48,Сят!$57:$57,Сят!$59:$61,Сят!$67:$68,Сят!$77:$78,Сят!$82:$86,Сят!$89:$96,Сят!$142:$142</definedName>
    <definedName name="Z_1718F1EE_9F48_4DBE_9531_3B70F9C4A5DD_.wvu.Rows" localSheetId="11" hidden="1">Тор!$19:$24,Тор!$32:$36,Тор!$39:$39,Тор!$46:$47,Тор!$50:$50,Тор!$57:$57,Тор!$59:$61,Тор!$67:$68,Тор!$74:$74,Тор!$78:$79,Тор!$83:$95,Тор!$142:$142</definedName>
    <definedName name="Z_1718F1EE_9F48_4DBE_9531_3B70F9C4A5DD_.wvu.Rows" localSheetId="12" hidden="1">Хор!$19:$24,Хор!$28:$36,Хор!$40:$40,Хор!$44:$44,Хор!$46:$48,Хор!$55:$55,Хор!$57:$59,Хор!$65:$66,Хор!$71:$71,Хор!$75:$76,Хор!$80:$84,Хор!$87:$94,Хор!$141:$141</definedName>
    <definedName name="Z_1718F1EE_9F48_4DBE_9531_3B70F9C4A5DD_.wvu.Rows" localSheetId="13" hidden="1">Чум!$19:$24,Чум!$31:$39,Чум!$46:$49,Чум!$57:$57,Чум!$59:$61,Чум!$67:$68,Чум!$77:$78,Чум!$82:$86,Чум!$89:$96,Чум!$141:$141</definedName>
    <definedName name="Z_1718F1EE_9F48_4DBE_9531_3B70F9C4A5DD_.wvu.Rows" localSheetId="14" hidden="1">Шать!$19:$19,Шать!$22:$25,Шать!$46:$49,Шать!$57:$57,Шать!$59:$61,Шать!$67:$68,Шать!$77:$78,Шать!$82:$86,Шать!$89:$96,Шать!$141:$141</definedName>
    <definedName name="Z_1718F1EE_9F48_4DBE_9531_3B70F9C4A5DD_.wvu.Rows" localSheetId="15" hidden="1">Юнг!$19:$24,Юнг!$31:$35,Юнг!$38:$38,Юнг!$45:$47,Юнг!$49:$49,Юнг!$56:$56,Юнг!$58:$60,Юнг!$66:$68,Юнг!$76:$77,Юнг!$81:$85,Юнг!$88:$95,Юнг!$141:$141</definedName>
    <definedName name="Z_1718F1EE_9F48_4DBE_9531_3B70F9C4A5DD_.wvu.Rows" localSheetId="16" hidden="1">Юсь!$19:$24,Юсь!$31:$33,Юсь!$36:$36,Юсь!$44:$50,Юсь!$58:$58,Юсь!$60:$62,Юсь!$68:$69,Юсь!$78:$79,Юсь!$83:$87,Юсь!$90:$97,Юсь!$141:$141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Яро!$19:$24,Яро!$28:$33,Яро!$43:$44,Яро!$46:$47,Яро!$54:$54,Яро!$56:$57,Яро!$64:$65,Яро!$74:$75,Яро!$79:$83,Яро!$86:$93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Иль!$A$1:$F$103</definedName>
    <definedName name="Z_42584DC0_1D41_4C93_9B38_C388E7B8DAC4_.wvu.PrintArea" localSheetId="0" hidden="1">Консол!$A$1:$K$50</definedName>
    <definedName name="Z_42584DC0_1D41_4C93_9B38_C388E7B8DAC4_.wvu.PrintArea" localSheetId="7" hidden="1">Мор!$A$1:$F$100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Тор!$A$1:$F$101</definedName>
    <definedName name="Z_42584DC0_1D41_4C93_9B38_C388E7B8DAC4_.wvu.PrintArea" localSheetId="15" hidden="1">Юнг!$A$1:$F$99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Але!$19:$24,Але!$31:$33,Але!$36:$36,Але!$44:$44,Але!$46:$46,Але!$53:$53,Але!$55:$57,Але!$63:$64,Але!$73:$74,Але!$78:$82,Але!$85:$92</definedName>
    <definedName name="Z_42584DC0_1D41_4C93_9B38_C388E7B8DAC4_.wvu.Rows" localSheetId="5" hidden="1">Иль!$19:$24,Иль!$30:$39,Иль!$45:$45,Иль!$47:$50,Иль!$58:$58,Иль!$60:$62,Иль!$68:$69,Иль!$77:$78,Иль!$80:$80,Иль!$85:$89,Иль!$92:$99</definedName>
    <definedName name="Z_42584DC0_1D41_4C93_9B38_C388E7B8DAC4_.wvu.Rows" localSheetId="6" hidden="1">Кад!$19:$24,Кад!$31:$35,Кад!$38:$38,Кад!$44:$44,Кад!$46:$46,Кад!$48:$49,Кад!$56:$56,Кад!$58:$60,Кад!$66:$67,Кад!$76:$77,Кад!$81:$85,Кад!$88:$95</definedName>
    <definedName name="Z_42584DC0_1D41_4C93_9B38_C388E7B8DAC4_.wvu.Rows" localSheetId="0" hidden="1">Консол!$22:$22,Консол!$43:$45</definedName>
    <definedName name="Z_42584DC0_1D41_4C93_9B38_C388E7B8DAC4_.wvu.Rows" localSheetId="7" hidden="1">Мор!$17:$24,Мор!$37:$37,Мор!$44:$44,Мор!$46:$47,Мор!$49:$50,Мор!$57:$57,Мор!$59:$60,Мор!$64:$65,Мор!$67:$68,Мор!$77:$78,Мор!$82:$87,Мор!$90:$96</definedName>
    <definedName name="Z_42584DC0_1D41_4C93_9B38_C388E7B8DAC4_.wvu.Rows" localSheetId="8" hidden="1">Мос!$19:$24,Мос!$29:$35,Мос!$44:$44,Мос!$46:$49,Мос!$57:$57,Мос!$59:$60,Мос!$67:$68,Мос!$77:$78,Мос!$80:$80,Мос!$83:$90,Мос!$93:$100</definedName>
    <definedName name="Z_42584DC0_1D41_4C93_9B38_C388E7B8DAC4_.wvu.Rows" localSheetId="9" hidden="1">Ори!$19:$24,Ори!$31:$35,Ори!$38:$38,Ори!$44:$44,Ори!$46:$46,Ори!$48:$50,Ори!$57:$57,Ори!$59:$61,Ори!$67:$68,Ори!$77:$78,Ори!$80:$80,Ори!$83:$87,Ори!$90:$97</definedName>
    <definedName name="Z_42584DC0_1D41_4C93_9B38_C388E7B8DAC4_.wvu.Rows" localSheetId="2" hidden="1">район!$17:$18,район!$20:$20,район!$25:$25,район!$27:$31,район!$35:$35,район!$38:$38,район!$45:$45,район!$49:$50,район!$61:$61,район!$66:$66,район!$68:$70,район!$74:$74,район!$81:$81,район!$92:$92,район!$98:$98,район!$101:$101,район!$104:$104,район!$111:$111,район!$131:$133,район!$136:$137</definedName>
    <definedName name="Z_42584DC0_1D41_4C93_9B38_C388E7B8DAC4_.wvu.Rows" localSheetId="1" hidden="1">Справка!$33:$33</definedName>
    <definedName name="Z_42584DC0_1D41_4C93_9B38_C388E7B8DAC4_.wvu.Rows" localSheetId="4" hidden="1">Сун!$19:$24,Сун!$34:$39,Сун!$49:$51,Сун!$58:$58,Сун!$60:$63,Сун!$68:$69,Сун!$78:$79,Сун!$81:$81,Сун!$84:$84,Сун!$86:$88,Сун!$92:$99</definedName>
    <definedName name="Z_42584DC0_1D41_4C93_9B38_C388E7B8DAC4_.wvu.Rows" localSheetId="10" hidden="1">Сят!$19:$24,Сят!$31:$35,Сят!$45:$48,Сят!$57:$57,Сят!$59:$60,Сят!$67:$68,Сят!$77:$78,Сят!$82:$86,Сят!$89:$96</definedName>
    <definedName name="Z_42584DC0_1D41_4C93_9B38_C388E7B8DAC4_.wvu.Rows" localSheetId="11" hidden="1">Тор!$19:$24,Тор!$32:$36,Тор!$46:$47,Тор!$50:$50,Тор!$57:$57,Тор!$59:$60,Тор!$67:$68,Тор!$74:$74,Тор!$78:$79,Тор!$83:$95</definedName>
    <definedName name="Z_42584DC0_1D41_4C93_9B38_C388E7B8DAC4_.wvu.Rows" localSheetId="12" hidden="1">Хор!$19:$24,Хор!$28:$36,Хор!$40:$40,Хор!$44:$44,Хор!$46:$48,Хор!$55:$55,Хор!$57:$59,Хор!$65:$66,Хор!$71:$71,Хор!$75:$76,Хор!$80:$84,Хор!$87:$94</definedName>
    <definedName name="Z_42584DC0_1D41_4C93_9B38_C388E7B8DAC4_.wvu.Rows" localSheetId="13" hidden="1">Чум!$19:$24,Чум!$31:$36,Чум!$47:$49,Чум!$57:$57,Чум!$59:$61,Чум!$67:$68,Чум!$77:$78,Чум!$82:$86,Чум!$89:$96</definedName>
    <definedName name="Z_42584DC0_1D41_4C93_9B38_C388E7B8DAC4_.wvu.Rows" localSheetId="14" hidden="1">Шать!$19:$24,Шать!$32:$33,Шать!$35:$35,Шать!$38:$38,Шать!$46:$49,Шать!$57:$57,Шать!$59:$61,Шать!$67:$68,Шать!$77:$78,Шать!$82:$86,Шать!$89:$96</definedName>
    <definedName name="Z_42584DC0_1D41_4C93_9B38_C388E7B8DAC4_.wvu.Rows" localSheetId="15" hidden="1">Юнг!$19:$24,Юнг!$31:$38,Юнг!$45:$46,Юнг!$49:$49,Юнг!$56:$56,Юнг!$58:$60,Юнг!$66:$68,Юнг!$76:$77,Юнг!$81:$85,Юнг!$88:$95</definedName>
    <definedName name="Z_42584DC0_1D41_4C93_9B38_C388E7B8DAC4_.wvu.Rows" localSheetId="16" hidden="1">Юсь!$19:$24,Юсь!$31:$33,Юсь!$36:$36,Юсь!$40:$40,Юсь!$44:$49,Юсь!$58:$58,Юсь!$60:$62,Юсь!$68:$69,Юсь!$78:$79,Юсь!$83:$87,Юсь!$90:$97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Яро!$19:$24,Яро!$28:$36,Яро!$43:$44,Яро!$46:$47,Яро!$54:$54,Яро!$56:$58,Яро!$64:$65,Яро!$74:$75,Яро!$79:$83,Яро!$86:$93</definedName>
    <definedName name="Z_5BFCA170_DEAE_4D2C_98A0_1E68B427AC01_.wvu.Cols" localSheetId="1" hidden="1">Справка!$AV:$AX,Справка!$BB:$BD,Справка!$BH:$BM,Справка!$BT:$BY,Справка!$CX:$DF</definedName>
    <definedName name="Z_5BFCA170_DEAE_4D2C_98A0_1E68B427AC01_.wvu.PrintArea" localSheetId="5" hidden="1">Иль!$A$1:$F$103</definedName>
    <definedName name="Z_5BFCA170_DEAE_4D2C_98A0_1E68B427AC01_.wvu.PrintArea" localSheetId="0" hidden="1">Консол!$A$1:$K$50</definedName>
    <definedName name="Z_5BFCA170_DEAE_4D2C_98A0_1E68B427AC01_.wvu.PrintArea" localSheetId="7" hidden="1">Мор!$A$1:$F$100</definedName>
    <definedName name="Z_5BFCA170_DEAE_4D2C_98A0_1E68B427AC01_.wvu.PrintArea" localSheetId="1" hidden="1">Справка!$A$1:$EY$32</definedName>
    <definedName name="Z_5BFCA170_DEAE_4D2C_98A0_1E68B427AC01_.wvu.PrintArea" localSheetId="11" hidden="1">Тор!$A$1:$F$101</definedName>
    <definedName name="Z_5BFCA170_DEAE_4D2C_98A0_1E68B427AC01_.wvu.PrintArea" localSheetId="15" hidden="1">Юнг!$A$1:$F$99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Але!$19:$24,Але!$44:$44,Але!$46:$46,Але!$53:$53,Але!$55:$56,Але!$63:$64,Але!$73:$74,Але!$78:$92</definedName>
    <definedName name="Z_5BFCA170_DEAE_4D2C_98A0_1E68B427AC01_.wvu.Rows" localSheetId="5" hidden="1">Иль!$19:$24,Иль!$30:$31,Иль!$33:$33,Иль!$45:$45,Иль!$50:$50,Иль!$60:$61,Иль!$68:$69,Иль!$77:$78,Иль!$80:$80,Иль!$82:$89,Иль!$92:$96</definedName>
    <definedName name="Z_5BFCA170_DEAE_4D2C_98A0_1E68B427AC01_.wvu.Rows" localSheetId="6" hidden="1">Кад!$19:$24,Кад!$44:$44,Кад!$56:$56,Кад!$58:$59,Кад!$66:$67,Кад!$82:$84,Кад!$88:$95</definedName>
    <definedName name="Z_5BFCA170_DEAE_4D2C_98A0_1E68B427AC01_.wvu.Rows" localSheetId="0" hidden="1">Консол!$22:$22,Консол!$43:$45,Консол!$82:$84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Мор!$21:$21,Мор!$23:$23,Мор!$37:$37,Мор!$44:$44,Мор!$47:$47,Мор!$49:$50,Мор!$57:$57,Мор!$59:$60,Мор!$67:$68,Мор!$82:$87,Мор!$90:$96</definedName>
    <definedName name="Z_5BFCA170_DEAE_4D2C_98A0_1E68B427AC01_.wvu.Rows" localSheetId="8" hidden="1">Мос!$19:$24,Мос!$44:$44,Мос!$47:$49,Мос!$57:$57,Мос!$59:$60,Мос!$67:$68,Мос!$80:$80,Мос!$82:$88,Мос!$93:$98</definedName>
    <definedName name="Z_5BFCA170_DEAE_4D2C_98A0_1E68B427AC01_.wvu.Rows" localSheetId="9" hidden="1">Ори!$19:$24,Ори!$32:$32,Ори!$44:$44,Ори!$48:$50,Ори!$57:$57,Ори!$59:$60,Ори!$67:$68,Ори!$77:$78,Ори!$80:$80,Ори!$82:$86,Ори!$90:$97</definedName>
    <definedName name="Z_5BFCA170_DEAE_4D2C_98A0_1E68B427AC01_.wvu.Rows" localSheetId="2" hidden="1">район!$17:$18,район!$20:$20,район!$28:$30,район!$49:$50,район!$74:$74,район!$81:$81,район!$98:$98,район!$104:$104,район!$131:$133</definedName>
    <definedName name="Z_5BFCA170_DEAE_4D2C_98A0_1E68B427AC01_.wvu.Rows" localSheetId="1" hidden="1">Справка!$33:$33</definedName>
    <definedName name="Z_5BFCA170_DEAE_4D2C_98A0_1E68B427AC01_.wvu.Rows" localSheetId="4" hidden="1">Сун!$19:$24,Сун!$49:$51,Сун!$58:$58,Сун!$60:$61,Сун!$68:$69,Сун!$78:$79,Сун!$81:$84,Сун!$87:$88,Сун!$92:$96</definedName>
    <definedName name="Z_5BFCA170_DEAE_4D2C_98A0_1E68B427AC01_.wvu.Rows" localSheetId="10" hidden="1">Сят!$19:$19,Сят!$45:$47,Сят!$57:$57,Сят!$59:$60,Сят!$67:$68,Сят!$82:$85,Сят!$89:$96</definedName>
    <definedName name="Z_5BFCA170_DEAE_4D2C_98A0_1E68B427AC01_.wvu.Rows" localSheetId="11" hidden="1">Тор!$19:$19,Тор!$50:$50,Тор!$57:$57,Тор!$59:$60,Тор!$67:$68,Тор!$74:$74,Тор!$78:$79,Тор!$82:$93</definedName>
    <definedName name="Z_5BFCA170_DEAE_4D2C_98A0_1E68B427AC01_.wvu.Rows" localSheetId="12" hidden="1">Хор!$19:$24,Хор!$32:$32,Хор!$40:$40,Хор!$44:$48,Хор!$55:$55,Хор!$57:$58,Хор!$65:$66,Хор!$80:$84,Хор!$87:$94</definedName>
    <definedName name="Z_5BFCA170_DEAE_4D2C_98A0_1E68B427AC01_.wvu.Rows" localSheetId="13" hidden="1">Чум!$19:$19,Чум!$21:$21,Чум!$23:$24,Чум!$47:$49,Чум!$57:$57,Чум!$59:$60,Чум!$67:$68,Чум!$82:$86,Чум!$89:$96</definedName>
    <definedName name="Z_5BFCA170_DEAE_4D2C_98A0_1E68B427AC01_.wvu.Rows" localSheetId="14" hidden="1">Шать!$19:$24,Шать!$47:$49,Шать!$57:$57,Шать!$59:$60,Шать!$67:$68,Шать!$77:$78,Шать!$82:$86,Шать!$89:$96</definedName>
    <definedName name="Z_5BFCA170_DEAE_4D2C_98A0_1E68B427AC01_.wvu.Rows" localSheetId="15" hidden="1">Юнг!$19:$24,Юнг!$32:$32,Юнг!$46:$46,Юнг!$49:$49,Юнг!$56:$56,Юнг!$58:$59,Юнг!$66:$67,Юнг!$81:$85,Юнг!$88:$95</definedName>
    <definedName name="Z_5BFCA170_DEAE_4D2C_98A0_1E68B427AC01_.wvu.Rows" localSheetId="16" hidden="1">Юсь!$20:$24,Юсь!$40:$40,Юсь!$44:$49,Юсь!$58:$58,Юсь!$60:$61,Юсь!$68:$69,Юсь!$78:$79,Юсь!$82:$87,Юсь!$90:$97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Яро!$19:$24,Яро!$29:$30,Яро!$32:$32,Яро!$43:$43,Яро!$54:$54,Яро!$56:$57,Яро!$64:$65,Яро!$74:$75,Яро!$79:$84,Яро!$86:$93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Иль!$A$1:$F$103</definedName>
    <definedName name="Z_A54C432C_6C68_4B53_A75C_446EB3A61B2B_.wvu.PrintArea" localSheetId="0" hidden="1">Консол!$A$1:$K$50</definedName>
    <definedName name="Z_A54C432C_6C68_4B53_A75C_446EB3A61B2B_.wvu.PrintArea" localSheetId="7" hidden="1">Мор!$A$1:$F$100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Тор!$A$1:$F$101</definedName>
    <definedName name="Z_A54C432C_6C68_4B53_A75C_446EB3A61B2B_.wvu.PrintArea" localSheetId="15" hidden="1">Юнг!$A$1:$F$99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Але!$19:$24,Але!$28:$33,Але!$36:$36,Але!$46:$46,Але!$53:$53,Але!$55:$57,Але!$63:$64,Але!$73:$74,Але!$78:$82,Але!$85:$92,Але!$141:$141</definedName>
    <definedName name="Z_A54C432C_6C68_4B53_A75C_446EB3A61B2B_.wvu.Rows" localSheetId="5" hidden="1">Иль!$19:$24,Иль!$30:$39,Иль!$45:$45,Иль!$47:$50,Иль!$58:$58,Иль!$60:$62,Иль!$68:$69,Иль!$77:$78,Иль!$80:$80,Иль!$85:$89,Иль!$92:$99,Иль!$142:$142</definedName>
    <definedName name="Z_A54C432C_6C68_4B53_A75C_446EB3A61B2B_.wvu.Rows" localSheetId="6" hidden="1">Кад!$19:$24,Кад!$31:$35,Кад!$38:$38,Кад!$42:$42,Кад!$44:$44,Кад!$46:$46,Кад!$48:$49,Кад!$56:$56,Кад!$58:$60,Кад!$66:$67,Кад!$76:$77,Кад!$81:$85,Кад!$88:$95,Кад!$141:$141</definedName>
    <definedName name="Z_A54C432C_6C68_4B53_A75C_446EB3A61B2B_.wvu.Rows" localSheetId="0" hidden="1">Консол!$22:$22,Консол!$43:$45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Мор!$17:$24,Мор!$27:$27,Мор!$31:$35,Мор!$37:$37,Мор!$44:$44,Мор!$46:$47,Мор!$49:$50,Мор!$57:$57,Мор!$59:$60,Мор!$64:$65,Мор!$67:$68,Мор!$77:$78,Мор!$82:$87,Мор!$90:$96,Мор!$141:$141</definedName>
    <definedName name="Z_A54C432C_6C68_4B53_A75C_446EB3A61B2B_.wvu.Rows" localSheetId="8" hidden="1">Мос!$19:$24,Мос!$29:$35,Мос!$44:$44,Мос!$46:$49,Мос!$57:$57,Мос!$59:$60,Мос!$67:$68,Мос!$77:$78,Мос!$80:$80,Мос!$83:$90,Мос!$93:$100,Мос!$141:$141</definedName>
    <definedName name="Z_A54C432C_6C68_4B53_A75C_446EB3A61B2B_.wvu.Rows" localSheetId="9" hidden="1">Ори!$19:$24,Ори!$31:$35,Ори!$44:$44,Ори!$46:$46,Ори!$48:$50,Ори!$57:$57,Ори!$59:$60,Ори!$67:$68,Ори!$77:$78,Ори!$80:$80,Ори!$83:$87,Ори!$90:$97,Ори!$141:$141</definedName>
    <definedName name="Z_A54C432C_6C68_4B53_A75C_446EB3A61B2B_.wvu.Rows" localSheetId="2" hidden="1">район!$17:$18,район!$20:$20,район!$25:$25,район!$27:$31,район!$35:$35,район!$38:$38,район!$49:$50,район!$61:$61,район!$74:$74,район!$81:$81,район!$98:$98,район!$104:$104,район!$131:$133,район!$136:$137</definedName>
    <definedName name="Z_A54C432C_6C68_4B53_A75C_446EB3A61B2B_.wvu.Rows" localSheetId="1" hidden="1">Справка!$33:$33</definedName>
    <definedName name="Z_A54C432C_6C68_4B53_A75C_446EB3A61B2B_.wvu.Rows" localSheetId="4" hidden="1">Сун!$19:$24,Сун!$34:$39,Сун!$43:$43,Сун!$45:$45,Сун!$47:$47,Сун!$49:$51,Сун!$58:$58,Сун!$60:$62,Сун!$68:$69,Сун!$78:$79,Сун!$81:$81,Сун!$84:$84,Сун!$86:$88,Сун!$92:$99,Сун!$141:$141</definedName>
    <definedName name="Z_A54C432C_6C68_4B53_A75C_446EB3A61B2B_.wvu.Rows" localSheetId="10" hidden="1">Сят!$19:$24,Сят!$31:$35,Сят!$38:$38,Сят!$45:$48,Сят!$57:$57,Сят!$59:$60,Сят!$67:$68,Сят!$77:$78,Сят!$82:$86,Сят!$89:$96,Сят!$142:$142</definedName>
    <definedName name="Z_A54C432C_6C68_4B53_A75C_446EB3A61B2B_.wvu.Rows" localSheetId="11" hidden="1">Тор!$19:$24,Тор!$32:$36,Тор!$39:$39,Тор!$46:$47,Тор!$50:$50,Тор!$57:$57,Тор!$59:$60,Тор!$67:$68,Тор!$74:$74,Тор!$78:$79,Тор!$83:$95,Тор!$142:$142</definedName>
    <definedName name="Z_A54C432C_6C68_4B53_A75C_446EB3A61B2B_.wvu.Rows" localSheetId="12" hidden="1">Хор!$19:$24,Хор!$28:$36,Хор!$40:$40,Хор!$44:$44,Хор!$46:$48,Хор!$55:$55,Хор!$57:$59,Хор!$65:$66,Хор!$71:$71,Хор!$75:$76,Хор!$80:$84,Хор!$87:$94,Хор!$141:$141</definedName>
    <definedName name="Z_A54C432C_6C68_4B53_A75C_446EB3A61B2B_.wvu.Rows" localSheetId="13" hidden="1">Чум!$19:$24,Чум!$31:$36,Чум!$46:$49,Чум!$57:$57,Чум!$59:$61,Чум!$67:$68,Чум!$77:$78,Чум!$82:$86,Чум!$89:$96,Чум!$141:$141</definedName>
    <definedName name="Z_A54C432C_6C68_4B53_A75C_446EB3A61B2B_.wvu.Rows" localSheetId="14" hidden="1">Шать!$19:$25,Шать!$31:$33,Шать!$46:$49,Шать!$57:$57,Шать!$59:$60,Шать!$67:$68,Шать!$77:$78,Шать!$83:$85,Шать!$89:$96,Шать!$141:$141</definedName>
    <definedName name="Z_A54C432C_6C68_4B53_A75C_446EB3A61B2B_.wvu.Rows" localSheetId="15" hidden="1">Юнг!$19:$24,Юнг!$31:$35,Юнг!$38:$38,Юнг!$46:$47,Юнг!$56:$56,Юнг!$58:$60,Юнг!$66:$68,Юнг!$76:$77,Юнг!$81:$85,Юнг!$88:$95,Юнг!$141:$141</definedName>
    <definedName name="Z_A54C432C_6C68_4B53_A75C_446EB3A61B2B_.wvu.Rows" localSheetId="16" hidden="1">Юсь!$19:$24,Юсь!$31:$33,Юсь!$36:$36,Юсь!$44:$50,Юсь!$58:$58,Юсь!$60:$61,Юсь!$68:$69,Юсь!$78:$79,Юсь!$83:$87,Юсь!$90:$97,Юсь!$141:$141</definedName>
    <definedName name="Z_A54C432C_6C68_4B53_A75C_446EB3A61B2B_.wvu.Rows" localSheetId="17" hidden="1">Яра!$19:$24,Яра!$32:$36,Яра!$46:$50,Яра!$58:$58,Яра!$60:$62,Яра!$68:$69,Яра!$79:$80,Яра!$84:$88,Яра!$91:$98,Яра!$143:$143</definedName>
    <definedName name="Z_A54C432C_6C68_4B53_A75C_446EB3A61B2B_.wvu.Rows" localSheetId="18" hidden="1">Яро!$19:$24,Яро!$28:$36,Яро!$43:$44,Яро!$46:$46,Яро!$54:$54,Яро!$56:$58,Яро!$64:$65,Яро!$74:$74,Яро!$79:$83,Яро!$86:$93</definedName>
    <definedName name="Z_B30CE22D_C12F_4E12_8BB9_3AAE0A6991CC_.wvu.Cols" localSheetId="1" hidden="1">Справка!$AV:$AX,Справка!$BB:$BD,Справка!$BH:$BP,Справка!$BT:$BY,Справка!$CX:$DF</definedName>
    <definedName name="Z_B30CE22D_C12F_4E12_8BB9_3AAE0A6991CC_.wvu.PrintArea" localSheetId="5" hidden="1">Иль!$A$1:$F$103</definedName>
    <definedName name="Z_B30CE22D_C12F_4E12_8BB9_3AAE0A6991CC_.wvu.PrintArea" localSheetId="0" hidden="1">Консол!$A$1:$K$50</definedName>
    <definedName name="Z_B30CE22D_C12F_4E12_8BB9_3AAE0A6991CC_.wvu.PrintArea" localSheetId="7" hidden="1">Мор!$A$1:$F$100</definedName>
    <definedName name="Z_B30CE22D_C12F_4E12_8BB9_3AAE0A6991CC_.wvu.PrintArea" localSheetId="1" hidden="1">Справка!$A$1:$EY$31</definedName>
    <definedName name="Z_B30CE22D_C12F_4E12_8BB9_3AAE0A6991CC_.wvu.PrintArea" localSheetId="11" hidden="1">Тор!$A$1:$F$101</definedName>
    <definedName name="Z_B30CE22D_C12F_4E12_8BB9_3AAE0A6991CC_.wvu.PrintArea" localSheetId="15" hidden="1">Юнг!$A$1:$F$99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Але!$19:$24,Але!$28:$33,Але!$36:$36,Але!$46:$46,Але!$53:$53,Але!$55:$57,Але!$63:$64,Але!$73:$74,Але!$78:$82,Але!$85:$92,Але!$141:$141</definedName>
    <definedName name="Z_B30CE22D_C12F_4E12_8BB9_3AAE0A6991CC_.wvu.Rows" localSheetId="5" hidden="1">Иль!$19:$24,Иль!$30:$39,Иль!$45:$45,Иль!$47:$50,Иль!$58:$58,Иль!$60:$62,Иль!$68:$69,Иль!$77:$78,Иль!$80:$80,Иль!$85:$89,Иль!$92:$99,Иль!$142:$142</definedName>
    <definedName name="Z_B30CE22D_C12F_4E12_8BB9_3AAE0A6991CC_.wvu.Rows" localSheetId="6" hidden="1">Кад!$19:$24,Кад!$31:$35,Кад!$38:$38,Кад!$42:$42,Кад!$44:$44,Кад!$46:$46,Кад!$48:$49,Кад!$56:$56,Кад!$58:$60,Кад!$66:$67,Кад!$76:$77,Кад!$81:$85,Кад!$88:$95,Кад!$141:$141</definedName>
    <definedName name="Z_B30CE22D_C12F_4E12_8BB9_3AAE0A6991CC_.wvu.Rows" localSheetId="0" hidden="1">Консол!$22:$22,Консол!$43:$45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Мор!$17:$24,Мор!$27:$27,Мор!$31:$35,Мор!$37:$37,Мор!$44:$44,Мор!$46:$47,Мор!$49:$50,Мор!$57:$57,Мор!$59:$60,Мор!$64:$65,Мор!$67:$68,Мор!$77:$78,Мор!$82:$87,Мор!$90:$96,Мор!$141:$141</definedName>
    <definedName name="Z_B30CE22D_C12F_4E12_8BB9_3AAE0A6991CC_.wvu.Rows" localSheetId="8" hidden="1">Мос!$19:$24,Мос!$29:$35,Мос!$44:$44,Мос!$46:$49,Мос!$57:$57,Мос!$59:$60,Мос!$67:$68,Мос!$77:$78,Мос!$80:$80,Мос!$83:$90,Мос!$93:$100,Мос!$141:$141</definedName>
    <definedName name="Z_B30CE22D_C12F_4E12_8BB9_3AAE0A6991CC_.wvu.Rows" localSheetId="9" hidden="1">Ори!$19:$24,Ори!$31:$35,Ори!$44:$44,Ори!$46:$46,Ори!$48:$50,Ори!$57:$57,Ори!$59:$60,Ори!$67:$68,Ори!$77:$78,Ори!$80:$80,Ори!$83:$87,Ори!$90:$97,Ори!$141:$141</definedName>
    <definedName name="Z_B30CE22D_C12F_4E12_8BB9_3AAE0A6991CC_.wvu.Rows" localSheetId="2" hidden="1">район!$17:$18,район!$20:$20,район!$25:$25,район!$27:$31,район!$35:$35,район!$38:$38,район!$49:$50,район!$61:$61,район!$74:$74,район!$81:$81,район!$98:$98,район!$104:$104,район!$131:$133,район!$136:$137</definedName>
    <definedName name="Z_B30CE22D_C12F_4E12_8BB9_3AAE0A6991CC_.wvu.Rows" localSheetId="1" hidden="1">Справка!$33:$33</definedName>
    <definedName name="Z_B30CE22D_C12F_4E12_8BB9_3AAE0A6991CC_.wvu.Rows" localSheetId="4" hidden="1">Сун!$19:$24,Сун!$34:$39,Сун!$43:$43,Сун!$45:$45,Сун!$47:$47,Сун!$49:$51,Сун!$58:$58,Сун!$60:$62,Сун!$68:$69,Сун!$78:$79,Сун!$81:$81,Сун!$84:$84,Сун!$86:$88,Сун!$92:$99,Сун!$141:$141</definedName>
    <definedName name="Z_B30CE22D_C12F_4E12_8BB9_3AAE0A6991CC_.wvu.Rows" localSheetId="10" hidden="1">Сят!$19:$24,Сят!$31:$35,Сят!$38:$38,Сят!$45:$48,Сят!$57:$57,Сят!$59:$60,Сят!$67:$68,Сят!$77:$78,Сят!$82:$86,Сят!$89:$96,Сят!$142:$142</definedName>
    <definedName name="Z_B30CE22D_C12F_4E12_8BB9_3AAE0A6991CC_.wvu.Rows" localSheetId="11" hidden="1">Тор!$19:$24,Тор!$32:$36,Тор!$39:$39,Тор!$46:$47,Тор!$50:$50,Тор!$57:$57,Тор!$59:$60,Тор!$67:$68,Тор!$74:$74,Тор!$78:$79,Тор!$83:$95,Тор!$142:$142</definedName>
    <definedName name="Z_B30CE22D_C12F_4E12_8BB9_3AAE0A6991CC_.wvu.Rows" localSheetId="12" hidden="1">Хор!$19:$24,Хор!$28:$36,Хор!$40:$40,Хор!$44:$44,Хор!$46:$48,Хор!$55:$55,Хор!$57:$59,Хор!$65:$66,Хор!$71:$71,Хор!$75:$76,Хор!$80:$84,Хор!$87:$94,Хор!$141:$141</definedName>
    <definedName name="Z_B30CE22D_C12F_4E12_8BB9_3AAE0A6991CC_.wvu.Rows" localSheetId="13" hidden="1">Чум!$19:$24,Чум!$31:$36,Чум!$46:$49,Чум!$57:$57,Чум!$59:$61,Чум!$67:$68,Чум!$77:$78,Чум!$82:$86,Чум!$89:$96,Чум!$141:$141</definedName>
    <definedName name="Z_B30CE22D_C12F_4E12_8BB9_3AAE0A6991CC_.wvu.Rows" localSheetId="14" hidden="1">Шать!$19:$25,Шать!$31:$33,Шать!$46:$49,Шать!$57:$57,Шать!$59:$60,Шать!$67:$68,Шать!$77:$78,Шать!$83:$85,Шать!$89:$96,Шать!$141:$141</definedName>
    <definedName name="Z_B30CE22D_C12F_4E12_8BB9_3AAE0A6991CC_.wvu.Rows" localSheetId="15" hidden="1">Юнг!$19:$24,Юнг!$31:$33,Юнг!$38:$38,Юнг!$46:$47,Юнг!$56:$56,Юнг!$58:$60,Юнг!$66:$68,Юнг!$76:$77,Юнг!$81:$85,Юнг!$88:$95,Юнг!$141:$141</definedName>
    <definedName name="Z_B30CE22D_C12F_4E12_8BB9_3AAE0A6991CC_.wvu.Rows" localSheetId="16" hidden="1">Юсь!$19:$24,Юсь!$31:$33,Юсь!$36:$36,Юсь!$44:$50,Юсь!$58:$58,Юсь!$60:$61,Юсь!$68:$69,Юсь!$78:$79,Юсь!$83:$87,Юсь!$90:$97,Юсь!$141:$141</definedName>
    <definedName name="Z_B30CE22D_C12F_4E12_8BB9_3AAE0A6991CC_.wvu.Rows" localSheetId="17" hidden="1">Яра!$19:$24,Яра!$32:$34,Яра!$46:$50,Яра!$58:$58,Яра!$60:$62,Яра!$68:$69,Яра!$79:$80,Яра!$84:$88,Яра!$91:$98,Яра!$143:$143</definedName>
    <definedName name="Z_B30CE22D_C12F_4E12_8BB9_3AAE0A6991CC_.wvu.Rows" localSheetId="18" hidden="1">Яро!$19:$24,Яро!$28:$36,Яро!$43:$44,Яро!$46:$46,Яро!$54:$54,Яро!$56:$58,Яро!$64:$65,Яро!$74:$74,Яро!$79:$83,Яро!$86:$93</definedName>
    <definedName name="_xlnm.Print_Area" localSheetId="5">Иль!$A$1:$F$103</definedName>
    <definedName name="_xlnm.Print_Area" localSheetId="0">Консол!$A$1:$K$50</definedName>
    <definedName name="_xlnm.Print_Area" localSheetId="7">Мор!$A$1:$F$100</definedName>
    <definedName name="_xlnm.Print_Area" localSheetId="1">Справка!$A$1:$EY$31</definedName>
    <definedName name="_xlnm.Print_Area" localSheetId="11">Тор!$A$1:$F$101</definedName>
    <definedName name="_xlnm.Print_Area" localSheetId="15">Юнг!$A$1:$F$99</definedName>
    <definedName name="_xlnm.Print_Area" localSheetId="17">Яра!$A$1:$F$102</definedName>
  </definedNames>
  <calcPr calcId="125725"/>
  <customWorkbookViews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9"/>
    <customWorkbookView name="morgau_fin2 - Личное представление" guid="{B30CE22D-C12F-4E12-8BB9-3AAE0A6991CC}" mergeInterval="0" personalView="1" maximized="1" xWindow="1" yWindow="1" windowWidth="1276" windowHeight="803" tabRatio="695" activeSheetId="13"/>
    <customWorkbookView name="morgau_fin7 - Личное представление" guid="{5BFCA170-DEAE-4D2C-98A0-1E68B427AC01}" mergeInterval="0" personalView="1" maximized="1" xWindow="1" yWindow="1" windowWidth="1916" windowHeight="850" tabRatio="695" activeSheetId="1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</customWorkbookViews>
</workbook>
</file>

<file path=xl/calcChain.xml><?xml version="1.0" encoding="utf-8"?>
<calcChain xmlns="http://schemas.openxmlformats.org/spreadsheetml/2006/main">
  <c r="CC35" i="2"/>
  <c r="J35"/>
  <c r="J15"/>
  <c r="E102" i="3"/>
  <c r="F102"/>
  <c r="D12" i="7"/>
  <c r="C64" i="6"/>
  <c r="CD14" i="2"/>
  <c r="CS17"/>
  <c r="CD17"/>
  <c r="C42" i="18"/>
  <c r="C78" i="19"/>
  <c r="C71"/>
  <c r="C41"/>
  <c r="D76" i="6"/>
  <c r="C73"/>
  <c r="C44"/>
  <c r="C38" i="4"/>
  <c r="AT28" i="2"/>
  <c r="F28" i="18"/>
  <c r="E28"/>
  <c r="D26"/>
  <c r="C67"/>
  <c r="F72"/>
  <c r="E72"/>
  <c r="D73"/>
  <c r="F29"/>
  <c r="E29"/>
  <c r="C114" i="3"/>
  <c r="C97"/>
  <c r="E92"/>
  <c r="F86" i="15"/>
  <c r="E86"/>
  <c r="F85"/>
  <c r="E85"/>
  <c r="F84"/>
  <c r="E84"/>
  <c r="F83"/>
  <c r="E83"/>
  <c r="D80" i="14"/>
  <c r="C42"/>
  <c r="C39" i="13"/>
  <c r="C42" i="12"/>
  <c r="C45"/>
  <c r="CR17" i="2"/>
  <c r="C40" i="7"/>
  <c r="C46" i="6"/>
  <c r="D41"/>
  <c r="C41"/>
  <c r="CS16" i="2"/>
  <c r="CR16"/>
  <c r="BQ14"/>
  <c r="E51" i="6"/>
  <c r="F51"/>
  <c r="C42"/>
  <c r="D67" i="5"/>
  <c r="C42"/>
  <c r="C16"/>
  <c r="D38" i="4"/>
  <c r="C42"/>
  <c r="BR14" i="2"/>
  <c r="CV26"/>
  <c r="CV22"/>
  <c r="CV21"/>
  <c r="D123" i="3"/>
  <c r="D72"/>
  <c r="D40" i="16"/>
  <c r="D41" i="12"/>
  <c r="E49"/>
  <c r="F49"/>
  <c r="D40" i="11"/>
  <c r="BR25" i="2" l="1"/>
  <c r="CS23"/>
  <c r="CS19"/>
  <c r="CS18"/>
  <c r="CS14" l="1"/>
  <c r="C72" i="3"/>
  <c r="D38" i="13"/>
  <c r="D40" i="10"/>
  <c r="D40" i="9"/>
  <c r="D40" i="8"/>
  <c r="D17" i="15"/>
  <c r="E11" i="3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D67" i="6" l="1"/>
  <c r="F33" i="5"/>
  <c r="AE14" i="2"/>
  <c r="CR14"/>
  <c r="C33" i="3"/>
  <c r="CR27" i="2"/>
  <c r="CT27" s="1"/>
  <c r="CR25"/>
  <c r="CT25" s="1"/>
  <c r="CR24"/>
  <c r="CR21"/>
  <c r="CT21" s="1"/>
  <c r="CR19"/>
  <c r="CR18"/>
  <c r="CT18" s="1"/>
  <c r="CS15"/>
  <c r="CR15"/>
  <c r="F79" i="13"/>
  <c r="C90" i="18"/>
  <c r="F90" s="1"/>
  <c r="C77"/>
  <c r="C75" i="17"/>
  <c r="E51"/>
  <c r="F51"/>
  <c r="C38"/>
  <c r="C73" i="16"/>
  <c r="C40"/>
  <c r="E40" s="1"/>
  <c r="E50" i="15"/>
  <c r="F50"/>
  <c r="C75" i="14"/>
  <c r="C41"/>
  <c r="F41" s="1"/>
  <c r="E50"/>
  <c r="F50"/>
  <c r="C77" i="13"/>
  <c r="E75" i="12"/>
  <c r="E72"/>
  <c r="E31"/>
  <c r="F31"/>
  <c r="D29"/>
  <c r="C81" i="11"/>
  <c r="C40"/>
  <c r="E40" s="1"/>
  <c r="E49"/>
  <c r="F49"/>
  <c r="C40" i="10"/>
  <c r="F40" s="1"/>
  <c r="E79" i="9"/>
  <c r="C40"/>
  <c r="E40" s="1"/>
  <c r="E50"/>
  <c r="F50"/>
  <c r="E47" i="8"/>
  <c r="F47"/>
  <c r="E48"/>
  <c r="F48"/>
  <c r="E49"/>
  <c r="F49"/>
  <c r="E50"/>
  <c r="F50"/>
  <c r="C40"/>
  <c r="F40" s="1"/>
  <c r="E28" i="3"/>
  <c r="E29"/>
  <c r="E30"/>
  <c r="E31"/>
  <c r="C75" i="6"/>
  <c r="C66"/>
  <c r="F80" i="5"/>
  <c r="F75"/>
  <c r="C26"/>
  <c r="D41"/>
  <c r="E48"/>
  <c r="F48"/>
  <c r="C41"/>
  <c r="E48" i="12"/>
  <c r="F48"/>
  <c r="E66" i="3"/>
  <c r="E61"/>
  <c r="E56"/>
  <c r="E38"/>
  <c r="G24" i="1"/>
  <c r="E79" i="3"/>
  <c r="C41" i="15"/>
  <c r="F41" s="1"/>
  <c r="E42"/>
  <c r="C38" i="13"/>
  <c r="C41" i="12"/>
  <c r="F41" i="10"/>
  <c r="E44"/>
  <c r="F44"/>
  <c r="E44" i="9"/>
  <c r="F44"/>
  <c r="E44" i="8"/>
  <c r="F44"/>
  <c r="E44" i="7"/>
  <c r="F44"/>
  <c r="E45" i="6"/>
  <c r="F45"/>
  <c r="E46"/>
  <c r="F46"/>
  <c r="E45" i="5"/>
  <c r="F45"/>
  <c r="CR22" i="2"/>
  <c r="CT22" s="1"/>
  <c r="CV14"/>
  <c r="C55" i="7"/>
  <c r="D108" i="3"/>
  <c r="C108"/>
  <c r="F33" i="1" s="1"/>
  <c r="E110" i="3"/>
  <c r="E111"/>
  <c r="E101"/>
  <c r="E90"/>
  <c r="E73"/>
  <c r="E74"/>
  <c r="E69"/>
  <c r="E70"/>
  <c r="E59"/>
  <c r="D51"/>
  <c r="G20" i="1" s="1"/>
  <c r="E34" i="3"/>
  <c r="E35"/>
  <c r="E25"/>
  <c r="C67" i="17"/>
  <c r="D20" i="14"/>
  <c r="AK24" i="2" s="1"/>
  <c r="E74" i="11"/>
  <c r="E34" i="10"/>
  <c r="F34"/>
  <c r="E35"/>
  <c r="F35"/>
  <c r="D80" i="8"/>
  <c r="EL18" i="2" s="1"/>
  <c r="C76" i="8"/>
  <c r="EH18" i="2" s="1"/>
  <c r="C71" i="8"/>
  <c r="E35" i="11"/>
  <c r="F35"/>
  <c r="E34"/>
  <c r="F34"/>
  <c r="E33"/>
  <c r="C7" i="8"/>
  <c r="D7" i="5"/>
  <c r="C52" i="4"/>
  <c r="D12"/>
  <c r="C67"/>
  <c r="BP23" i="2"/>
  <c r="BO21"/>
  <c r="D96" i="12"/>
  <c r="ER22" i="2" s="1"/>
  <c r="D26" i="6"/>
  <c r="F35" i="16"/>
  <c r="E35"/>
  <c r="D34"/>
  <c r="E34" s="1"/>
  <c r="D12" i="13"/>
  <c r="D5"/>
  <c r="D78"/>
  <c r="EL23" i="2" s="1"/>
  <c r="D74" i="13"/>
  <c r="EI23" i="2" s="1"/>
  <c r="D62" i="13"/>
  <c r="D69"/>
  <c r="EF23" i="2" s="1"/>
  <c r="D54" i="13"/>
  <c r="D26"/>
  <c r="E81" i="3"/>
  <c r="AQ27" i="2"/>
  <c r="AQ25"/>
  <c r="AQ18"/>
  <c r="AQ19"/>
  <c r="AR19" s="1"/>
  <c r="AQ17"/>
  <c r="AT29"/>
  <c r="AU29" s="1"/>
  <c r="BU35"/>
  <c r="E87" i="16"/>
  <c r="C80" i="14"/>
  <c r="EK24" i="2" s="1"/>
  <c r="E15" i="14"/>
  <c r="C74" i="13"/>
  <c r="EH23" i="2" s="1"/>
  <c r="E42" i="10"/>
  <c r="F42"/>
  <c r="BO19" i="2"/>
  <c r="BP19" s="1"/>
  <c r="F74" i="9"/>
  <c r="F35"/>
  <c r="E35"/>
  <c r="D34"/>
  <c r="C34"/>
  <c r="AZ15" i="2"/>
  <c r="AZ17"/>
  <c r="AZ19"/>
  <c r="AZ20"/>
  <c r="AZ21"/>
  <c r="AZ24"/>
  <c r="AZ26"/>
  <c r="AZ27"/>
  <c r="AZ28"/>
  <c r="D68" i="3"/>
  <c r="G21" i="1" s="1"/>
  <c r="F66" i="3"/>
  <c r="E36" i="18"/>
  <c r="F36"/>
  <c r="E48" i="16"/>
  <c r="F48"/>
  <c r="E46"/>
  <c r="E47"/>
  <c r="E42"/>
  <c r="F42"/>
  <c r="C34" i="15"/>
  <c r="BN25" i="2" s="1"/>
  <c r="E36" i="15"/>
  <c r="F36"/>
  <c r="D34"/>
  <c r="BO25" i="2" s="1"/>
  <c r="E70" i="14"/>
  <c r="D34"/>
  <c r="BO24" i="2" s="1"/>
  <c r="C34" i="14"/>
  <c r="E36" i="12"/>
  <c r="F36"/>
  <c r="C35"/>
  <c r="E42" i="11"/>
  <c r="F42"/>
  <c r="E42" i="8"/>
  <c r="F42"/>
  <c r="E85" i="7"/>
  <c r="D36"/>
  <c r="BR17" i="2" s="1"/>
  <c r="E42" i="7"/>
  <c r="F42"/>
  <c r="E35"/>
  <c r="F35"/>
  <c r="E58" i="6"/>
  <c r="F58"/>
  <c r="E49"/>
  <c r="E60" i="5"/>
  <c r="E61"/>
  <c r="E62"/>
  <c r="C5"/>
  <c r="C7"/>
  <c r="E29"/>
  <c r="E31"/>
  <c r="F28"/>
  <c r="E28"/>
  <c r="E45" i="4"/>
  <c r="DN14" i="2"/>
  <c r="DQ29"/>
  <c r="DQ24"/>
  <c r="DQ22"/>
  <c r="DQ21"/>
  <c r="DQ18"/>
  <c r="DQ16"/>
  <c r="DQ14"/>
  <c r="D17" i="12"/>
  <c r="D5" i="8"/>
  <c r="D5" i="6"/>
  <c r="D56" i="12"/>
  <c r="D35"/>
  <c r="BO22" i="2" s="1"/>
  <c r="BP22" s="1"/>
  <c r="CS26"/>
  <c r="CR26"/>
  <c r="CS28"/>
  <c r="CR28"/>
  <c r="D82" i="18"/>
  <c r="D78"/>
  <c r="EI28" i="2" s="1"/>
  <c r="D41" i="18"/>
  <c r="C41"/>
  <c r="E51"/>
  <c r="F51"/>
  <c r="D34" i="7"/>
  <c r="BO17" i="2" s="1"/>
  <c r="BP17" s="1"/>
  <c r="C34" i="7"/>
  <c r="D33" i="3"/>
  <c r="G15" i="1" s="1"/>
  <c r="D61" i="19"/>
  <c r="DZ29" i="2" s="1"/>
  <c r="D38" i="19"/>
  <c r="D35" i="18"/>
  <c r="BO28" i="2" s="1"/>
  <c r="BO20"/>
  <c r="BP20" s="1"/>
  <c r="D87" i="14"/>
  <c r="ER24" i="2" s="1"/>
  <c r="D36" i="8"/>
  <c r="BR18" i="2" s="1"/>
  <c r="E27" i="19"/>
  <c r="E56" i="16"/>
  <c r="E57"/>
  <c r="E58"/>
  <c r="E59"/>
  <c r="AQ29" i="2"/>
  <c r="AQ14"/>
  <c r="CL18"/>
  <c r="AS17"/>
  <c r="AA24"/>
  <c r="D114" i="3"/>
  <c r="G35" i="1" s="1"/>
  <c r="D35" s="1"/>
  <c r="F117" i="3"/>
  <c r="E117"/>
  <c r="D66" i="8"/>
  <c r="EC18" i="2" s="1"/>
  <c r="C66" i="8"/>
  <c r="EB18" i="2" s="1"/>
  <c r="C14" i="14"/>
  <c r="F15" s="1"/>
  <c r="F35" i="15"/>
  <c r="E35"/>
  <c r="D26" i="4"/>
  <c r="CI16" i="2"/>
  <c r="CI29"/>
  <c r="CI28"/>
  <c r="CI27"/>
  <c r="CI26"/>
  <c r="CI25"/>
  <c r="CI24"/>
  <c r="CI23"/>
  <c r="CI22"/>
  <c r="CI21"/>
  <c r="CI20"/>
  <c r="CI19"/>
  <c r="CI18"/>
  <c r="CI17"/>
  <c r="CI15"/>
  <c r="CI14"/>
  <c r="CC19"/>
  <c r="I29"/>
  <c r="P25"/>
  <c r="AN25"/>
  <c r="CP28"/>
  <c r="CP26"/>
  <c r="CP25"/>
  <c r="CP24"/>
  <c r="CP23"/>
  <c r="CP22"/>
  <c r="CP16"/>
  <c r="BE14"/>
  <c r="AY28"/>
  <c r="AY27"/>
  <c r="AY24"/>
  <c r="BA24" s="1"/>
  <c r="AY21"/>
  <c r="AY20"/>
  <c r="AY19"/>
  <c r="AY17"/>
  <c r="BA17" s="1"/>
  <c r="AY15"/>
  <c r="AY26"/>
  <c r="AS24"/>
  <c r="AQ26"/>
  <c r="AQ24"/>
  <c r="AQ22"/>
  <c r="AQ16"/>
  <c r="AQ15"/>
  <c r="D87" i="15"/>
  <c r="ER25" i="2" s="1"/>
  <c r="D20" i="12"/>
  <c r="AK22" i="2" s="1"/>
  <c r="AL22" s="1"/>
  <c r="C20" i="12"/>
  <c r="D26" i="5"/>
  <c r="C31" i="4"/>
  <c r="AP27" i="2"/>
  <c r="AZ14"/>
  <c r="CO28"/>
  <c r="CO26"/>
  <c r="CC26"/>
  <c r="CO24"/>
  <c r="CO23"/>
  <c r="CO22"/>
  <c r="CO16"/>
  <c r="D26" i="19"/>
  <c r="D53"/>
  <c r="D68"/>
  <c r="EF29" i="2" s="1"/>
  <c r="D65" i="16"/>
  <c r="D63"/>
  <c r="D55"/>
  <c r="D75"/>
  <c r="D70"/>
  <c r="EF26" i="2" s="1"/>
  <c r="D66" i="15"/>
  <c r="EC25" i="2" s="1"/>
  <c r="D7" i="7"/>
  <c r="D40"/>
  <c r="F40" s="1"/>
  <c r="D26"/>
  <c r="D17" i="5"/>
  <c r="D67" i="4"/>
  <c r="EF14" i="2" s="1"/>
  <c r="DQ20"/>
  <c r="DQ17"/>
  <c r="D5" i="15"/>
  <c r="D5" i="9"/>
  <c r="C35" i="18"/>
  <c r="BN28" i="2" s="1"/>
  <c r="C34" i="8"/>
  <c r="AP18" i="2"/>
  <c r="AT19"/>
  <c r="AS18"/>
  <c r="E40" i="3"/>
  <c r="F40"/>
  <c r="C51"/>
  <c r="F20" i="1" s="1"/>
  <c r="D64" i="12"/>
  <c r="DZ22" i="2" s="1"/>
  <c r="AQ21"/>
  <c r="D65" i="17"/>
  <c r="D56" i="15"/>
  <c r="D37" i="12"/>
  <c r="BR22" i="2" s="1"/>
  <c r="E15" i="5"/>
  <c r="E16"/>
  <c r="D60" i="4"/>
  <c r="G9" i="1"/>
  <c r="BE22" i="2"/>
  <c r="D31" i="7"/>
  <c r="J14" i="2"/>
  <c r="J16"/>
  <c r="J17"/>
  <c r="J18"/>
  <c r="J19"/>
  <c r="J20"/>
  <c r="J21"/>
  <c r="J22"/>
  <c r="J23"/>
  <c r="J24"/>
  <c r="J25"/>
  <c r="J26"/>
  <c r="J27"/>
  <c r="J28"/>
  <c r="J29"/>
  <c r="BN18"/>
  <c r="BF18"/>
  <c r="BI18"/>
  <c r="BI31" s="1"/>
  <c r="BI35" s="1"/>
  <c r="BJ18"/>
  <c r="BK18"/>
  <c r="BL18"/>
  <c r="BM18"/>
  <c r="D66" i="14"/>
  <c r="EC24" i="2" s="1"/>
  <c r="D5" i="14"/>
  <c r="EY30" i="2"/>
  <c r="D65" i="18"/>
  <c r="DZ28" i="2" s="1"/>
  <c r="D12" i="5"/>
  <c r="E47"/>
  <c r="F47"/>
  <c r="C72"/>
  <c r="I14" i="2"/>
  <c r="AP26"/>
  <c r="AP25"/>
  <c r="AP24"/>
  <c r="AP22"/>
  <c r="AP17"/>
  <c r="AP14"/>
  <c r="AS26"/>
  <c r="AS22"/>
  <c r="AS21"/>
  <c r="D21" i="3"/>
  <c r="G11" i="1" s="1"/>
  <c r="D11" s="1"/>
  <c r="D5" i="3"/>
  <c r="G5" i="1" s="1"/>
  <c r="D128" i="3"/>
  <c r="G38" i="1" s="1"/>
  <c r="C96" i="12"/>
  <c r="EQ22" i="2" s="1"/>
  <c r="D7" i="16"/>
  <c r="E42" i="9"/>
  <c r="F42"/>
  <c r="D83" i="4"/>
  <c r="ER14" i="2" s="1"/>
  <c r="C83" i="4"/>
  <c r="EQ14" i="2" s="1"/>
  <c r="D76" i="4"/>
  <c r="EL14" i="2" s="1"/>
  <c r="C76" i="4"/>
  <c r="D72"/>
  <c r="C72"/>
  <c r="EH14" i="2" s="1"/>
  <c r="D62" i="4"/>
  <c r="C62"/>
  <c r="EB14" i="2" s="1"/>
  <c r="C60" i="4"/>
  <c r="D52"/>
  <c r="D36" i="16"/>
  <c r="D138" i="3"/>
  <c r="G41" i="1" s="1"/>
  <c r="D16" i="3"/>
  <c r="D17" i="19"/>
  <c r="D32" i="5"/>
  <c r="BF15" i="2" s="1"/>
  <c r="D66" i="11"/>
  <c r="D64"/>
  <c r="D56"/>
  <c r="DK21" i="2" s="1"/>
  <c r="D86" i="7"/>
  <c r="ER17" i="2" s="1"/>
  <c r="D81" i="7"/>
  <c r="EO17" i="2" s="1"/>
  <c r="D79" i="7"/>
  <c r="EL17" i="2" s="1"/>
  <c r="D75" i="7"/>
  <c r="EI17" i="2" s="1"/>
  <c r="D70" i="7"/>
  <c r="D65"/>
  <c r="EC17" i="2" s="1"/>
  <c r="D63" i="7"/>
  <c r="D55"/>
  <c r="D64" i="10"/>
  <c r="AS28" i="2"/>
  <c r="AS27"/>
  <c r="AS25"/>
  <c r="AS23"/>
  <c r="AS20"/>
  <c r="AS16"/>
  <c r="AS15"/>
  <c r="AS14"/>
  <c r="AP28"/>
  <c r="AP23"/>
  <c r="AP20"/>
  <c r="D7" i="13"/>
  <c r="D14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D87" i="3"/>
  <c r="G29" i="1" s="1"/>
  <c r="C138" i="3"/>
  <c r="F138" s="1"/>
  <c r="D26" i="16"/>
  <c r="D7" i="4"/>
  <c r="D66" i="9"/>
  <c r="D56"/>
  <c r="AD23" i="2"/>
  <c r="I23"/>
  <c r="L23"/>
  <c r="I24"/>
  <c r="AD24"/>
  <c r="AQ28"/>
  <c r="AQ23"/>
  <c r="AQ20"/>
  <c r="AP21"/>
  <c r="AP15"/>
  <c r="C31" i="19"/>
  <c r="E43" i="14"/>
  <c r="F43"/>
  <c r="C26" i="6"/>
  <c r="C65" i="5"/>
  <c r="DE23" i="2"/>
  <c r="DE31" s="1"/>
  <c r="D77" i="17"/>
  <c r="EI27" i="2" s="1"/>
  <c r="D77" i="12"/>
  <c r="D71" i="9"/>
  <c r="E54" i="3"/>
  <c r="D23"/>
  <c r="G12" i="1" s="1"/>
  <c r="BU33" i="2"/>
  <c r="DF33"/>
  <c r="D46" i="3"/>
  <c r="D41"/>
  <c r="C88" i="17"/>
  <c r="EQ27" i="2" s="1"/>
  <c r="DP14"/>
  <c r="D26" i="17"/>
  <c r="D32" i="18"/>
  <c r="D14" i="4"/>
  <c r="C78" i="13"/>
  <c r="EK23" i="2" s="1"/>
  <c r="C26" i="11"/>
  <c r="C26" i="8"/>
  <c r="C32" i="6"/>
  <c r="D67" i="18"/>
  <c r="E67" s="1"/>
  <c r="C64" i="15"/>
  <c r="C80" i="8"/>
  <c r="E82"/>
  <c r="F82"/>
  <c r="CG23" i="2"/>
  <c r="CF23"/>
  <c r="F40" i="13"/>
  <c r="F41"/>
  <c r="E40"/>
  <c r="E41"/>
  <c r="CG27" i="2"/>
  <c r="CF27"/>
  <c r="F40" i="17"/>
  <c r="F41"/>
  <c r="E40"/>
  <c r="E41"/>
  <c r="CP27" i="2"/>
  <c r="D7" i="10"/>
  <c r="D7" i="8"/>
  <c r="C31" i="13"/>
  <c r="D81" i="12"/>
  <c r="EL22" i="2" s="1"/>
  <c r="C81" i="12"/>
  <c r="EK22" i="2" s="1"/>
  <c r="D94" i="8"/>
  <c r="EU18" i="2" s="1"/>
  <c r="D65" i="6"/>
  <c r="D65" i="5"/>
  <c r="D103" i="3"/>
  <c r="G32" i="1" s="1"/>
  <c r="CO19" i="2"/>
  <c r="CO27"/>
  <c r="D80" i="11"/>
  <c r="EL21" i="2" s="1"/>
  <c r="D64" i="9"/>
  <c r="F44" i="17"/>
  <c r="F45"/>
  <c r="F47"/>
  <c r="F48"/>
  <c r="F49"/>
  <c r="F50"/>
  <c r="E44"/>
  <c r="E45"/>
  <c r="E47"/>
  <c r="E48"/>
  <c r="E49"/>
  <c r="E50"/>
  <c r="D17" i="18"/>
  <c r="D12" i="3"/>
  <c r="CP21" i="2"/>
  <c r="E74" i="12"/>
  <c r="F74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F7" s="1"/>
  <c r="C7" i="6"/>
  <c r="C7" i="4"/>
  <c r="D12" i="11"/>
  <c r="C128" i="3"/>
  <c r="F38" i="1" s="1"/>
  <c r="C123" i="3"/>
  <c r="F37" i="1" s="1"/>
  <c r="D120" i="3"/>
  <c r="G36" i="1" s="1"/>
  <c r="C120" i="3"/>
  <c r="F36" i="1" s="1"/>
  <c r="C131" i="3"/>
  <c r="E131" s="1"/>
  <c r="D112"/>
  <c r="C103"/>
  <c r="F32" i="1" s="1"/>
  <c r="D95" i="3"/>
  <c r="G30" i="1" s="1"/>
  <c r="D97" i="3"/>
  <c r="E97" s="1"/>
  <c r="C87"/>
  <c r="F29" i="1" s="1"/>
  <c r="C7" i="3"/>
  <c r="F6" i="1" s="1"/>
  <c r="D12" i="6"/>
  <c r="C89" i="9"/>
  <c r="EN19" i="2" s="1"/>
  <c r="D67" i="17"/>
  <c r="EC27" i="2" s="1"/>
  <c r="F77" i="11"/>
  <c r="F78"/>
  <c r="E77"/>
  <c r="E78"/>
  <c r="D89" i="9"/>
  <c r="EO19" i="2" s="1"/>
  <c r="F85" i="9"/>
  <c r="F86"/>
  <c r="F87"/>
  <c r="F88"/>
  <c r="F90"/>
  <c r="E85"/>
  <c r="E86"/>
  <c r="E87"/>
  <c r="E88"/>
  <c r="E90"/>
  <c r="D7" i="3"/>
  <c r="G6" i="1" s="1"/>
  <c r="D5" i="19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31"/>
  <c r="C26"/>
  <c r="F27"/>
  <c r="E28"/>
  <c r="F28"/>
  <c r="C29"/>
  <c r="D29"/>
  <c r="E30"/>
  <c r="F30"/>
  <c r="E32"/>
  <c r="F32"/>
  <c r="E33"/>
  <c r="F33"/>
  <c r="C34"/>
  <c r="BQ29" i="2" s="1"/>
  <c r="D34" i="19"/>
  <c r="BR29" i="2" s="1"/>
  <c r="E35" i="19"/>
  <c r="F35"/>
  <c r="E36"/>
  <c r="F36"/>
  <c r="E39"/>
  <c r="E40"/>
  <c r="F40"/>
  <c r="E41"/>
  <c r="F41"/>
  <c r="E42"/>
  <c r="F42"/>
  <c r="E43"/>
  <c r="F43"/>
  <c r="E44"/>
  <c r="CQ29" i="2" s="1"/>
  <c r="F44" i="19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C63"/>
  <c r="D63"/>
  <c r="EC29" i="2" s="1"/>
  <c r="E64" i="19"/>
  <c r="F64"/>
  <c r="E65"/>
  <c r="F65"/>
  <c r="E66"/>
  <c r="F66"/>
  <c r="E67"/>
  <c r="F67"/>
  <c r="E69"/>
  <c r="F69"/>
  <c r="E70"/>
  <c r="F70"/>
  <c r="E72"/>
  <c r="F72"/>
  <c r="D73"/>
  <c r="EI29" i="2" s="1"/>
  <c r="E74" i="19"/>
  <c r="F74"/>
  <c r="E75"/>
  <c r="F75"/>
  <c r="E76"/>
  <c r="C77"/>
  <c r="D77"/>
  <c r="EL29" i="2" s="1"/>
  <c r="E78" i="19"/>
  <c r="F78"/>
  <c r="C79"/>
  <c r="EN29" i="2" s="1"/>
  <c r="D79" i="19"/>
  <c r="EO29" i="2" s="1"/>
  <c r="E80" i="19"/>
  <c r="F80"/>
  <c r="E81"/>
  <c r="F81"/>
  <c r="E82"/>
  <c r="F82"/>
  <c r="F83"/>
  <c r="C84"/>
  <c r="EQ29" i="2" s="1"/>
  <c r="D84" i="19"/>
  <c r="ER29" i="2" s="1"/>
  <c r="E85" i="19"/>
  <c r="F85"/>
  <c r="E86"/>
  <c r="F86"/>
  <c r="E87"/>
  <c r="E88"/>
  <c r="E89"/>
  <c r="C90"/>
  <c r="D90"/>
  <c r="EU29" i="2" s="1"/>
  <c r="E91" i="19"/>
  <c r="F91"/>
  <c r="E92"/>
  <c r="F92"/>
  <c r="E93"/>
  <c r="F93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E33"/>
  <c r="F33"/>
  <c r="E34"/>
  <c r="F34"/>
  <c r="C37"/>
  <c r="BQ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F28" i="2"/>
  <c r="E75" i="18"/>
  <c r="F75"/>
  <c r="E76"/>
  <c r="F76"/>
  <c r="C78"/>
  <c r="E79"/>
  <c r="F79"/>
  <c r="E80"/>
  <c r="F80"/>
  <c r="E81"/>
  <c r="F81"/>
  <c r="C82"/>
  <c r="EK28" i="2" s="1"/>
  <c r="E83" i="18"/>
  <c r="F83"/>
  <c r="C84"/>
  <c r="EN28" i="2" s="1"/>
  <c r="D84" i="18"/>
  <c r="EO28" i="2" s="1"/>
  <c r="E85" i="18"/>
  <c r="F85"/>
  <c r="E86"/>
  <c r="F86"/>
  <c r="E87"/>
  <c r="F87"/>
  <c r="F88"/>
  <c r="D89"/>
  <c r="ER28" i="2" s="1"/>
  <c r="E90" i="18"/>
  <c r="E91"/>
  <c r="F91"/>
  <c r="E92"/>
  <c r="E93"/>
  <c r="E94"/>
  <c r="C95"/>
  <c r="ET28" i="2" s="1"/>
  <c r="D95" i="18"/>
  <c r="EU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BQ27" i="2" s="1"/>
  <c r="D34" i="17"/>
  <c r="BR27" i="2" s="1"/>
  <c r="E35" i="17"/>
  <c r="F35"/>
  <c r="E36"/>
  <c r="F36"/>
  <c r="F39"/>
  <c r="E42"/>
  <c r="F42"/>
  <c r="E43"/>
  <c r="F43"/>
  <c r="C46"/>
  <c r="D46"/>
  <c r="C57"/>
  <c r="D57"/>
  <c r="E59"/>
  <c r="F59"/>
  <c r="F60"/>
  <c r="E61"/>
  <c r="F61"/>
  <c r="E62"/>
  <c r="F62"/>
  <c r="E63"/>
  <c r="F63"/>
  <c r="E64"/>
  <c r="F64"/>
  <c r="C65"/>
  <c r="E66"/>
  <c r="F66"/>
  <c r="E68"/>
  <c r="F68"/>
  <c r="E69"/>
  <c r="F69"/>
  <c r="E70"/>
  <c r="F70"/>
  <c r="E71"/>
  <c r="F71"/>
  <c r="D72"/>
  <c r="EF27" i="2" s="1"/>
  <c r="E74" i="17"/>
  <c r="F74"/>
  <c r="E75"/>
  <c r="F75"/>
  <c r="E76"/>
  <c r="F76"/>
  <c r="C77"/>
  <c r="EH27" i="2" s="1"/>
  <c r="E78" i="17"/>
  <c r="F78"/>
  <c r="E79"/>
  <c r="F79"/>
  <c r="E80"/>
  <c r="F80"/>
  <c r="D81"/>
  <c r="C83"/>
  <c r="D83"/>
  <c r="EO27" i="2" s="1"/>
  <c r="E84" i="17"/>
  <c r="F84"/>
  <c r="E85"/>
  <c r="F85"/>
  <c r="E86"/>
  <c r="F86"/>
  <c r="F87"/>
  <c r="D88"/>
  <c r="ER27" i="2" s="1"/>
  <c r="F89" i="17"/>
  <c r="E90"/>
  <c r="F90"/>
  <c r="E91"/>
  <c r="E92"/>
  <c r="E93"/>
  <c r="C94"/>
  <c r="ET27" i="2" s="1"/>
  <c r="D94" i="17"/>
  <c r="EU27" i="2" s="1"/>
  <c r="E95" i="17"/>
  <c r="F95"/>
  <c r="E96"/>
  <c r="F96"/>
  <c r="E97"/>
  <c r="F97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E32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5" s="1"/>
  <c r="F57"/>
  <c r="F58"/>
  <c r="F59"/>
  <c r="E60"/>
  <c r="F60"/>
  <c r="E61"/>
  <c r="F61"/>
  <c r="E62"/>
  <c r="F62"/>
  <c r="C63"/>
  <c r="E64"/>
  <c r="F64"/>
  <c r="C65"/>
  <c r="E66"/>
  <c r="F66"/>
  <c r="E67"/>
  <c r="F67"/>
  <c r="E68"/>
  <c r="F68"/>
  <c r="E69"/>
  <c r="F69"/>
  <c r="E72"/>
  <c r="F72"/>
  <c r="E73"/>
  <c r="F73"/>
  <c r="E74"/>
  <c r="F74"/>
  <c r="C75"/>
  <c r="EH26" i="2" s="1"/>
  <c r="E76" i="16"/>
  <c r="F76"/>
  <c r="E77"/>
  <c r="F77"/>
  <c r="E78"/>
  <c r="F78"/>
  <c r="C79"/>
  <c r="EK26" i="2" s="1"/>
  <c r="D79" i="16"/>
  <c r="EL26" i="2" s="1"/>
  <c r="E80" i="16"/>
  <c r="F80"/>
  <c r="C81"/>
  <c r="EN26" i="2" s="1"/>
  <c r="D81" i="16"/>
  <c r="E82"/>
  <c r="F82"/>
  <c r="E83"/>
  <c r="F83"/>
  <c r="E84"/>
  <c r="F84"/>
  <c r="F85"/>
  <c r="C86"/>
  <c r="EQ26" i="2" s="1"/>
  <c r="D86" i="16"/>
  <c r="F87"/>
  <c r="E88"/>
  <c r="F88"/>
  <c r="E89"/>
  <c r="E90"/>
  <c r="E91"/>
  <c r="C92"/>
  <c r="ET26" i="2" s="1"/>
  <c r="D92" i="16"/>
  <c r="EU26" i="2" s="1"/>
  <c r="E93" i="16"/>
  <c r="F93"/>
  <c r="E94"/>
  <c r="F94"/>
  <c r="E95"/>
  <c r="F95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E30"/>
  <c r="F30"/>
  <c r="C31"/>
  <c r="D31"/>
  <c r="E32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C66"/>
  <c r="E66" s="1"/>
  <c r="E67"/>
  <c r="F67"/>
  <c r="E68"/>
  <c r="F68"/>
  <c r="E69"/>
  <c r="F69"/>
  <c r="E70"/>
  <c r="F70"/>
  <c r="D71"/>
  <c r="EF25" i="2" s="1"/>
  <c r="E72" i="15"/>
  <c r="F72"/>
  <c r="E73"/>
  <c r="F73"/>
  <c r="F74"/>
  <c r="E75"/>
  <c r="F75"/>
  <c r="D76"/>
  <c r="EI25" i="2" s="1"/>
  <c r="E77" i="15"/>
  <c r="F77"/>
  <c r="E78"/>
  <c r="F78"/>
  <c r="C80"/>
  <c r="EK25" i="2" s="1"/>
  <c r="D80" i="15"/>
  <c r="EL25" i="2" s="1"/>
  <c r="E81" i="15"/>
  <c r="F81"/>
  <c r="C82"/>
  <c r="EN25" i="2" s="1"/>
  <c r="D82" i="15"/>
  <c r="C87"/>
  <c r="EQ25" i="2" s="1"/>
  <c r="E88" i="15"/>
  <c r="F88"/>
  <c r="E89"/>
  <c r="F89"/>
  <c r="E90"/>
  <c r="E91"/>
  <c r="E92"/>
  <c r="C93"/>
  <c r="ET25" i="2" s="1"/>
  <c r="D93" i="15"/>
  <c r="EU25" i="2" s="1"/>
  <c r="E94" i="15"/>
  <c r="F94"/>
  <c r="E95"/>
  <c r="F95"/>
  <c r="E96"/>
  <c r="F96"/>
  <c r="D7" i="14"/>
  <c r="D14"/>
  <c r="D17"/>
  <c r="F17" s="1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0" s="1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7"/>
  <c r="E37" s="1"/>
  <c r="E35" s="1"/>
  <c r="E34" s="1"/>
  <c r="E38"/>
  <c r="E36" s="1"/>
  <c r="F38"/>
  <c r="F36" s="1"/>
  <c r="E39"/>
  <c r="F39"/>
  <c r="E42"/>
  <c r="F42"/>
  <c r="E44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C66"/>
  <c r="EB24" i="2" s="1"/>
  <c r="E67" i="14"/>
  <c r="F67"/>
  <c r="E68"/>
  <c r="F68"/>
  <c r="E69"/>
  <c r="F69"/>
  <c r="F70"/>
  <c r="D71"/>
  <c r="EF24" i="2" s="1"/>
  <c r="E72" i="14"/>
  <c r="F72"/>
  <c r="E73"/>
  <c r="F73"/>
  <c r="E74"/>
  <c r="E75"/>
  <c r="F75"/>
  <c r="D76"/>
  <c r="EI24" i="2" s="1"/>
  <c r="E78" i="14"/>
  <c r="F78"/>
  <c r="E79"/>
  <c r="F79"/>
  <c r="EL24" i="2"/>
  <c r="E81" i="14"/>
  <c r="F81"/>
  <c r="C82"/>
  <c r="EN24" i="2" s="1"/>
  <c r="D82" i="14"/>
  <c r="EO24" i="2" s="1"/>
  <c r="E83" i="14"/>
  <c r="F83"/>
  <c r="E84"/>
  <c r="F84"/>
  <c r="E85"/>
  <c r="F85"/>
  <c r="F86"/>
  <c r="C87"/>
  <c r="EQ24" i="2" s="1"/>
  <c r="E88" i="14"/>
  <c r="F88"/>
  <c r="E89"/>
  <c r="F89"/>
  <c r="E90"/>
  <c r="E91"/>
  <c r="E92"/>
  <c r="C93"/>
  <c r="D93"/>
  <c r="EU24" i="2" s="1"/>
  <c r="E94" i="14"/>
  <c r="F94"/>
  <c r="E95"/>
  <c r="F95"/>
  <c r="E96"/>
  <c r="F96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AZ23" i="2" s="1"/>
  <c r="BA23" s="1"/>
  <c r="E30" i="13"/>
  <c r="F30"/>
  <c r="D31"/>
  <c r="E32"/>
  <c r="F32"/>
  <c r="E33"/>
  <c r="F33"/>
  <c r="C34"/>
  <c r="BQ23" i="2" s="1"/>
  <c r="D34" i="13"/>
  <c r="E35"/>
  <c r="F35"/>
  <c r="E36"/>
  <c r="F36"/>
  <c r="E39"/>
  <c r="F39"/>
  <c r="F42"/>
  <c r="E43"/>
  <c r="F43"/>
  <c r="E44"/>
  <c r="F44"/>
  <c r="E45"/>
  <c r="F45"/>
  <c r="F46"/>
  <c r="E47"/>
  <c r="F47"/>
  <c r="C54"/>
  <c r="E56"/>
  <c r="F56"/>
  <c r="F57"/>
  <c r="E58"/>
  <c r="F58"/>
  <c r="E59"/>
  <c r="F59"/>
  <c r="E60"/>
  <c r="F60"/>
  <c r="E61"/>
  <c r="F61"/>
  <c r="C62"/>
  <c r="E63"/>
  <c r="F63"/>
  <c r="C64"/>
  <c r="EB23" i="2" s="1"/>
  <c r="D64" i="13"/>
  <c r="EC23" i="2" s="1"/>
  <c r="E65" i="13"/>
  <c r="F65"/>
  <c r="E66"/>
  <c r="F66"/>
  <c r="E67"/>
  <c r="F67"/>
  <c r="E68"/>
  <c r="F68"/>
  <c r="C69"/>
  <c r="E69" s="1"/>
  <c r="E71"/>
  <c r="F71"/>
  <c r="E72"/>
  <c r="F72"/>
  <c r="E73"/>
  <c r="F73"/>
  <c r="E75"/>
  <c r="F75"/>
  <c r="E76"/>
  <c r="F76"/>
  <c r="E77"/>
  <c r="F77"/>
  <c r="E79"/>
  <c r="C80"/>
  <c r="EN23" i="2" s="1"/>
  <c r="D80" i="13"/>
  <c r="E81"/>
  <c r="F81"/>
  <c r="E82"/>
  <c r="F82"/>
  <c r="E83"/>
  <c r="F83"/>
  <c r="F84"/>
  <c r="C85"/>
  <c r="EQ23" i="2" s="1"/>
  <c r="D85" i="13"/>
  <c r="ER23" i="2" s="1"/>
  <c r="E86" i="13"/>
  <c r="F86"/>
  <c r="E87"/>
  <c r="F87"/>
  <c r="E88"/>
  <c r="E89"/>
  <c r="E90"/>
  <c r="C91"/>
  <c r="ET23" i="2" s="1"/>
  <c r="D91" i="13"/>
  <c r="EU23" i="2" s="1"/>
  <c r="E92" i="13"/>
  <c r="F92"/>
  <c r="E93"/>
  <c r="F93"/>
  <c r="E94"/>
  <c r="F94"/>
  <c r="D5" i="12"/>
  <c r="D7"/>
  <c r="D12"/>
  <c r="D14"/>
  <c r="E14" s="1"/>
  <c r="C5"/>
  <c r="E5" s="1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C29"/>
  <c r="AY22" i="2" s="1"/>
  <c r="E30" i="12"/>
  <c r="F30"/>
  <c r="C32"/>
  <c r="D32"/>
  <c r="BF22" i="2" s="1"/>
  <c r="E33" i="12"/>
  <c r="F33"/>
  <c r="E34"/>
  <c r="F34"/>
  <c r="C37"/>
  <c r="BQ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C66"/>
  <c r="EB22" i="2" s="1"/>
  <c r="D66" i="12"/>
  <c r="EC22" i="2" s="1"/>
  <c r="E67" i="12"/>
  <c r="F67"/>
  <c r="E68"/>
  <c r="F68"/>
  <c r="E69"/>
  <c r="F69"/>
  <c r="E70"/>
  <c r="F70"/>
  <c r="D71"/>
  <c r="EF22" i="2" s="1"/>
  <c r="F72" i="12"/>
  <c r="E73"/>
  <c r="F73"/>
  <c r="F75"/>
  <c r="F76"/>
  <c r="C77"/>
  <c r="EH22" i="2" s="1"/>
  <c r="E78" i="12"/>
  <c r="F78"/>
  <c r="E79"/>
  <c r="F79"/>
  <c r="E80"/>
  <c r="F80"/>
  <c r="E82"/>
  <c r="F82"/>
  <c r="C83"/>
  <c r="EN22" i="2" s="1"/>
  <c r="D83" i="12"/>
  <c r="EO22" i="2" s="1"/>
  <c r="E84" i="12"/>
  <c r="F84"/>
  <c r="E85"/>
  <c r="F85"/>
  <c r="E86"/>
  <c r="F86"/>
  <c r="F87"/>
  <c r="C88"/>
  <c r="D88"/>
  <c r="E89"/>
  <c r="F89"/>
  <c r="E90"/>
  <c r="F90"/>
  <c r="E91"/>
  <c r="E92"/>
  <c r="E93"/>
  <c r="E94"/>
  <c r="F94"/>
  <c r="E95"/>
  <c r="F95"/>
  <c r="E97"/>
  <c r="F97"/>
  <c r="D5" i="11"/>
  <c r="D7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26"/>
  <c r="D36"/>
  <c r="BR21" i="2" s="1"/>
  <c r="E27" i="11"/>
  <c r="F27"/>
  <c r="E28"/>
  <c r="F28"/>
  <c r="C29"/>
  <c r="D29"/>
  <c r="E30"/>
  <c r="F30"/>
  <c r="C31"/>
  <c r="D31"/>
  <c r="E32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E65"/>
  <c r="F65"/>
  <c r="C66"/>
  <c r="EB21" i="2" s="1"/>
  <c r="E67" i="11"/>
  <c r="F67"/>
  <c r="E68"/>
  <c r="F68"/>
  <c r="E69"/>
  <c r="F69"/>
  <c r="E70"/>
  <c r="F70"/>
  <c r="D71"/>
  <c r="EF21" i="2" s="1"/>
  <c r="E73" i="11"/>
  <c r="F73"/>
  <c r="E75"/>
  <c r="F75"/>
  <c r="C76"/>
  <c r="EH21" i="2" s="1"/>
  <c r="D76" i="11"/>
  <c r="E79"/>
  <c r="F79"/>
  <c r="F81"/>
  <c r="C82"/>
  <c r="EN21" i="2" s="1"/>
  <c r="D82" i="11"/>
  <c r="E83"/>
  <c r="F83"/>
  <c r="E84"/>
  <c r="F84"/>
  <c r="E85"/>
  <c r="F85"/>
  <c r="F86"/>
  <c r="C87"/>
  <c r="EQ21" i="2" s="1"/>
  <c r="D87" i="11"/>
  <c r="ER21" i="2" s="1"/>
  <c r="E88" i="11"/>
  <c r="F88"/>
  <c r="E89"/>
  <c r="F89"/>
  <c r="E90"/>
  <c r="E91"/>
  <c r="E92"/>
  <c r="C93"/>
  <c r="ET21" i="2" s="1"/>
  <c r="D93" i="11"/>
  <c r="EU21" i="2" s="1"/>
  <c r="E94" i="11"/>
  <c r="F94"/>
  <c r="E95"/>
  <c r="F95"/>
  <c r="E96"/>
  <c r="F96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20" i="2" s="1"/>
  <c r="D36" i="10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C66"/>
  <c r="EB20" i="2" s="1"/>
  <c r="D66" i="10"/>
  <c r="EC20" i="2" s="1"/>
  <c r="E67" i="10"/>
  <c r="F67"/>
  <c r="E68"/>
  <c r="F68"/>
  <c r="E69"/>
  <c r="F69"/>
  <c r="E70"/>
  <c r="F70"/>
  <c r="D71"/>
  <c r="E72"/>
  <c r="F72"/>
  <c r="E73"/>
  <c r="E74"/>
  <c r="F74"/>
  <c r="E75"/>
  <c r="F75"/>
  <c r="C76"/>
  <c r="EH20" i="2" s="1"/>
  <c r="D76" i="10"/>
  <c r="E77"/>
  <c r="F77"/>
  <c r="E78"/>
  <c r="F78"/>
  <c r="E79"/>
  <c r="F79"/>
  <c r="E80"/>
  <c r="F80"/>
  <c r="C81"/>
  <c r="D81"/>
  <c r="EL20" i="2" s="1"/>
  <c r="E82" i="10"/>
  <c r="F82"/>
  <c r="C83"/>
  <c r="EN20" i="2" s="1"/>
  <c r="D83" i="10"/>
  <c r="EO20" i="2" s="1"/>
  <c r="E84" i="10"/>
  <c r="F84"/>
  <c r="E85"/>
  <c r="F85"/>
  <c r="E86"/>
  <c r="F86"/>
  <c r="F87"/>
  <c r="C88"/>
  <c r="EQ20" i="2" s="1"/>
  <c r="D88" i="10"/>
  <c r="ER20" i="2" s="1"/>
  <c r="E89" i="10"/>
  <c r="F89"/>
  <c r="E90"/>
  <c r="F90"/>
  <c r="E91"/>
  <c r="E92"/>
  <c r="E93"/>
  <c r="C94"/>
  <c r="ET20" i="2" s="1"/>
  <c r="D94" i="10"/>
  <c r="E95"/>
  <c r="F95"/>
  <c r="E96"/>
  <c r="F96"/>
  <c r="E97"/>
  <c r="F97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AS19" i="2" s="1"/>
  <c r="D26" i="9"/>
  <c r="E27"/>
  <c r="F27"/>
  <c r="E28"/>
  <c r="F28"/>
  <c r="C29"/>
  <c r="D29"/>
  <c r="E30"/>
  <c r="F30"/>
  <c r="C31"/>
  <c r="D31"/>
  <c r="E32"/>
  <c r="F32"/>
  <c r="E33"/>
  <c r="F33"/>
  <c r="C36"/>
  <c r="BQ19" i="2" s="1"/>
  <c r="D36" i="9"/>
  <c r="BR19" i="2" s="1"/>
  <c r="E37" i="9"/>
  <c r="F37"/>
  <c r="E38"/>
  <c r="F38"/>
  <c r="E41"/>
  <c r="F41"/>
  <c r="E43"/>
  <c r="F43"/>
  <c r="E45"/>
  <c r="F45"/>
  <c r="E46"/>
  <c r="F46"/>
  <c r="E47"/>
  <c r="F47"/>
  <c r="F48"/>
  <c r="E49"/>
  <c r="F49"/>
  <c r="C56"/>
  <c r="E58"/>
  <c r="F58"/>
  <c r="F59"/>
  <c r="E60"/>
  <c r="F60"/>
  <c r="E61"/>
  <c r="F61"/>
  <c r="E62"/>
  <c r="F62"/>
  <c r="E63"/>
  <c r="F63"/>
  <c r="C64"/>
  <c r="E65"/>
  <c r="F65"/>
  <c r="C66"/>
  <c r="EB19" i="2" s="1"/>
  <c r="E67" i="9"/>
  <c r="F67"/>
  <c r="E68"/>
  <c r="F68"/>
  <c r="E69"/>
  <c r="F69"/>
  <c r="E70"/>
  <c r="F70"/>
  <c r="C71"/>
  <c r="E72"/>
  <c r="F72"/>
  <c r="E73"/>
  <c r="F73"/>
  <c r="E75"/>
  <c r="F75"/>
  <c r="C76"/>
  <c r="D76"/>
  <c r="EI19" i="2" s="1"/>
  <c r="E77" i="9"/>
  <c r="F77"/>
  <c r="E78"/>
  <c r="F78"/>
  <c r="F79"/>
  <c r="E80"/>
  <c r="F80"/>
  <c r="C81"/>
  <c r="EK19" i="2" s="1"/>
  <c r="D81" i="9"/>
  <c r="E82"/>
  <c r="F82"/>
  <c r="E83"/>
  <c r="F83"/>
  <c r="C84"/>
  <c r="D84"/>
  <c r="C91"/>
  <c r="D91"/>
  <c r="ER19" i="2" s="1"/>
  <c r="E92" i="9"/>
  <c r="F92"/>
  <c r="E93"/>
  <c r="F93"/>
  <c r="E94"/>
  <c r="E95"/>
  <c r="E96"/>
  <c r="C97"/>
  <c r="ET19" i="2" s="1"/>
  <c r="D97" i="9"/>
  <c r="EU19" i="2" s="1"/>
  <c r="E98" i="9"/>
  <c r="F98"/>
  <c r="E99"/>
  <c r="F99"/>
  <c r="E100"/>
  <c r="F100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E32"/>
  <c r="F32"/>
  <c r="E33"/>
  <c r="BG18" i="2" s="1"/>
  <c r="F33" i="8"/>
  <c r="BH18" i="2" s="1"/>
  <c r="BH31" s="1"/>
  <c r="D34" i="8"/>
  <c r="BO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Y18" i="2" s="1"/>
  <c r="D64" i="8"/>
  <c r="DZ18" i="2" s="1"/>
  <c r="E65" i="8"/>
  <c r="F65"/>
  <c r="E67"/>
  <c r="F67"/>
  <c r="E68"/>
  <c r="F68"/>
  <c r="E69"/>
  <c r="F69"/>
  <c r="E70"/>
  <c r="F70"/>
  <c r="D71"/>
  <c r="EF18" i="2" s="1"/>
  <c r="E72" i="8"/>
  <c r="F72"/>
  <c r="F73"/>
  <c r="E74"/>
  <c r="F74"/>
  <c r="E75"/>
  <c r="F75"/>
  <c r="D76"/>
  <c r="EI18" i="2" s="1"/>
  <c r="E77" i="8"/>
  <c r="F77"/>
  <c r="E78"/>
  <c r="F78"/>
  <c r="E81"/>
  <c r="F81"/>
  <c r="C83"/>
  <c r="EN18" i="2" s="1"/>
  <c r="D83" i="8"/>
  <c r="E84"/>
  <c r="F84"/>
  <c r="E85"/>
  <c r="F85"/>
  <c r="E86"/>
  <c r="F86"/>
  <c r="F87"/>
  <c r="C88"/>
  <c r="EQ18" i="2" s="1"/>
  <c r="D88" i="8"/>
  <c r="ER18" i="2" s="1"/>
  <c r="E89" i="8"/>
  <c r="F89"/>
  <c r="E90"/>
  <c r="F90"/>
  <c r="E91"/>
  <c r="E92"/>
  <c r="E93"/>
  <c r="C94"/>
  <c r="ET18" i="2" s="1"/>
  <c r="E95" i="8"/>
  <c r="F95"/>
  <c r="E96"/>
  <c r="F96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C65"/>
  <c r="E66"/>
  <c r="F66"/>
  <c r="E67"/>
  <c r="F67"/>
  <c r="E68"/>
  <c r="F68"/>
  <c r="E69"/>
  <c r="F69"/>
  <c r="E71"/>
  <c r="F71"/>
  <c r="E73"/>
  <c r="F73"/>
  <c r="E74"/>
  <c r="F74"/>
  <c r="E76"/>
  <c r="F76"/>
  <c r="E77"/>
  <c r="F77"/>
  <c r="E78"/>
  <c r="C79"/>
  <c r="E80"/>
  <c r="F80"/>
  <c r="C81"/>
  <c r="E82"/>
  <c r="F82"/>
  <c r="E83"/>
  <c r="F83"/>
  <c r="E84"/>
  <c r="F84"/>
  <c r="F85"/>
  <c r="C86"/>
  <c r="EQ17" i="2" s="1"/>
  <c r="E87" i="7"/>
  <c r="F87"/>
  <c r="E88"/>
  <c r="F88"/>
  <c r="E89"/>
  <c r="E90"/>
  <c r="E91"/>
  <c r="C92"/>
  <c r="ET17" i="2" s="1"/>
  <c r="D92" i="7"/>
  <c r="E93"/>
  <c r="F93"/>
  <c r="E94"/>
  <c r="F94"/>
  <c r="E95"/>
  <c r="F95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D30"/>
  <c r="E31"/>
  <c r="F31"/>
  <c r="D32"/>
  <c r="E33"/>
  <c r="F33"/>
  <c r="E34"/>
  <c r="F34"/>
  <c r="C35"/>
  <c r="D35"/>
  <c r="E36"/>
  <c r="F36"/>
  <c r="D37"/>
  <c r="BR16" i="2" s="1"/>
  <c r="C37" i="6"/>
  <c r="E38"/>
  <c r="E39"/>
  <c r="F39"/>
  <c r="F41"/>
  <c r="E42"/>
  <c r="F42"/>
  <c r="E43"/>
  <c r="F43"/>
  <c r="E44"/>
  <c r="F44"/>
  <c r="E47"/>
  <c r="F47"/>
  <c r="E48"/>
  <c r="F48"/>
  <c r="F49"/>
  <c r="E50"/>
  <c r="F50"/>
  <c r="C57"/>
  <c r="D57"/>
  <c r="E59"/>
  <c r="F59"/>
  <c r="F60"/>
  <c r="E61"/>
  <c r="F61"/>
  <c r="E62"/>
  <c r="F62"/>
  <c r="E63"/>
  <c r="F63"/>
  <c r="E64"/>
  <c r="F64"/>
  <c r="C65"/>
  <c r="E66"/>
  <c r="F66"/>
  <c r="C67"/>
  <c r="EB16" i="2" s="1"/>
  <c r="E68" i="6"/>
  <c r="F68"/>
  <c r="E69"/>
  <c r="F69"/>
  <c r="E70"/>
  <c r="F70"/>
  <c r="E71"/>
  <c r="F71"/>
  <c r="D72"/>
  <c r="EF16" i="2" s="1"/>
  <c r="E73" i="6"/>
  <c r="F73"/>
  <c r="E74"/>
  <c r="F74"/>
  <c r="E76"/>
  <c r="F76"/>
  <c r="C79"/>
  <c r="D79"/>
  <c r="EI16" i="2" s="1"/>
  <c r="E80" i="6"/>
  <c r="F80"/>
  <c r="E81"/>
  <c r="F81"/>
  <c r="E82"/>
  <c r="F82"/>
  <c r="C83"/>
  <c r="EK16" i="2" s="1"/>
  <c r="D83" i="6"/>
  <c r="EL16" i="2" s="1"/>
  <c r="E84" i="6"/>
  <c r="F84"/>
  <c r="C85"/>
  <c r="EN16" i="2" s="1"/>
  <c r="D85" i="6"/>
  <c r="EO16" i="2" s="1"/>
  <c r="E86" i="6"/>
  <c r="F86"/>
  <c r="E87"/>
  <c r="F87"/>
  <c r="E88"/>
  <c r="F88"/>
  <c r="F89"/>
  <c r="C90"/>
  <c r="EQ16" i="2" s="1"/>
  <c r="D90" i="6"/>
  <c r="ER16" i="2" s="1"/>
  <c r="E91" i="6"/>
  <c r="F91"/>
  <c r="E92"/>
  <c r="F92"/>
  <c r="E93"/>
  <c r="E94"/>
  <c r="E95"/>
  <c r="C96"/>
  <c r="D96"/>
  <c r="EU16" i="2" s="1"/>
  <c r="E97" i="6"/>
  <c r="F97"/>
  <c r="E98"/>
  <c r="F98"/>
  <c r="E99"/>
  <c r="F99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D30"/>
  <c r="F31"/>
  <c r="C32"/>
  <c r="BE15" i="2" s="1"/>
  <c r="E33" i="5"/>
  <c r="E34"/>
  <c r="F34"/>
  <c r="C35"/>
  <c r="BK15" i="2" s="1"/>
  <c r="D35" i="5"/>
  <c r="BL15" i="2" s="1"/>
  <c r="E36" i="5"/>
  <c r="F36"/>
  <c r="C37"/>
  <c r="BQ15" i="2" s="1"/>
  <c r="D37" i="5"/>
  <c r="E38"/>
  <c r="F38"/>
  <c r="E39"/>
  <c r="F39"/>
  <c r="E42"/>
  <c r="F42"/>
  <c r="E43"/>
  <c r="F43"/>
  <c r="E44"/>
  <c r="F44"/>
  <c r="E46"/>
  <c r="F46"/>
  <c r="E49"/>
  <c r="F49"/>
  <c r="F50"/>
  <c r="E51"/>
  <c r="F51"/>
  <c r="C57"/>
  <c r="D57"/>
  <c r="E59"/>
  <c r="F59"/>
  <c r="F60"/>
  <c r="F61"/>
  <c r="F62"/>
  <c r="E63"/>
  <c r="F63"/>
  <c r="E64"/>
  <c r="F64"/>
  <c r="E66"/>
  <c r="F66"/>
  <c r="C67"/>
  <c r="F67" s="1"/>
  <c r="E68"/>
  <c r="F68"/>
  <c r="E69"/>
  <c r="F69"/>
  <c r="E70"/>
  <c r="F70"/>
  <c r="E71"/>
  <c r="F71"/>
  <c r="D72"/>
  <c r="EF15" i="2" s="1"/>
  <c r="E73" i="5"/>
  <c r="F73"/>
  <c r="E74"/>
  <c r="F74"/>
  <c r="E75"/>
  <c r="E76"/>
  <c r="F76"/>
  <c r="C77"/>
  <c r="D77"/>
  <c r="EI15" i="2" s="1"/>
  <c r="E78" i="5"/>
  <c r="F78"/>
  <c r="E79"/>
  <c r="F79"/>
  <c r="E80"/>
  <c r="E81"/>
  <c r="F81"/>
  <c r="C82"/>
  <c r="EK15" i="2" s="1"/>
  <c r="D82" i="5"/>
  <c r="E83"/>
  <c r="F83"/>
  <c r="E84"/>
  <c r="F84"/>
  <c r="C85"/>
  <c r="EN15" i="2" s="1"/>
  <c r="D85" i="5"/>
  <c r="EO15" i="2" s="1"/>
  <c r="E86" i="5"/>
  <c r="F86"/>
  <c r="E87"/>
  <c r="F87"/>
  <c r="E88"/>
  <c r="F88"/>
  <c r="E89"/>
  <c r="F89"/>
  <c r="C90"/>
  <c r="EQ15" i="2" s="1"/>
  <c r="D90" i="5"/>
  <c r="ER15" i="2" s="1"/>
  <c r="E91" i="5"/>
  <c r="F91"/>
  <c r="E92"/>
  <c r="F92"/>
  <c r="E93"/>
  <c r="E94"/>
  <c r="E95"/>
  <c r="E96"/>
  <c r="F96"/>
  <c r="E97"/>
  <c r="F97"/>
  <c r="E98"/>
  <c r="F98"/>
  <c r="E99"/>
  <c r="F99"/>
  <c r="C5" i="4"/>
  <c r="D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D17"/>
  <c r="E18"/>
  <c r="F18"/>
  <c r="E19"/>
  <c r="F19"/>
  <c r="D20"/>
  <c r="E21"/>
  <c r="F21"/>
  <c r="E22"/>
  <c r="F22"/>
  <c r="E23"/>
  <c r="F23"/>
  <c r="E24"/>
  <c r="F24"/>
  <c r="C26"/>
  <c r="E27"/>
  <c r="F27"/>
  <c r="E28"/>
  <c r="F28"/>
  <c r="C29"/>
  <c r="AY14" i="2" s="1"/>
  <c r="D29" i="4"/>
  <c r="E30"/>
  <c r="F30"/>
  <c r="D31"/>
  <c r="E32"/>
  <c r="F32"/>
  <c r="E33"/>
  <c r="F33"/>
  <c r="D34"/>
  <c r="E34" s="1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F60"/>
  <c r="E61"/>
  <c r="F61"/>
  <c r="E63"/>
  <c r="F63"/>
  <c r="E64"/>
  <c r="F64"/>
  <c r="E65"/>
  <c r="F65"/>
  <c r="E66"/>
  <c r="F66"/>
  <c r="E68"/>
  <c r="F68"/>
  <c r="E69"/>
  <c r="F69"/>
  <c r="E70"/>
  <c r="F70"/>
  <c r="E71"/>
  <c r="F71"/>
  <c r="E73"/>
  <c r="F73"/>
  <c r="E74"/>
  <c r="F74"/>
  <c r="E75"/>
  <c r="F75"/>
  <c r="E77"/>
  <c r="F77"/>
  <c r="E78"/>
  <c r="F78"/>
  <c r="E79"/>
  <c r="F79"/>
  <c r="E80"/>
  <c r="F80"/>
  <c r="E81"/>
  <c r="F81"/>
  <c r="F82"/>
  <c r="F84"/>
  <c r="E85"/>
  <c r="F85"/>
  <c r="E86"/>
  <c r="E87"/>
  <c r="E88"/>
  <c r="D89"/>
  <c r="E89" s="1"/>
  <c r="E90"/>
  <c r="F90"/>
  <c r="E91"/>
  <c r="F91"/>
  <c r="E92"/>
  <c r="F92"/>
  <c r="C5" i="3"/>
  <c r="E6"/>
  <c r="F6"/>
  <c r="E8"/>
  <c r="F8"/>
  <c r="E9"/>
  <c r="F9"/>
  <c r="E10"/>
  <c r="F10"/>
  <c r="F11"/>
  <c r="C12"/>
  <c r="E13"/>
  <c r="F13"/>
  <c r="E14"/>
  <c r="F14"/>
  <c r="E15"/>
  <c r="F15"/>
  <c r="C16"/>
  <c r="F9" i="1" s="1"/>
  <c r="H9" s="1"/>
  <c r="E17" i="3"/>
  <c r="F17"/>
  <c r="E18"/>
  <c r="F18"/>
  <c r="E19"/>
  <c r="F19"/>
  <c r="E20"/>
  <c r="F20"/>
  <c r="C21"/>
  <c r="F11" i="1" s="1"/>
  <c r="C11" s="1"/>
  <c r="E22" i="3"/>
  <c r="F22"/>
  <c r="C23"/>
  <c r="F12" i="1" s="1"/>
  <c r="E24" i="3"/>
  <c r="F24"/>
  <c r="F25"/>
  <c r="E26"/>
  <c r="F26"/>
  <c r="C27"/>
  <c r="F13" i="1" s="1"/>
  <c r="D27" i="3"/>
  <c r="F28"/>
  <c r="F29"/>
  <c r="F30"/>
  <c r="F31"/>
  <c r="F34"/>
  <c r="F35"/>
  <c r="E36"/>
  <c r="F36"/>
  <c r="E37"/>
  <c r="F37"/>
  <c r="F38"/>
  <c r="E39"/>
  <c r="F39"/>
  <c r="C41"/>
  <c r="F16" i="1" s="1"/>
  <c r="C16" s="1"/>
  <c r="E42" i="3"/>
  <c r="F42"/>
  <c r="C43"/>
  <c r="F17" i="1" s="1"/>
  <c r="D43" i="3"/>
  <c r="G17" i="1" s="1"/>
  <c r="E44" i="3"/>
  <c r="F44"/>
  <c r="F45"/>
  <c r="C46"/>
  <c r="F18" i="1" s="1"/>
  <c r="D49" i="3"/>
  <c r="G19" i="1" s="1"/>
  <c r="D19" s="1"/>
  <c r="E47" i="3"/>
  <c r="F47"/>
  <c r="E48"/>
  <c r="F48"/>
  <c r="C49"/>
  <c r="E50"/>
  <c r="F50"/>
  <c r="E52"/>
  <c r="F52"/>
  <c r="E53"/>
  <c r="F53"/>
  <c r="F54"/>
  <c r="E55"/>
  <c r="F55"/>
  <c r="F56"/>
  <c r="E57"/>
  <c r="F57"/>
  <c r="E58"/>
  <c r="F58"/>
  <c r="F59"/>
  <c r="E60"/>
  <c r="F60"/>
  <c r="F61"/>
  <c r="E62"/>
  <c r="F62"/>
  <c r="E63"/>
  <c r="F63"/>
  <c r="E64"/>
  <c r="F64"/>
  <c r="E65"/>
  <c r="F65"/>
  <c r="E67"/>
  <c r="F67"/>
  <c r="C68"/>
  <c r="F69"/>
  <c r="F70"/>
  <c r="F73"/>
  <c r="F74"/>
  <c r="E75"/>
  <c r="F75"/>
  <c r="E76"/>
  <c r="F76"/>
  <c r="E77"/>
  <c r="F77"/>
  <c r="E78"/>
  <c r="F78"/>
  <c r="F79"/>
  <c r="E80"/>
  <c r="F80"/>
  <c r="F81"/>
  <c r="E88"/>
  <c r="F88"/>
  <c r="E89"/>
  <c r="F89"/>
  <c r="F90"/>
  <c r="E91"/>
  <c r="F91"/>
  <c r="F92"/>
  <c r="E93"/>
  <c r="F93"/>
  <c r="E94"/>
  <c r="F94"/>
  <c r="C95"/>
  <c r="E96"/>
  <c r="F96"/>
  <c r="E98"/>
  <c r="F98"/>
  <c r="E99"/>
  <c r="F99"/>
  <c r="E100"/>
  <c r="F100"/>
  <c r="F101"/>
  <c r="E104"/>
  <c r="F104"/>
  <c r="E105"/>
  <c r="F105"/>
  <c r="E106"/>
  <c r="F106"/>
  <c r="E107"/>
  <c r="F107"/>
  <c r="E109"/>
  <c r="F109"/>
  <c r="F110"/>
  <c r="F111"/>
  <c r="C112"/>
  <c r="F34" i="1" s="1"/>
  <c r="C34" s="1"/>
  <c r="E113" i="3"/>
  <c r="F113"/>
  <c r="E115"/>
  <c r="F115"/>
  <c r="E116"/>
  <c r="F116"/>
  <c r="E118"/>
  <c r="F118"/>
  <c r="E119"/>
  <c r="F119"/>
  <c r="E121"/>
  <c r="F121"/>
  <c r="E122"/>
  <c r="F122"/>
  <c r="E124"/>
  <c r="F124"/>
  <c r="E125"/>
  <c r="F125"/>
  <c r="E126"/>
  <c r="F126"/>
  <c r="E127"/>
  <c r="F127"/>
  <c r="E129"/>
  <c r="F129"/>
  <c r="E130"/>
  <c r="F130"/>
  <c r="E132"/>
  <c r="E133"/>
  <c r="C134"/>
  <c r="F39" i="1" s="1"/>
  <c r="C39" s="1"/>
  <c r="D134" i="3"/>
  <c r="E135"/>
  <c r="F135"/>
  <c r="C136"/>
  <c r="F40" i="1" s="1"/>
  <c r="C40" s="1"/>
  <c r="G40"/>
  <c r="D40" s="1"/>
  <c r="F137" i="3"/>
  <c r="E139"/>
  <c r="F139"/>
  <c r="E140"/>
  <c r="F140"/>
  <c r="E141"/>
  <c r="F141"/>
  <c r="L14" i="2"/>
  <c r="M14"/>
  <c r="O14"/>
  <c r="P14"/>
  <c r="R14"/>
  <c r="S14"/>
  <c r="U14"/>
  <c r="V14"/>
  <c r="X14"/>
  <c r="AA14"/>
  <c r="AB14"/>
  <c r="AD14"/>
  <c r="AG14"/>
  <c r="AH14"/>
  <c r="AL14"/>
  <c r="AO14"/>
  <c r="AT14"/>
  <c r="AX14"/>
  <c r="BB14"/>
  <c r="BC14"/>
  <c r="BC31" s="1"/>
  <c r="BJ14"/>
  <c r="BP14"/>
  <c r="BV14"/>
  <c r="BV31" s="1"/>
  <c r="BV35" s="1"/>
  <c r="BY14"/>
  <c r="BY31" s="1"/>
  <c r="CC14"/>
  <c r="CF14"/>
  <c r="CG14"/>
  <c r="CJ14"/>
  <c r="CL14"/>
  <c r="CM14"/>
  <c r="CT14"/>
  <c r="CZ14"/>
  <c r="DM14"/>
  <c r="DS14"/>
  <c r="DT14"/>
  <c r="DV14"/>
  <c r="DW14"/>
  <c r="DY14"/>
  <c r="DZ14"/>
  <c r="EN14"/>
  <c r="EO14"/>
  <c r="ET14"/>
  <c r="I15"/>
  <c r="L15"/>
  <c r="M15"/>
  <c r="O15"/>
  <c r="P15"/>
  <c r="R15"/>
  <c r="S15"/>
  <c r="U15"/>
  <c r="V15"/>
  <c r="X15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T15"/>
  <c r="EU15"/>
  <c r="I16"/>
  <c r="L16"/>
  <c r="M16"/>
  <c r="O16"/>
  <c r="P16"/>
  <c r="R16"/>
  <c r="S16"/>
  <c r="U16"/>
  <c r="V16"/>
  <c r="X16"/>
  <c r="AA16"/>
  <c r="AB16"/>
  <c r="AD16"/>
  <c r="AE16"/>
  <c r="AG16"/>
  <c r="AH16"/>
  <c r="AL16"/>
  <c r="AM16"/>
  <c r="AN16"/>
  <c r="AP16"/>
  <c r="AT16"/>
  <c r="AX16"/>
  <c r="BA16"/>
  <c r="BE16"/>
  <c r="BF16"/>
  <c r="BJ16"/>
  <c r="BV16"/>
  <c r="BY16"/>
  <c r="CC16"/>
  <c r="CD16"/>
  <c r="CF16"/>
  <c r="CG16"/>
  <c r="CJ16"/>
  <c r="CL16"/>
  <c r="CM16"/>
  <c r="CT16"/>
  <c r="CZ16"/>
  <c r="DM16"/>
  <c r="DP16"/>
  <c r="DS16"/>
  <c r="DT16"/>
  <c r="DW16"/>
  <c r="DY16"/>
  <c r="DZ16"/>
  <c r="I17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X17"/>
  <c r="BE17"/>
  <c r="BF17"/>
  <c r="BJ17"/>
  <c r="BV17"/>
  <c r="BY17"/>
  <c r="CC17"/>
  <c r="CF17"/>
  <c r="CG17"/>
  <c r="CJ17"/>
  <c r="CL17"/>
  <c r="CM17"/>
  <c r="CT17"/>
  <c r="CZ17"/>
  <c r="DM17"/>
  <c r="DS17"/>
  <c r="DT17"/>
  <c r="DV17"/>
  <c r="DW17"/>
  <c r="DY17"/>
  <c r="DZ17"/>
  <c r="I18"/>
  <c r="L18"/>
  <c r="M18"/>
  <c r="O18"/>
  <c r="P18"/>
  <c r="R18"/>
  <c r="S18"/>
  <c r="U18"/>
  <c r="V18"/>
  <c r="X18"/>
  <c r="AA18"/>
  <c r="AB18"/>
  <c r="AD18"/>
  <c r="AE18"/>
  <c r="AG18"/>
  <c r="AH18"/>
  <c r="AJ18"/>
  <c r="AK18"/>
  <c r="AN18"/>
  <c r="AO18" s="1"/>
  <c r="AX18"/>
  <c r="BE18"/>
  <c r="BV18"/>
  <c r="BY18"/>
  <c r="CC18"/>
  <c r="CD18"/>
  <c r="CF18"/>
  <c r="CG18"/>
  <c r="CJ18"/>
  <c r="CM18"/>
  <c r="CO18"/>
  <c r="CP18"/>
  <c r="CZ18"/>
  <c r="DM18"/>
  <c r="DP18"/>
  <c r="DS18"/>
  <c r="DT18"/>
  <c r="DV18"/>
  <c r="DW18"/>
  <c r="I19"/>
  <c r="L19"/>
  <c r="M19"/>
  <c r="O19"/>
  <c r="P19"/>
  <c r="R19"/>
  <c r="S19"/>
  <c r="U19"/>
  <c r="V19"/>
  <c r="X19"/>
  <c r="AA19"/>
  <c r="AB19"/>
  <c r="AD19"/>
  <c r="AE19"/>
  <c r="AG19"/>
  <c r="AH19"/>
  <c r="AL19"/>
  <c r="AM19"/>
  <c r="AN19"/>
  <c r="AX19"/>
  <c r="BE19"/>
  <c r="BF19"/>
  <c r="BJ19"/>
  <c r="BV19"/>
  <c r="BY19"/>
  <c r="CD19"/>
  <c r="CF19"/>
  <c r="CG19"/>
  <c r="CJ19"/>
  <c r="CL19"/>
  <c r="CM19"/>
  <c r="CP19"/>
  <c r="CZ19"/>
  <c r="DM19"/>
  <c r="DP19"/>
  <c r="DQ19"/>
  <c r="DS19"/>
  <c r="DT19"/>
  <c r="DV19"/>
  <c r="DW19"/>
  <c r="DY19"/>
  <c r="DZ19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X20"/>
  <c r="BE20"/>
  <c r="BF20"/>
  <c r="BJ20"/>
  <c r="BV20"/>
  <c r="BY20"/>
  <c r="CD20"/>
  <c r="CF20"/>
  <c r="CG20"/>
  <c r="CJ20"/>
  <c r="CL20"/>
  <c r="CM20"/>
  <c r="CP20"/>
  <c r="CR20"/>
  <c r="CS20"/>
  <c r="CZ20"/>
  <c r="DM20"/>
  <c r="DP20"/>
  <c r="DS20"/>
  <c r="DT20"/>
  <c r="DV20"/>
  <c r="DW20"/>
  <c r="DY20"/>
  <c r="DZ20"/>
  <c r="I21"/>
  <c r="M21"/>
  <c r="P21"/>
  <c r="S21"/>
  <c r="V21"/>
  <c r="AB21"/>
  <c r="AE21"/>
  <c r="AH21"/>
  <c r="AT21"/>
  <c r="L21"/>
  <c r="O21"/>
  <c r="R21"/>
  <c r="U21"/>
  <c r="X21"/>
  <c r="AA21"/>
  <c r="AD21"/>
  <c r="AG21"/>
  <c r="AJ21"/>
  <c r="AO21"/>
  <c r="AX21"/>
  <c r="BE21"/>
  <c r="BF21"/>
  <c r="BJ21"/>
  <c r="BP21"/>
  <c r="BV21"/>
  <c r="BY21"/>
  <c r="CC21"/>
  <c r="CD21"/>
  <c r="CJ21"/>
  <c r="CM21"/>
  <c r="CF21"/>
  <c r="CG21"/>
  <c r="CL21"/>
  <c r="CZ21"/>
  <c r="DM21"/>
  <c r="DP21"/>
  <c r="DS21"/>
  <c r="DT21"/>
  <c r="DV21"/>
  <c r="DW21"/>
  <c r="DY21"/>
  <c r="DZ21"/>
  <c r="I22"/>
  <c r="M22"/>
  <c r="P22"/>
  <c r="S22"/>
  <c r="V22"/>
  <c r="AB22"/>
  <c r="AE22"/>
  <c r="AH22"/>
  <c r="AT22"/>
  <c r="L22"/>
  <c r="O22"/>
  <c r="R22"/>
  <c r="U22"/>
  <c r="X22"/>
  <c r="AA22"/>
  <c r="AD22"/>
  <c r="AG22"/>
  <c r="AX22"/>
  <c r="BJ22"/>
  <c r="BV22"/>
  <c r="BY22"/>
  <c r="CC22"/>
  <c r="CD22"/>
  <c r="CM22"/>
  <c r="CF22"/>
  <c r="CG22"/>
  <c r="CJ22"/>
  <c r="CL22"/>
  <c r="CZ22"/>
  <c r="DP22"/>
  <c r="DS22"/>
  <c r="DT22"/>
  <c r="DV22"/>
  <c r="DW22"/>
  <c r="DY22"/>
  <c r="ET22"/>
  <c r="EU22"/>
  <c r="M23"/>
  <c r="P23"/>
  <c r="S23"/>
  <c r="V23"/>
  <c r="AB23"/>
  <c r="AE23"/>
  <c r="AH23"/>
  <c r="CD23"/>
  <c r="CJ23"/>
  <c r="CM23"/>
  <c r="O23"/>
  <c r="R23"/>
  <c r="U23"/>
  <c r="X23"/>
  <c r="AA23"/>
  <c r="AG23"/>
  <c r="AL23"/>
  <c r="AO23"/>
  <c r="AT23"/>
  <c r="AX23"/>
  <c r="BE23"/>
  <c r="BF23"/>
  <c r="BJ23"/>
  <c r="BV23"/>
  <c r="BY23"/>
  <c r="CC23"/>
  <c r="CL23"/>
  <c r="CT23"/>
  <c r="CZ23"/>
  <c r="DM23"/>
  <c r="DP23"/>
  <c r="DQ23"/>
  <c r="DS23"/>
  <c r="DT23"/>
  <c r="DV23"/>
  <c r="DW23"/>
  <c r="DY23"/>
  <c r="DZ23"/>
  <c r="M24"/>
  <c r="P24"/>
  <c r="S24"/>
  <c r="V24"/>
  <c r="AB24"/>
  <c r="AE24"/>
  <c r="AH24"/>
  <c r="CD24"/>
  <c r="CJ24"/>
  <c r="CM24"/>
  <c r="L24"/>
  <c r="O24"/>
  <c r="R24"/>
  <c r="U24"/>
  <c r="X24"/>
  <c r="AG24"/>
  <c r="AJ24"/>
  <c r="AO24"/>
  <c r="AT24"/>
  <c r="AX24"/>
  <c r="BE24"/>
  <c r="BF24"/>
  <c r="BJ24"/>
  <c r="BV24"/>
  <c r="BY24"/>
  <c r="CC24"/>
  <c r="CF24"/>
  <c r="CG24"/>
  <c r="CL24"/>
  <c r="CT24"/>
  <c r="CZ24"/>
  <c r="DM24"/>
  <c r="DP24"/>
  <c r="DS24"/>
  <c r="DT24"/>
  <c r="DV24"/>
  <c r="DW24"/>
  <c r="DY24"/>
  <c r="DZ24"/>
  <c r="M25"/>
  <c r="S25"/>
  <c r="V25"/>
  <c r="AB25"/>
  <c r="AE25"/>
  <c r="AH25"/>
  <c r="AO25"/>
  <c r="AT25"/>
  <c r="CD25"/>
  <c r="CJ25"/>
  <c r="CM25"/>
  <c r="I25"/>
  <c r="L25"/>
  <c r="O25"/>
  <c r="R25"/>
  <c r="U25"/>
  <c r="X25"/>
  <c r="AA25"/>
  <c r="AD25"/>
  <c r="AG25"/>
  <c r="AL25"/>
  <c r="AX25"/>
  <c r="BE25"/>
  <c r="BF25"/>
  <c r="BJ25"/>
  <c r="BV25"/>
  <c r="BY25"/>
  <c r="CC25"/>
  <c r="CF25"/>
  <c r="CG25"/>
  <c r="CL25"/>
  <c r="CO25"/>
  <c r="CZ25"/>
  <c r="DM25"/>
  <c r="DP25"/>
  <c r="DQ25"/>
  <c r="DS25"/>
  <c r="DT25"/>
  <c r="DV25"/>
  <c r="DW25"/>
  <c r="DY25"/>
  <c r="DZ25"/>
  <c r="M26"/>
  <c r="P26"/>
  <c r="S26"/>
  <c r="V26"/>
  <c r="AB26"/>
  <c r="AE26"/>
  <c r="AH26"/>
  <c r="AT26"/>
  <c r="CD26"/>
  <c r="CM26"/>
  <c r="I26"/>
  <c r="L26"/>
  <c r="O26"/>
  <c r="R26"/>
  <c r="U26"/>
  <c r="X26"/>
  <c r="AA26"/>
  <c r="AD26"/>
  <c r="AG26"/>
  <c r="AL26"/>
  <c r="AX26"/>
  <c r="BE26"/>
  <c r="BF26"/>
  <c r="BJ26"/>
  <c r="BV26"/>
  <c r="BY26"/>
  <c r="CF26"/>
  <c r="CG26"/>
  <c r="CJ26"/>
  <c r="CL26"/>
  <c r="CZ26"/>
  <c r="DM26"/>
  <c r="DP26"/>
  <c r="DQ26"/>
  <c r="DS26"/>
  <c r="DT26"/>
  <c r="DV26"/>
  <c r="DW26"/>
  <c r="DY26"/>
  <c r="DZ26"/>
  <c r="M27"/>
  <c r="P27"/>
  <c r="S27"/>
  <c r="V27"/>
  <c r="AB27"/>
  <c r="AE27"/>
  <c r="AH27"/>
  <c r="AT27"/>
  <c r="CD27"/>
  <c r="CM27"/>
  <c r="I27"/>
  <c r="K27" s="1"/>
  <c r="L27"/>
  <c r="O27"/>
  <c r="R27"/>
  <c r="U27"/>
  <c r="X27"/>
  <c r="AA27"/>
  <c r="AD27"/>
  <c r="AG27"/>
  <c r="AL27"/>
  <c r="AX27"/>
  <c r="BJ27"/>
  <c r="BP27"/>
  <c r="BV27"/>
  <c r="BY27"/>
  <c r="CC27"/>
  <c r="CJ27"/>
  <c r="CK27" s="1"/>
  <c r="CL27"/>
  <c r="CZ27"/>
  <c r="DM27"/>
  <c r="DP27"/>
  <c r="DQ27"/>
  <c r="DS27"/>
  <c r="DT27"/>
  <c r="DV27"/>
  <c r="DW27"/>
  <c r="DY27"/>
  <c r="DZ27"/>
  <c r="M28"/>
  <c r="P28"/>
  <c r="S28"/>
  <c r="V28"/>
  <c r="AB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V28"/>
  <c r="BY28"/>
  <c r="CC28"/>
  <c r="CF28"/>
  <c r="CG28"/>
  <c r="CJ28"/>
  <c r="CL28"/>
  <c r="CZ28"/>
  <c r="DB28"/>
  <c r="DC28" s="1"/>
  <c r="DM28"/>
  <c r="DP28"/>
  <c r="DQ28"/>
  <c r="DS28"/>
  <c r="DT28"/>
  <c r="DV28"/>
  <c r="DW28"/>
  <c r="DY28"/>
  <c r="M29"/>
  <c r="P29"/>
  <c r="S29"/>
  <c r="V29"/>
  <c r="AB29"/>
  <c r="AE29"/>
  <c r="AH29"/>
  <c r="CD29"/>
  <c r="CJ29"/>
  <c r="CM29"/>
  <c r="L29"/>
  <c r="O29"/>
  <c r="R29"/>
  <c r="U29"/>
  <c r="X29"/>
  <c r="AA29"/>
  <c r="AD29"/>
  <c r="AG29"/>
  <c r="AL29"/>
  <c r="AX29"/>
  <c r="BA29"/>
  <c r="BE29"/>
  <c r="BJ29"/>
  <c r="BP29"/>
  <c r="BV29"/>
  <c r="BY29"/>
  <c r="CC29"/>
  <c r="CF29"/>
  <c r="CG29"/>
  <c r="CL29"/>
  <c r="CT29"/>
  <c r="CZ29"/>
  <c r="DM29"/>
  <c r="DP29"/>
  <c r="DS29"/>
  <c r="DT29"/>
  <c r="DV29"/>
  <c r="DW29"/>
  <c r="EK29"/>
  <c r="BA30"/>
  <c r="AV31"/>
  <c r="AV35" s="1"/>
  <c r="AW31"/>
  <c r="AW33" s="1"/>
  <c r="BT31"/>
  <c r="BT35" s="1"/>
  <c r="BW31"/>
  <c r="BW35" s="1"/>
  <c r="BX31"/>
  <c r="BX33" s="1"/>
  <c r="CU31"/>
  <c r="CU35" s="1"/>
  <c r="CX31"/>
  <c r="CX35" s="1"/>
  <c r="CY31"/>
  <c r="CY35" s="1"/>
  <c r="DA31"/>
  <c r="DA33" s="1"/>
  <c r="DD31"/>
  <c r="DD35" s="1"/>
  <c r="C22" i="1"/>
  <c r="D22"/>
  <c r="E24"/>
  <c r="F24"/>
  <c r="F26"/>
  <c r="C26" s="1"/>
  <c r="G26"/>
  <c r="D26" s="1"/>
  <c r="E32"/>
  <c r="E33"/>
  <c r="G33"/>
  <c r="E36"/>
  <c r="AO22" i="2"/>
  <c r="AO29"/>
  <c r="AO27"/>
  <c r="AO26"/>
  <c r="F38" i="6"/>
  <c r="BS14" i="2"/>
  <c r="E29" i="1"/>
  <c r="G37"/>
  <c r="E72" i="11"/>
  <c r="E58" i="12"/>
  <c r="F58"/>
  <c r="C56"/>
  <c r="DM22" i="2"/>
  <c r="F77" i="14"/>
  <c r="C76"/>
  <c r="EH24" i="2" s="1"/>
  <c r="E77" i="14"/>
  <c r="F79" i="15"/>
  <c r="C76"/>
  <c r="EH25" i="2" s="1"/>
  <c r="E79" i="15"/>
  <c r="F74" i="18"/>
  <c r="E74"/>
  <c r="C68" i="19"/>
  <c r="F71"/>
  <c r="E71"/>
  <c r="EB15" i="2"/>
  <c r="F40" i="11"/>
  <c r="E40" i="8"/>
  <c r="D9" i="1"/>
  <c r="E41" i="6"/>
  <c r="E74" i="9"/>
  <c r="F74" i="11"/>
  <c r="F72" i="3"/>
  <c r="E72"/>
  <c r="E76" i="12"/>
  <c r="F73" i="17"/>
  <c r="C72"/>
  <c r="EE27" i="2" s="1"/>
  <c r="E73" i="17"/>
  <c r="F80" i="14"/>
  <c r="EE18" i="2"/>
  <c r="E79" i="8"/>
  <c r="F79"/>
  <c r="E73"/>
  <c r="CC20" i="2"/>
  <c r="E37" i="1"/>
  <c r="E38"/>
  <c r="E31"/>
  <c r="C71" i="12"/>
  <c r="C38" i="19"/>
  <c r="F39"/>
  <c r="D25" i="18" l="1"/>
  <c r="D93" i="4"/>
  <c r="F5" i="17"/>
  <c r="AC24" i="2"/>
  <c r="CK28"/>
  <c r="F32" i="18"/>
  <c r="F12" i="12"/>
  <c r="E7"/>
  <c r="AU21" i="2"/>
  <c r="F5" i="16"/>
  <c r="E26" i="5"/>
  <c r="E5" i="14"/>
  <c r="DR29" i="2"/>
  <c r="K26"/>
  <c r="E5" i="13"/>
  <c r="AU22" i="2"/>
  <c r="F81" i="12"/>
  <c r="CQ20" i="2"/>
  <c r="E5" i="8"/>
  <c r="F26" i="5"/>
  <c r="E95" i="3"/>
  <c r="E68"/>
  <c r="F26" i="12"/>
  <c r="AR22" i="2"/>
  <c r="F41" i="5"/>
  <c r="F7" i="12"/>
  <c r="E37" i="5"/>
  <c r="C25"/>
  <c r="CH23" i="2"/>
  <c r="Z20"/>
  <c r="ES14"/>
  <c r="F112" i="3"/>
  <c r="E54" i="13"/>
  <c r="N22" i="2"/>
  <c r="F14" i="11"/>
  <c r="DO18" i="2"/>
  <c r="K17"/>
  <c r="E123" i="3"/>
  <c r="AF14" i="2"/>
  <c r="C36" i="16"/>
  <c r="BQ26" i="2" s="1"/>
  <c r="F26" s="1"/>
  <c r="E17" i="16"/>
  <c r="ED23" i="2"/>
  <c r="E17" i="13"/>
  <c r="E26" i="12"/>
  <c r="CK22" i="2"/>
  <c r="F5" i="12"/>
  <c r="CH19" i="2"/>
  <c r="AI18"/>
  <c r="AC18"/>
  <c r="AI17"/>
  <c r="E26" i="6"/>
  <c r="F79"/>
  <c r="F20"/>
  <c r="DU29" i="2"/>
  <c r="AF28"/>
  <c r="E26" i="17"/>
  <c r="E26" i="14"/>
  <c r="E66"/>
  <c r="CN23" i="2"/>
  <c r="EA23"/>
  <c r="W21"/>
  <c r="E37" i="11"/>
  <c r="EA21" i="2"/>
  <c r="N21"/>
  <c r="F14" i="9"/>
  <c r="E89"/>
  <c r="CN18" i="2"/>
  <c r="F56" i="8"/>
  <c r="E7"/>
  <c r="W18" i="2"/>
  <c r="E34" i="7"/>
  <c r="F67" i="6"/>
  <c r="E35" i="5"/>
  <c r="E32"/>
  <c r="E67"/>
  <c r="DU15" i="2"/>
  <c r="CN15"/>
  <c r="F57" i="5"/>
  <c r="C4"/>
  <c r="C40" s="1"/>
  <c r="C52" s="1"/>
  <c r="BN15" i="2"/>
  <c r="F15" s="1"/>
  <c r="F35" i="5"/>
  <c r="F30"/>
  <c r="AU14" i="2"/>
  <c r="F34" i="4"/>
  <c r="F17"/>
  <c r="F5"/>
  <c r="F41" i="1"/>
  <c r="H41" s="1"/>
  <c r="F68" i="3"/>
  <c r="DD33" i="2"/>
  <c r="F26" i="19"/>
  <c r="E17" i="17"/>
  <c r="CH27" i="2"/>
  <c r="EA25"/>
  <c r="AU25"/>
  <c r="CH25"/>
  <c r="Z25"/>
  <c r="CE25"/>
  <c r="F37" i="14"/>
  <c r="F35" s="1"/>
  <c r="F34" s="1"/>
  <c r="F20" i="13"/>
  <c r="F62"/>
  <c r="Q22" i="2"/>
  <c r="E93" i="11"/>
  <c r="F40" i="9"/>
  <c r="E20"/>
  <c r="F36"/>
  <c r="F84"/>
  <c r="AU19" i="2"/>
  <c r="F7" i="8"/>
  <c r="ES18" i="2"/>
  <c r="F14" i="8"/>
  <c r="F79" i="7"/>
  <c r="E37" i="6"/>
  <c r="E35"/>
  <c r="CE15" i="2"/>
  <c r="AF15"/>
  <c r="W15"/>
  <c r="EP15"/>
  <c r="E83" i="4"/>
  <c r="E72"/>
  <c r="D4"/>
  <c r="G31" i="1"/>
  <c r="E128" i="3"/>
  <c r="F7" i="19"/>
  <c r="BA27" i="2"/>
  <c r="F31" i="16"/>
  <c r="E29"/>
  <c r="F31" i="15"/>
  <c r="F29"/>
  <c r="E20"/>
  <c r="AI24" i="2"/>
  <c r="CK23"/>
  <c r="E26" i="13"/>
  <c r="CH22" i="2"/>
  <c r="F93" i="11"/>
  <c r="F37"/>
  <c r="E7"/>
  <c r="DJ20" i="2"/>
  <c r="CT20"/>
  <c r="E26" i="10"/>
  <c r="F20"/>
  <c r="E12"/>
  <c r="BG19" i="2"/>
  <c r="BZ18"/>
  <c r="E14" i="8"/>
  <c r="T18" i="2"/>
  <c r="BP18"/>
  <c r="F80" i="8"/>
  <c r="F17" i="7"/>
  <c r="DJ16" i="2"/>
  <c r="F37" i="6"/>
  <c r="F85"/>
  <c r="C4"/>
  <c r="DR15" i="2"/>
  <c r="BO15"/>
  <c r="F20" i="5"/>
  <c r="DX14" i="2"/>
  <c r="CE14"/>
  <c r="E7" i="19"/>
  <c r="D4"/>
  <c r="E34"/>
  <c r="AC29" i="2"/>
  <c r="DK29"/>
  <c r="DH29" s="1"/>
  <c r="E84" i="18"/>
  <c r="F77" i="17"/>
  <c r="C25"/>
  <c r="E31"/>
  <c r="AI27" i="2"/>
  <c r="E81" i="16"/>
  <c r="W26" i="2"/>
  <c r="C4" i="16"/>
  <c r="E26"/>
  <c r="E12"/>
  <c r="AZ25" i="2"/>
  <c r="G25" s="1"/>
  <c r="E31" i="15"/>
  <c r="F20"/>
  <c r="F26" i="14"/>
  <c r="E82"/>
  <c r="DK24" i="2"/>
  <c r="DH24" s="1"/>
  <c r="F91" i="13"/>
  <c r="F23" i="2"/>
  <c r="DO23"/>
  <c r="F54" i="13"/>
  <c r="D95"/>
  <c r="F85"/>
  <c r="D4"/>
  <c r="F77" i="12"/>
  <c r="EI22" i="2"/>
  <c r="EJ22" s="1"/>
  <c r="E29" i="12"/>
  <c r="DO22" i="2"/>
  <c r="F29" i="12"/>
  <c r="DR22" i="2"/>
  <c r="E64" i="12"/>
  <c r="F37"/>
  <c r="E77"/>
  <c r="E12"/>
  <c r="F7" i="11"/>
  <c r="F83" i="10"/>
  <c r="E7"/>
  <c r="E66"/>
  <c r="AF20" i="2"/>
  <c r="AR20"/>
  <c r="F20" i="9"/>
  <c r="CK19" i="2"/>
  <c r="F64" i="9"/>
  <c r="DK19" i="2"/>
  <c r="DX19"/>
  <c r="Q19"/>
  <c r="CQ19"/>
  <c r="K19"/>
  <c r="E66" i="8"/>
  <c r="CE18" i="2"/>
  <c r="K18"/>
  <c r="BL31"/>
  <c r="BL33" s="1"/>
  <c r="E88" i="8"/>
  <c r="EA18" i="2"/>
  <c r="AR18"/>
  <c r="BZ16"/>
  <c r="E7" i="6"/>
  <c r="E32"/>
  <c r="F12"/>
  <c r="F85" i="5"/>
  <c r="E20"/>
  <c r="DO15" i="2"/>
  <c r="E20" i="4"/>
  <c r="CK14" i="2"/>
  <c r="Z14"/>
  <c r="C25" i="4"/>
  <c r="E14"/>
  <c r="E7"/>
  <c r="F31"/>
  <c r="F103" i="3"/>
  <c r="F46"/>
  <c r="CU33" i="2"/>
  <c r="F29" i="19"/>
  <c r="E29"/>
  <c r="E12"/>
  <c r="E26"/>
  <c r="AI29" i="2"/>
  <c r="F31" i="19"/>
  <c r="E90"/>
  <c r="DO29" i="2"/>
  <c r="W29"/>
  <c r="E17" i="18"/>
  <c r="E7"/>
  <c r="Z28" i="2"/>
  <c r="E77" i="17"/>
  <c r="E46"/>
  <c r="DX27" i="2"/>
  <c r="E34" i="17"/>
  <c r="EV27" i="2"/>
  <c r="F31" i="17"/>
  <c r="W27" i="2"/>
  <c r="E94" i="17"/>
  <c r="F94"/>
  <c r="BS27" i="2"/>
  <c r="E86" i="16"/>
  <c r="E55"/>
  <c r="F92"/>
  <c r="EO26" i="2"/>
  <c r="EP26" s="1"/>
  <c r="BO26"/>
  <c r="BP26" s="1"/>
  <c r="ER26"/>
  <c r="ER31" s="1"/>
  <c r="J38" i="1" s="1"/>
  <c r="N26" i="2"/>
  <c r="F26" i="16"/>
  <c r="BA26" i="2"/>
  <c r="F34" i="16"/>
  <c r="F37"/>
  <c r="F29"/>
  <c r="F12"/>
  <c r="F7"/>
  <c r="EV25" i="2"/>
  <c r="F56" i="15"/>
  <c r="E41"/>
  <c r="F93"/>
  <c r="EB25" i="2"/>
  <c r="ED25" s="1"/>
  <c r="K25"/>
  <c r="E87" i="15"/>
  <c r="E56"/>
  <c r="DX25" i="2"/>
  <c r="EJ24"/>
  <c r="E17" i="14"/>
  <c r="BQ24" i="2"/>
  <c r="BS24" s="1"/>
  <c r="F64" i="14"/>
  <c r="E87"/>
  <c r="BZ24" i="2"/>
  <c r="N24"/>
  <c r="F5" i="14"/>
  <c r="AR24" i="2"/>
  <c r="E64" i="13"/>
  <c r="F26"/>
  <c r="BZ23" i="2"/>
  <c r="AI23"/>
  <c r="AR23"/>
  <c r="E88" i="12"/>
  <c r="F71"/>
  <c r="F96"/>
  <c r="E96"/>
  <c r="AZ22" i="2"/>
  <c r="BA22" s="1"/>
  <c r="F82" i="11"/>
  <c r="EO21" i="2"/>
  <c r="EP21" s="1"/>
  <c r="E87" i="11"/>
  <c r="AF21" i="2"/>
  <c r="AJ31"/>
  <c r="AJ35" s="1"/>
  <c r="K21"/>
  <c r="ES20"/>
  <c r="F66" i="10"/>
  <c r="F76"/>
  <c r="F7"/>
  <c r="DO20" i="2"/>
  <c r="E29" i="10"/>
  <c r="E20"/>
  <c r="E14"/>
  <c r="E84" i="9"/>
  <c r="E64"/>
  <c r="DO19" i="2"/>
  <c r="E34" i="9"/>
  <c r="F26"/>
  <c r="D97" i="8"/>
  <c r="EV18" i="2"/>
  <c r="EJ18"/>
  <c r="F20" i="8"/>
  <c r="E94"/>
  <c r="F34"/>
  <c r="BK31" i="2"/>
  <c r="BK33" s="1"/>
  <c r="E20" i="7"/>
  <c r="O31" i="2"/>
  <c r="O35" s="1"/>
  <c r="E86" i="7"/>
  <c r="AU17" i="2"/>
  <c r="F92" i="7"/>
  <c r="E65"/>
  <c r="ES16" i="2"/>
  <c r="E20" i="6"/>
  <c r="BO16" i="2"/>
  <c r="BP16" s="1"/>
  <c r="E90" i="6"/>
  <c r="DR16" i="2"/>
  <c r="E12" i="6"/>
  <c r="DU16" i="2"/>
  <c r="AI16"/>
  <c r="AC16"/>
  <c r="W16"/>
  <c r="C100" i="5"/>
  <c r="D100"/>
  <c r="ED15" i="2"/>
  <c r="EV15"/>
  <c r="BC35"/>
  <c r="BC33"/>
  <c r="E12" i="4"/>
  <c r="F89"/>
  <c r="F20"/>
  <c r="E23" i="3"/>
  <c r="D142"/>
  <c r="F7"/>
  <c r="F108"/>
  <c r="Q29" i="2"/>
  <c r="DX28"/>
  <c r="DR28"/>
  <c r="CE28"/>
  <c r="Q27"/>
  <c r="N27"/>
  <c r="T26"/>
  <c r="Q24"/>
  <c r="DK23"/>
  <c r="AC23"/>
  <c r="BZ22"/>
  <c r="W22"/>
  <c r="DU19"/>
  <c r="BZ19"/>
  <c r="AL18"/>
  <c r="CN16"/>
  <c r="AO16"/>
  <c r="F16"/>
  <c r="DK15"/>
  <c r="DJ15"/>
  <c r="AO15"/>
  <c r="AA31"/>
  <c r="AA35" s="1"/>
  <c r="E17" i="4"/>
  <c r="C4"/>
  <c r="F82" i="5"/>
  <c r="EP16" i="2"/>
  <c r="E79" i="6"/>
  <c r="C25"/>
  <c r="F17"/>
  <c r="F86" i="7"/>
  <c r="F29"/>
  <c r="F5"/>
  <c r="E56" i="8"/>
  <c r="E17"/>
  <c r="E76" i="9"/>
  <c r="F31"/>
  <c r="C4"/>
  <c r="E81" i="10"/>
  <c r="F56"/>
  <c r="E36"/>
  <c r="E17"/>
  <c r="F76" i="11"/>
  <c r="E17"/>
  <c r="E20" i="13"/>
  <c r="E31" i="14"/>
  <c r="E29"/>
  <c r="C25" i="15"/>
  <c r="E12"/>
  <c r="F86" i="16"/>
  <c r="F14"/>
  <c r="F88" i="17"/>
  <c r="E12"/>
  <c r="C4"/>
  <c r="E5"/>
  <c r="E20" i="18"/>
  <c r="E5" i="19"/>
  <c r="C4" i="14"/>
  <c r="F12" i="3"/>
  <c r="F31" i="13"/>
  <c r="E71" i="9"/>
  <c r="DK17" i="2"/>
  <c r="G21"/>
  <c r="F7" i="13"/>
  <c r="E64" i="10"/>
  <c r="BG15" i="2"/>
  <c r="K16"/>
  <c r="BG22"/>
  <c r="AR21"/>
  <c r="E34" i="8"/>
  <c r="E26" i="7"/>
  <c r="F65" i="16"/>
  <c r="BZ26" i="2"/>
  <c r="ES24"/>
  <c r="E41" i="18"/>
  <c r="CT28" i="2"/>
  <c r="D25" i="6"/>
  <c r="E67" i="4"/>
  <c r="F76" i="8"/>
  <c r="H20" i="1"/>
  <c r="CT15" i="2"/>
  <c r="E67" i="6"/>
  <c r="AF27" i="2"/>
  <c r="AF25"/>
  <c r="N25"/>
  <c r="T24"/>
  <c r="F20"/>
  <c r="C4" i="7"/>
  <c r="C4" i="8"/>
  <c r="BS19" i="2"/>
  <c r="D4" i="10"/>
  <c r="C4" i="11"/>
  <c r="E14" i="15"/>
  <c r="F17" i="16"/>
  <c r="F84" i="19"/>
  <c r="C25"/>
  <c r="E112" i="3"/>
  <c r="E7" i="9"/>
  <c r="F26" i="17"/>
  <c r="Z24" i="2"/>
  <c r="Z16"/>
  <c r="F65" i="7"/>
  <c r="D4" i="5"/>
  <c r="E5" i="15"/>
  <c r="D25" i="19"/>
  <c r="BZ17" i="2"/>
  <c r="BZ21"/>
  <c r="ED18"/>
  <c r="F5" i="6"/>
  <c r="DK22" i="2"/>
  <c r="BA20"/>
  <c r="AR17"/>
  <c r="E71" i="8"/>
  <c r="D97" i="11"/>
  <c r="F56"/>
  <c r="F56" i="9"/>
  <c r="E56" i="12"/>
  <c r="F57" i="17"/>
  <c r="DK18" i="2"/>
  <c r="DR18"/>
  <c r="E56" i="11"/>
  <c r="F89" i="18"/>
  <c r="BZ28" i="2"/>
  <c r="F14" i="18"/>
  <c r="E35"/>
  <c r="W28" i="2"/>
  <c r="C89" i="18"/>
  <c r="EQ28" i="2" s="1"/>
  <c r="ES28" s="1"/>
  <c r="F5" i="18"/>
  <c r="F35"/>
  <c r="F26"/>
  <c r="E12"/>
  <c r="E68" i="19"/>
  <c r="BZ29" i="2"/>
  <c r="E37" i="18"/>
  <c r="E38" i="19"/>
  <c r="F17" i="17"/>
  <c r="DQ31" i="2"/>
  <c r="DQ33" s="1"/>
  <c r="D4" i="16"/>
  <c r="F7" i="18"/>
  <c r="BZ27" i="2"/>
  <c r="CN27"/>
  <c r="DT31"/>
  <c r="DT33" s="1"/>
  <c r="AG31"/>
  <c r="I12" i="1" s="1"/>
  <c r="C12" s="1"/>
  <c r="I31" i="2"/>
  <c r="I35" s="1"/>
  <c r="D96" i="16"/>
  <c r="EG27" i="2"/>
  <c r="DO26"/>
  <c r="CP31"/>
  <c r="CP35" s="1"/>
  <c r="D99" i="18"/>
  <c r="H33" i="1"/>
  <c r="H6"/>
  <c r="F123" i="3"/>
  <c r="E138"/>
  <c r="D25" i="16"/>
  <c r="D39" s="1"/>
  <c r="BR26" i="2"/>
  <c r="AQ31"/>
  <c r="AQ33" s="1"/>
  <c r="D4" i="3"/>
  <c r="EM25" i="2"/>
  <c r="DJ25"/>
  <c r="W25"/>
  <c r="E82" i="15"/>
  <c r="D25"/>
  <c r="E64" i="14"/>
  <c r="AE31" i="2"/>
  <c r="AE35" s="1"/>
  <c r="CL31"/>
  <c r="CL33" s="1"/>
  <c r="D97" i="15"/>
  <c r="F76" i="14"/>
  <c r="E41"/>
  <c r="BZ25" i="2"/>
  <c r="E80" i="15"/>
  <c r="DP31" i="2"/>
  <c r="DP35" s="1"/>
  <c r="DJ24"/>
  <c r="V31"/>
  <c r="V35" s="1"/>
  <c r="F64" i="15"/>
  <c r="H24" i="1"/>
  <c r="E46" i="3"/>
  <c r="BY35" i="2"/>
  <c r="BY33"/>
  <c r="EM26"/>
  <c r="BI33"/>
  <c r="F76" i="15"/>
  <c r="Z21" i="2"/>
  <c r="D98" i="12"/>
  <c r="E76" i="8"/>
  <c r="AC15" i="2"/>
  <c r="EU14"/>
  <c r="EV14" s="1"/>
  <c r="ES17"/>
  <c r="E7" i="13"/>
  <c r="F34" i="9"/>
  <c r="E34" i="15"/>
  <c r="F95" i="18"/>
  <c r="DO17" i="2"/>
  <c r="F89" i="9"/>
  <c r="F43" i="3"/>
  <c r="G34" i="1"/>
  <c r="G7"/>
  <c r="BF29" i="2"/>
  <c r="G29" s="1"/>
  <c r="EC26"/>
  <c r="EO25"/>
  <c r="EP25" s="1"/>
  <c r="N23"/>
  <c r="EC16"/>
  <c r="ED16" s="1"/>
  <c r="F26" i="6"/>
  <c r="DJ26" i="2"/>
  <c r="AN31"/>
  <c r="AN33" s="1"/>
  <c r="E63" i="16"/>
  <c r="E84" i="19"/>
  <c r="AW35" i="2"/>
  <c r="E66" i="12"/>
  <c r="F66"/>
  <c r="F80" i="15"/>
  <c r="F136" i="3"/>
  <c r="F64" i="13"/>
  <c r="F71" i="8"/>
  <c r="C97"/>
  <c r="D97" i="14"/>
  <c r="E78" i="13"/>
  <c r="E20" i="12"/>
  <c r="F82" i="15"/>
  <c r="E90" i="5"/>
  <c r="F17" i="15"/>
  <c r="EU17" i="2"/>
  <c r="EV17" s="1"/>
  <c r="E83" i="6"/>
  <c r="E16" i="3"/>
  <c r="F32" i="6"/>
  <c r="CK17" i="2"/>
  <c r="CY33"/>
  <c r="E17" i="6"/>
  <c r="EL15" i="2"/>
  <c r="EM15" s="1"/>
  <c r="F36" i="10"/>
  <c r="K29" i="2"/>
  <c r="F26" i="7"/>
  <c r="E7" i="16"/>
  <c r="E103" i="3"/>
  <c r="F26" i="15"/>
  <c r="E31" i="9"/>
  <c r="D4" i="15"/>
  <c r="E51" i="3"/>
  <c r="E108"/>
  <c r="AP29" i="2"/>
  <c r="AR29" s="1"/>
  <c r="E29" i="15"/>
  <c r="F23" i="3"/>
  <c r="F33"/>
  <c r="D25" i="9"/>
  <c r="F81" i="7"/>
  <c r="F34" i="15"/>
  <c r="E91" i="13"/>
  <c r="F17" i="18"/>
  <c r="DR14" i="2"/>
  <c r="F17" i="11"/>
  <c r="F83" i="6"/>
  <c r="F74" i="13"/>
  <c r="F79" i="16"/>
  <c r="F61" i="19"/>
  <c r="E14" i="18"/>
  <c r="F20" i="14"/>
  <c r="Q25" i="2"/>
  <c r="CK25"/>
  <c r="Z22"/>
  <c r="EK20"/>
  <c r="EM20" s="1"/>
  <c r="EH16"/>
  <c r="EJ16" s="1"/>
  <c r="E56" i="9"/>
  <c r="F7"/>
  <c r="E64" i="15"/>
  <c r="F78" i="13"/>
  <c r="E92" i="7"/>
  <c r="E5" i="6"/>
  <c r="D25" i="10"/>
  <c r="DN31" i="2"/>
  <c r="DN35" s="1"/>
  <c r="E37" i="12"/>
  <c r="F64"/>
  <c r="EC28" i="2"/>
  <c r="AU24"/>
  <c r="AR16"/>
  <c r="E65" i="6"/>
  <c r="DJ18" i="2"/>
  <c r="F17" i="19"/>
  <c r="E29" i="4"/>
  <c r="E79" i="16"/>
  <c r="E97" i="9"/>
  <c r="DJ19" i="2"/>
  <c r="F14" i="4"/>
  <c r="E76" i="15"/>
  <c r="E93"/>
  <c r="E81" i="12"/>
  <c r="E77" i="19"/>
  <c r="C25" i="12"/>
  <c r="F29" i="10"/>
  <c r="E83"/>
  <c r="F66" i="8"/>
  <c r="E82" i="5"/>
  <c r="ES25" i="2"/>
  <c r="C4" i="13"/>
  <c r="E33" i="3"/>
  <c r="F21" i="1"/>
  <c r="F66" i="14"/>
  <c r="E95" i="18"/>
  <c r="F34" i="19"/>
  <c r="CK29" i="2"/>
  <c r="DO24"/>
  <c r="CK24"/>
  <c r="AU23"/>
  <c r="CS31"/>
  <c r="AU20"/>
  <c r="EB17"/>
  <c r="ED17" s="1"/>
  <c r="Z15"/>
  <c r="EE14"/>
  <c r="EG14" s="1"/>
  <c r="E31" i="13"/>
  <c r="F12"/>
  <c r="E65" i="18"/>
  <c r="AR28" i="2"/>
  <c r="DR17"/>
  <c r="AI25"/>
  <c r="W24"/>
  <c r="EE29"/>
  <c r="EG29" s="1"/>
  <c r="F28"/>
  <c r="CN29"/>
  <c r="AF16"/>
  <c r="F96" i="6"/>
  <c r="E7" i="3"/>
  <c r="N28" i="2"/>
  <c r="F128" i="3"/>
  <c r="D96" i="7"/>
  <c r="C93" i="4"/>
  <c r="AI28" i="2"/>
  <c r="CN21"/>
  <c r="K14"/>
  <c r="EA28"/>
  <c r="D25" i="12"/>
  <c r="CK21" i="2"/>
  <c r="F57" i="6"/>
  <c r="F7"/>
  <c r="DM31" i="2"/>
  <c r="DM35" s="1"/>
  <c r="J31"/>
  <c r="J33" s="1"/>
  <c r="CE26"/>
  <c r="CA26"/>
  <c r="CA29"/>
  <c r="CA28"/>
  <c r="CA27"/>
  <c r="CO31"/>
  <c r="CO35" s="1"/>
  <c r="CA24"/>
  <c r="CA23"/>
  <c r="EP22"/>
  <c r="CF31"/>
  <c r="CF35" s="1"/>
  <c r="CA22"/>
  <c r="AD31"/>
  <c r="I10" i="1" s="1"/>
  <c r="C10" s="1"/>
  <c r="L31" i="2"/>
  <c r="L35" s="1"/>
  <c r="AC22"/>
  <c r="CA21"/>
  <c r="CA18"/>
  <c r="CA17"/>
  <c r="BA19"/>
  <c r="CA25"/>
  <c r="CA20"/>
  <c r="CA19"/>
  <c r="CA16"/>
  <c r="CA15"/>
  <c r="CA14"/>
  <c r="G20"/>
  <c r="AF22"/>
  <c r="CE20"/>
  <c r="M31"/>
  <c r="M33" s="1"/>
  <c r="P31"/>
  <c r="P33" s="1"/>
  <c r="E37" i="7"/>
  <c r="F37"/>
  <c r="E57" i="6"/>
  <c r="E55" i="7"/>
  <c r="F55"/>
  <c r="F38" i="19"/>
  <c r="EA17" i="2"/>
  <c r="F14" i="5"/>
  <c r="EV19" i="2"/>
  <c r="E26" i="9"/>
  <c r="E31" i="10"/>
  <c r="F5"/>
  <c r="E74" i="13"/>
  <c r="F90" i="6"/>
  <c r="H36" i="1"/>
  <c r="CH18" i="2"/>
  <c r="F17" i="10"/>
  <c r="F56" i="12"/>
  <c r="BT33" i="2"/>
  <c r="CH14"/>
  <c r="F12" i="14"/>
  <c r="F12" i="17"/>
  <c r="E5" i="18"/>
  <c r="E7" i="14"/>
  <c r="E7" i="15"/>
  <c r="T22" i="2"/>
  <c r="F5" i="8"/>
  <c r="E41" i="5"/>
  <c r="F95" i="3"/>
  <c r="F30" i="1"/>
  <c r="H30" s="1"/>
  <c r="BR15" i="2"/>
  <c r="F37" i="5"/>
  <c r="E81" i="7"/>
  <c r="EN17" i="2"/>
  <c r="EP17" s="1"/>
  <c r="F36" i="8"/>
  <c r="BQ18" i="2"/>
  <c r="BS18" s="1"/>
  <c r="E26" i="8"/>
  <c r="D25"/>
  <c r="E12" i="13"/>
  <c r="AS31" i="2"/>
  <c r="AS35" s="1"/>
  <c r="DJ22"/>
  <c r="CX33"/>
  <c r="F19"/>
  <c r="BS22"/>
  <c r="E26" i="4"/>
  <c r="F26"/>
  <c r="C4" i="15"/>
  <c r="E65" i="16"/>
  <c r="EB26" i="2"/>
  <c r="F7" i="17"/>
  <c r="E7"/>
  <c r="F97" i="3"/>
  <c r="F31" i="1"/>
  <c r="F72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2" i="5"/>
  <c r="E79" i="7"/>
  <c r="F7" i="14"/>
  <c r="F5" i="15"/>
  <c r="F7"/>
  <c r="F63" i="16"/>
  <c r="E31" i="19"/>
  <c r="E67" i="17"/>
  <c r="AU28" i="2"/>
  <c r="AR14"/>
  <c r="AR25"/>
  <c r="BA14"/>
  <c r="F14"/>
  <c r="CE24"/>
  <c r="T21"/>
  <c r="F12" i="19"/>
  <c r="F41" i="12"/>
  <c r="E41"/>
  <c r="F38" i="17"/>
  <c r="E38"/>
  <c r="AF29" i="2"/>
  <c r="E14" i="11"/>
  <c r="D4"/>
  <c r="E7" i="7"/>
  <c r="C70"/>
  <c r="EE17" i="2" s="1"/>
  <c r="F15" i="1"/>
  <c r="H15" s="1"/>
  <c r="C32" i="3"/>
  <c r="CE27" i="2"/>
  <c r="T23"/>
  <c r="DX15"/>
  <c r="EP14"/>
  <c r="F30" i="6"/>
  <c r="D98" i="10"/>
  <c r="G18" i="1"/>
  <c r="H18" s="1"/>
  <c r="D32" i="3"/>
  <c r="K23" i="2"/>
  <c r="DV31"/>
  <c r="DV33" s="1"/>
  <c r="D25" i="11"/>
  <c r="CJ31" i="2"/>
  <c r="CJ35" s="1"/>
  <c r="EJ25"/>
  <c r="E40" i="7"/>
  <c r="F68" i="19"/>
  <c r="AL24" i="2"/>
  <c r="BZ20"/>
  <c r="E76" i="14"/>
  <c r="DA35" i="2"/>
  <c r="AV33"/>
  <c r="BW33"/>
  <c r="EP29"/>
  <c r="ES27"/>
  <c r="DK25"/>
  <c r="BG23"/>
  <c r="E36" i="9"/>
  <c r="F46" i="17"/>
  <c r="F34"/>
  <c r="C98" i="12"/>
  <c r="E71"/>
  <c r="AC26" i="2"/>
  <c r="DU24"/>
  <c r="CH24"/>
  <c r="AO19"/>
  <c r="N19"/>
  <c r="DU18"/>
  <c r="E85" i="6"/>
  <c r="F17" i="9"/>
  <c r="F81" i="10"/>
  <c r="E5"/>
  <c r="E85" i="13"/>
  <c r="F81" i="16"/>
  <c r="BP24" i="2"/>
  <c r="G24"/>
  <c r="C9" i="1"/>
  <c r="E9" s="1"/>
  <c r="AK31" i="2"/>
  <c r="EE22"/>
  <c r="EG22" s="1"/>
  <c r="E72" i="17"/>
  <c r="AX31" i="2"/>
  <c r="BS29"/>
  <c r="EA26"/>
  <c r="DX26"/>
  <c r="DK26"/>
  <c r="AI26"/>
  <c r="DU23"/>
  <c r="Q21"/>
  <c r="AI21"/>
  <c r="Q18"/>
  <c r="DU17"/>
  <c r="X31"/>
  <c r="X33" s="1"/>
  <c r="R31"/>
  <c r="R35" s="1"/>
  <c r="EA16"/>
  <c r="CE16"/>
  <c r="Q16"/>
  <c r="E85" i="5"/>
  <c r="F65" i="6"/>
  <c r="F35"/>
  <c r="E29" i="7"/>
  <c r="E17"/>
  <c r="F64" i="8"/>
  <c r="E31"/>
  <c r="F29" i="11"/>
  <c r="E83" i="12"/>
  <c r="EM24" i="2"/>
  <c r="D25" i="14"/>
  <c r="F84" i="18"/>
  <c r="F37"/>
  <c r="F20"/>
  <c r="D4"/>
  <c r="D40" s="1"/>
  <c r="E60" i="4"/>
  <c r="F41" i="18"/>
  <c r="AC25" i="2"/>
  <c r="S31"/>
  <c r="S33" s="1"/>
  <c r="F87" i="15"/>
  <c r="H32" i="1"/>
  <c r="E136" i="3"/>
  <c r="H12" i="1"/>
  <c r="E80" i="14"/>
  <c r="G27" i="2"/>
  <c r="CG31"/>
  <c r="CG35" s="1"/>
  <c r="CM31"/>
  <c r="CM35" s="1"/>
  <c r="AB31"/>
  <c r="AB33" s="1"/>
  <c r="EK17"/>
  <c r="EM17" s="1"/>
  <c r="N17"/>
  <c r="ED22"/>
  <c r="EM29"/>
  <c r="BZ14"/>
  <c r="F90" i="5"/>
  <c r="EP19" i="2"/>
  <c r="F20" i="12"/>
  <c r="F34" i="7"/>
  <c r="BS16" i="2"/>
  <c r="CC31"/>
  <c r="H37" i="1"/>
  <c r="BV33" i="2"/>
  <c r="CZ31"/>
  <c r="CZ33" s="1"/>
  <c r="DB31"/>
  <c r="BX35"/>
  <c r="T29"/>
  <c r="EV28"/>
  <c r="AC28"/>
  <c r="T27"/>
  <c r="DX24"/>
  <c r="DX23"/>
  <c r="DR23"/>
  <c r="W23"/>
  <c r="CE22"/>
  <c r="DX21"/>
  <c r="BG21"/>
  <c r="AI20"/>
  <c r="W20"/>
  <c r="Q20"/>
  <c r="N20"/>
  <c r="CN19"/>
  <c r="AM31"/>
  <c r="AM35" s="1"/>
  <c r="AI19"/>
  <c r="AC19"/>
  <c r="DX18"/>
  <c r="DX17"/>
  <c r="CE17"/>
  <c r="AC17"/>
  <c r="T17"/>
  <c r="T16"/>
  <c r="N16"/>
  <c r="Q15"/>
  <c r="N15"/>
  <c r="DJ14"/>
  <c r="CN14"/>
  <c r="AI14"/>
  <c r="E43" i="3"/>
  <c r="F29" i="4"/>
  <c r="E5"/>
  <c r="E57" i="5"/>
  <c r="D25"/>
  <c r="E30" i="6"/>
  <c r="E5" i="7"/>
  <c r="AT18" i="2"/>
  <c r="G18" s="1"/>
  <c r="E20" i="8"/>
  <c r="E12"/>
  <c r="E14" i="9"/>
  <c r="F31" i="10"/>
  <c r="F26"/>
  <c r="F87" i="11"/>
  <c r="E29"/>
  <c r="F31" i="14"/>
  <c r="E92" i="16"/>
  <c r="F83" i="17"/>
  <c r="E57"/>
  <c r="E20"/>
  <c r="ES29" i="2"/>
  <c r="F77" i="19"/>
  <c r="F20"/>
  <c r="H38" i="1"/>
  <c r="BG27" i="2"/>
  <c r="BE31"/>
  <c r="F27"/>
  <c r="E36" i="7"/>
  <c r="F36"/>
  <c r="BQ17" i="2"/>
  <c r="BS17" s="1"/>
  <c r="DZ31"/>
  <c r="BP28"/>
  <c r="EV26"/>
  <c r="DJ23"/>
  <c r="AF17"/>
  <c r="CH16"/>
  <c r="EA15"/>
  <c r="CQ15"/>
  <c r="BZ15"/>
  <c r="E64" i="8"/>
  <c r="C25" i="9"/>
  <c r="F88" i="10"/>
  <c r="F14"/>
  <c r="F83" i="12"/>
  <c r="F5" i="13"/>
  <c r="F82" i="14"/>
  <c r="E26" i="15"/>
  <c r="F12"/>
  <c r="E31" i="16"/>
  <c r="F20" i="17"/>
  <c r="F65" i="18"/>
  <c r="E20" i="19"/>
  <c r="Z26" i="2"/>
  <c r="F16" i="3"/>
  <c r="E62" i="13"/>
  <c r="F40" i="16"/>
  <c r="E40" i="10"/>
  <c r="EM16" i="2"/>
  <c r="CN26"/>
  <c r="EP24"/>
  <c r="EM22"/>
  <c r="EA22"/>
  <c r="CN22"/>
  <c r="DU21"/>
  <c r="ED20"/>
  <c r="EA19"/>
  <c r="AI15"/>
  <c r="T15"/>
  <c r="T14"/>
  <c r="EP20"/>
  <c r="F14" i="15"/>
  <c r="E5" i="16"/>
  <c r="C25" i="13"/>
  <c r="E65" i="5"/>
  <c r="Z18" i="2"/>
  <c r="F67" i="4"/>
  <c r="F51" i="3"/>
  <c r="DS31" i="2"/>
  <c r="DS35" s="1"/>
  <c r="CH15"/>
  <c r="AC14"/>
  <c r="E30" i="5"/>
  <c r="F20" i="7"/>
  <c r="F29" i="14"/>
  <c r="F12" i="18"/>
  <c r="C4"/>
  <c r="F7" i="4"/>
  <c r="AU15" i="2"/>
  <c r="F32" i="5"/>
  <c r="BA28" i="2"/>
  <c r="EA27"/>
  <c r="AF26"/>
  <c r="Q26"/>
  <c r="DU25"/>
  <c r="CN24"/>
  <c r="ES23"/>
  <c r="EV21"/>
  <c r="AC21"/>
  <c r="EA20"/>
  <c r="DU20"/>
  <c r="CN20"/>
  <c r="CH20"/>
  <c r="ES15"/>
  <c r="F83" i="4"/>
  <c r="E14" i="5"/>
  <c r="F88" i="8"/>
  <c r="F12"/>
  <c r="C25" i="10"/>
  <c r="E82" i="11"/>
  <c r="BR28" i="2"/>
  <c r="G28" s="1"/>
  <c r="K28"/>
  <c r="K24"/>
  <c r="F66" i="15"/>
  <c r="BP25" i="2"/>
  <c r="BB31"/>
  <c r="BD14"/>
  <c r="F134" i="3"/>
  <c r="G39" i="1"/>
  <c r="E134" i="3"/>
  <c r="F5"/>
  <c r="F5" i="1"/>
  <c r="C4" i="3"/>
  <c r="E5"/>
  <c r="E12" i="5"/>
  <c r="F12"/>
  <c r="E31" i="7"/>
  <c r="F31"/>
  <c r="C25"/>
  <c r="F17" i="8"/>
  <c r="D4"/>
  <c r="EH19" i="2"/>
  <c r="EJ19" s="1"/>
  <c r="F76" i="9"/>
  <c r="E5"/>
  <c r="F5"/>
  <c r="E76" i="10"/>
  <c r="EI20" i="2"/>
  <c r="EI21"/>
  <c r="EJ21" s="1"/>
  <c r="E76" i="11"/>
  <c r="E31"/>
  <c r="C25"/>
  <c r="E26"/>
  <c r="F26"/>
  <c r="E32" i="12"/>
  <c r="F32"/>
  <c r="E34" i="13"/>
  <c r="BR23" i="2"/>
  <c r="BS23" s="1"/>
  <c r="F34" i="13"/>
  <c r="E14"/>
  <c r="F14"/>
  <c r="F20" i="16"/>
  <c r="E20"/>
  <c r="E29" i="17"/>
  <c r="F29"/>
  <c r="D25"/>
  <c r="E61" i="19"/>
  <c r="DY29" i="2"/>
  <c r="EA29" s="1"/>
  <c r="E87" i="3"/>
  <c r="C142"/>
  <c r="F87"/>
  <c r="EK18" i="2"/>
  <c r="E80" i="8"/>
  <c r="C25"/>
  <c r="F26"/>
  <c r="E41" i="3"/>
  <c r="G16" i="1"/>
  <c r="F41" i="3"/>
  <c r="E66" i="9"/>
  <c r="EC19" i="2"/>
  <c r="F66" i="9"/>
  <c r="E66" i="11"/>
  <c r="F66"/>
  <c r="EC21" i="2"/>
  <c r="E76" i="4"/>
  <c r="EK14" i="2"/>
  <c r="F76" i="4"/>
  <c r="C71" i="15"/>
  <c r="C97" s="1"/>
  <c r="E74"/>
  <c r="C70" i="16"/>
  <c r="F71"/>
  <c r="E71"/>
  <c r="C81" i="17"/>
  <c r="E81" s="1"/>
  <c r="F82"/>
  <c r="E82"/>
  <c r="E77" i="18"/>
  <c r="C73"/>
  <c r="F77"/>
  <c r="E64"/>
  <c r="C57"/>
  <c r="F64"/>
  <c r="C73" i="19"/>
  <c r="F76"/>
  <c r="H11" i="1"/>
  <c r="D100" i="6"/>
  <c r="F91" i="9"/>
  <c r="E88" i="10"/>
  <c r="EV23" i="2"/>
  <c r="F65" i="5"/>
  <c r="E32" i="18"/>
  <c r="CK18" i="2"/>
  <c r="E27" i="3"/>
  <c r="G13" i="1"/>
  <c r="F27" i="3"/>
  <c r="BF14" i="2"/>
  <c r="E31" i="4"/>
  <c r="D25"/>
  <c r="E5" i="5"/>
  <c r="F5"/>
  <c r="ET16" i="2"/>
  <c r="E96" i="6"/>
  <c r="E14"/>
  <c r="D4"/>
  <c r="F14"/>
  <c r="EQ19" i="2"/>
  <c r="E91" i="9"/>
  <c r="EE19" i="2"/>
  <c r="C101" i="9"/>
  <c r="F94" i="10"/>
  <c r="EU20" i="2"/>
  <c r="E94" i="10"/>
  <c r="E56"/>
  <c r="F36" i="11"/>
  <c r="BQ21" i="2"/>
  <c r="BS21" s="1"/>
  <c r="E36" i="11"/>
  <c r="E37" i="15"/>
  <c r="BQ25" i="2"/>
  <c r="F37" i="15"/>
  <c r="EB28" i="2"/>
  <c r="F67" i="18"/>
  <c r="ET29" i="2"/>
  <c r="EV29" s="1"/>
  <c r="F90" i="19"/>
  <c r="F35" i="1"/>
  <c r="E114" i="3"/>
  <c r="F114"/>
  <c r="F120"/>
  <c r="E120"/>
  <c r="E12" i="11"/>
  <c r="F12"/>
  <c r="CQ21" i="2"/>
  <c r="E21" i="3"/>
  <c r="F21"/>
  <c r="EE15" i="2"/>
  <c r="F72" i="5"/>
  <c r="D98" i="17"/>
  <c r="E65"/>
  <c r="F65"/>
  <c r="F75" i="16"/>
  <c r="E75"/>
  <c r="EI26" i="2"/>
  <c r="E53" i="19"/>
  <c r="D94"/>
  <c r="F53"/>
  <c r="E82" i="18"/>
  <c r="EL28" i="2"/>
  <c r="EM28" s="1"/>
  <c r="F82" i="18"/>
  <c r="F39" i="4"/>
  <c r="E75" i="6"/>
  <c r="C72"/>
  <c r="F75"/>
  <c r="E72" i="7"/>
  <c r="F72"/>
  <c r="F78"/>
  <c r="C75"/>
  <c r="CR31" i="2"/>
  <c r="CT19"/>
  <c r="F72" i="17"/>
  <c r="CN28" i="2"/>
  <c r="F49" i="3"/>
  <c r="F31" i="8"/>
  <c r="E17" i="9"/>
  <c r="F31" i="11"/>
  <c r="F88" i="12"/>
  <c r="C95" i="13"/>
  <c r="F87" i="14"/>
  <c r="C25"/>
  <c r="E14" i="16"/>
  <c r="D101" i="9"/>
  <c r="ES22" i="2"/>
  <c r="DK16"/>
  <c r="DX16"/>
  <c r="F19" i="1"/>
  <c r="E49" i="3"/>
  <c r="E12"/>
  <c r="F7" i="1"/>
  <c r="EH15" i="2"/>
  <c r="F77" i="5"/>
  <c r="E77"/>
  <c r="E14" i="7"/>
  <c r="F14"/>
  <c r="AY18" i="2"/>
  <c r="F29" i="8"/>
  <c r="E29"/>
  <c r="E81" i="9"/>
  <c r="F81"/>
  <c r="EL19" i="2"/>
  <c r="F12" i="10"/>
  <c r="C4"/>
  <c r="F64" i="11"/>
  <c r="E64"/>
  <c r="E20"/>
  <c r="F20"/>
  <c r="E5"/>
  <c r="F5"/>
  <c r="F17" i="12"/>
  <c r="C4"/>
  <c r="E17"/>
  <c r="F80" i="13"/>
  <c r="EO23" i="2"/>
  <c r="EP23" s="1"/>
  <c r="E80" i="13"/>
  <c r="EE23" i="2"/>
  <c r="F69" i="13"/>
  <c r="F56" i="14"/>
  <c r="E56"/>
  <c r="E12"/>
  <c r="D4"/>
  <c r="EL27" i="2"/>
  <c r="D4" i="17"/>
  <c r="F14"/>
  <c r="E14"/>
  <c r="F30" i="18"/>
  <c r="E30"/>
  <c r="C25"/>
  <c r="E14" i="19"/>
  <c r="F14"/>
  <c r="F71" i="9"/>
  <c r="EF19" i="2"/>
  <c r="E52" i="4"/>
  <c r="F52"/>
  <c r="DK20" i="2"/>
  <c r="DR20"/>
  <c r="DO14"/>
  <c r="DK14"/>
  <c r="F35" i="12"/>
  <c r="E35"/>
  <c r="E38" i="13"/>
  <c r="F38"/>
  <c r="E7" i="5"/>
  <c r="F7"/>
  <c r="EB27" i="2"/>
  <c r="F67" i="17"/>
  <c r="E13" i="7"/>
  <c r="Y17" i="2"/>
  <c r="F13" i="7"/>
  <c r="Y19" i="2"/>
  <c r="G19" s="1"/>
  <c r="E13" i="9"/>
  <c r="D12"/>
  <c r="F94" i="8"/>
  <c r="CE23" i="2"/>
  <c r="K22"/>
  <c r="F22"/>
  <c r="E17" i="5"/>
  <c r="F17"/>
  <c r="E63" i="7"/>
  <c r="F63"/>
  <c r="F83" i="8"/>
  <c r="E83"/>
  <c r="EO18" i="2"/>
  <c r="E29" i="9"/>
  <c r="F29"/>
  <c r="EF20" i="2"/>
  <c r="F14" i="12"/>
  <c r="D4"/>
  <c r="D25" i="13"/>
  <c r="E29"/>
  <c r="F29"/>
  <c r="E93" i="14"/>
  <c r="F93"/>
  <c r="ET24" i="2"/>
  <c r="EV24" s="1"/>
  <c r="E14" i="14"/>
  <c r="F14"/>
  <c r="E83" i="17"/>
  <c r="EN27" i="2"/>
  <c r="EP27" s="1"/>
  <c r="E78" i="18"/>
  <c r="EH28" i="2"/>
  <c r="EJ28" s="1"/>
  <c r="F78" i="18"/>
  <c r="E79" i="19"/>
  <c r="F79"/>
  <c r="EB29" i="2"/>
  <c r="ED29" s="1"/>
  <c r="E63" i="19"/>
  <c r="F63"/>
  <c r="C4"/>
  <c r="F5"/>
  <c r="F64" i="10"/>
  <c r="EF17" i="2"/>
  <c r="EC14"/>
  <c r="F62" i="4"/>
  <c r="E62"/>
  <c r="CI31" i="2"/>
  <c r="CK16"/>
  <c r="CW14"/>
  <c r="CV31"/>
  <c r="F73" i="10"/>
  <c r="C71"/>
  <c r="EE20" i="2" s="1"/>
  <c r="F72" i="11"/>
  <c r="C71"/>
  <c r="C80"/>
  <c r="E81"/>
  <c r="E70" i="13"/>
  <c r="F70"/>
  <c r="C71" i="14"/>
  <c r="F74"/>
  <c r="F97" i="9"/>
  <c r="D25" i="7"/>
  <c r="BA21" i="2"/>
  <c r="BA15"/>
  <c r="EM23"/>
  <c r="EP28"/>
  <c r="CK26"/>
  <c r="DO25"/>
  <c r="EA24"/>
  <c r="DR21"/>
  <c r="AL21"/>
  <c r="DX20"/>
  <c r="K20"/>
  <c r="AF19"/>
  <c r="AF18"/>
  <c r="N18"/>
  <c r="CN17"/>
  <c r="Q17"/>
  <c r="AR26"/>
  <c r="H29" i="1"/>
  <c r="DJ29" i="2"/>
  <c r="CH29"/>
  <c r="N29"/>
  <c r="DU28"/>
  <c r="DU27"/>
  <c r="DO27"/>
  <c r="AC27"/>
  <c r="DR26"/>
  <c r="BG26"/>
  <c r="DR25"/>
  <c r="BG25"/>
  <c r="T25"/>
  <c r="CN25"/>
  <c r="ED24"/>
  <c r="EJ23"/>
  <c r="Q23"/>
  <c r="EV22"/>
  <c r="DU22"/>
  <c r="AI22"/>
  <c r="AC20"/>
  <c r="CE19"/>
  <c r="T19"/>
  <c r="U31"/>
  <c r="U35" s="1"/>
  <c r="CH17"/>
  <c r="BG17"/>
  <c r="W17"/>
  <c r="DO16"/>
  <c r="W14"/>
  <c r="Q14"/>
  <c r="BS20"/>
  <c r="H17" i="1"/>
  <c r="DX29" i="2"/>
  <c r="CE29"/>
  <c r="DK28"/>
  <c r="CH28"/>
  <c r="T28"/>
  <c r="Q28"/>
  <c r="EJ27"/>
  <c r="DR27"/>
  <c r="DU26"/>
  <c r="CH26"/>
  <c r="BG24"/>
  <c r="DX22"/>
  <c r="ES21"/>
  <c r="DO21"/>
  <c r="CH21"/>
  <c r="CE21"/>
  <c r="BG20"/>
  <c r="T20"/>
  <c r="DR19"/>
  <c r="W19"/>
  <c r="CQ18"/>
  <c r="DJ17"/>
  <c r="CD31"/>
  <c r="CD33" s="1"/>
  <c r="BG16"/>
  <c r="EA14"/>
  <c r="DU14"/>
  <c r="N14"/>
  <c r="AR15"/>
  <c r="CT26"/>
  <c r="AR27"/>
  <c r="E11" i="1"/>
  <c r="BH33" i="2"/>
  <c r="BH35"/>
  <c r="BJ31"/>
  <c r="DE35"/>
  <c r="DE33"/>
  <c r="DJ28"/>
  <c r="DJ27"/>
  <c r="DW31"/>
  <c r="AH31"/>
  <c r="EG18"/>
  <c r="DK27"/>
  <c r="DJ21"/>
  <c r="BS15" l="1"/>
  <c r="G15"/>
  <c r="D15" s="1"/>
  <c r="CB29"/>
  <c r="D37" i="19"/>
  <c r="D48" s="1"/>
  <c r="D49" s="1"/>
  <c r="E25" i="15"/>
  <c r="ED26" i="2"/>
  <c r="BN31"/>
  <c r="I20" i="1" s="1"/>
  <c r="C20" s="1"/>
  <c r="E25" i="5"/>
  <c r="E4" i="13"/>
  <c r="CZ35" i="2"/>
  <c r="C25" i="16"/>
  <c r="E25" s="1"/>
  <c r="BS26" i="2"/>
  <c r="F4" i="16"/>
  <c r="E36"/>
  <c r="F36"/>
  <c r="E4" i="10"/>
  <c r="D39"/>
  <c r="D51" s="1"/>
  <c r="D52" s="1"/>
  <c r="F17" i="2"/>
  <c r="C17" s="1"/>
  <c r="BP15"/>
  <c r="CB18"/>
  <c r="CB23"/>
  <c r="E4" i="16"/>
  <c r="C40" i="14"/>
  <c r="C51" s="1"/>
  <c r="F4" i="13"/>
  <c r="E25" i="12"/>
  <c r="E70" i="7"/>
  <c r="C40" i="6"/>
  <c r="C52" s="1"/>
  <c r="G16" i="2"/>
  <c r="D16" s="1"/>
  <c r="BO31"/>
  <c r="BO35" s="1"/>
  <c r="E4" i="5"/>
  <c r="F4" i="4"/>
  <c r="D37"/>
  <c r="D47" s="1"/>
  <c r="DG20" i="2"/>
  <c r="DL23"/>
  <c r="DL19"/>
  <c r="BM31"/>
  <c r="BM33" s="1"/>
  <c r="DY31"/>
  <c r="I30" i="1" s="1"/>
  <c r="C30" s="1"/>
  <c r="ES26" i="2"/>
  <c r="D40" i="14"/>
  <c r="AL31" i="2"/>
  <c r="DL24"/>
  <c r="H20"/>
  <c r="C19"/>
  <c r="BL35"/>
  <c r="F97" i="8"/>
  <c r="CB16" i="2"/>
  <c r="DG14"/>
  <c r="H31" i="1"/>
  <c r="BK35" i="2"/>
  <c r="C16"/>
  <c r="CB19"/>
  <c r="C28"/>
  <c r="AZ31"/>
  <c r="J17" i="1" s="1"/>
  <c r="D17" s="1"/>
  <c r="E4" i="11"/>
  <c r="F25" i="9"/>
  <c r="F70" i="7"/>
  <c r="E25" i="6"/>
  <c r="F4" i="5"/>
  <c r="C23" i="2"/>
  <c r="E25" i="19"/>
  <c r="DL29" i="2"/>
  <c r="C37" i="17"/>
  <c r="C52" s="1"/>
  <c r="DL26" i="2"/>
  <c r="BA25"/>
  <c r="F25" i="15"/>
  <c r="DH22" i="2"/>
  <c r="F25" i="12"/>
  <c r="F4" i="11"/>
  <c r="AJ33" i="2"/>
  <c r="I13" i="1"/>
  <c r="C13" s="1"/>
  <c r="F100" i="5"/>
  <c r="E4" i="4"/>
  <c r="F93"/>
  <c r="CB26" i="2"/>
  <c r="DL18"/>
  <c r="DL15"/>
  <c r="F25" i="19"/>
  <c r="BG29" i="2"/>
  <c r="C26"/>
  <c r="DH25"/>
  <c r="CB25"/>
  <c r="O33"/>
  <c r="F24"/>
  <c r="C24" s="1"/>
  <c r="CB24"/>
  <c r="G22"/>
  <c r="H22" s="1"/>
  <c r="C40" i="12"/>
  <c r="C51" s="1"/>
  <c r="C52" s="1"/>
  <c r="C39" i="11"/>
  <c r="C51" s="1"/>
  <c r="CF33" i="2"/>
  <c r="CB17"/>
  <c r="C39" i="7"/>
  <c r="C50" s="1"/>
  <c r="DL17" i="2"/>
  <c r="F25" i="6"/>
  <c r="AO31" i="2"/>
  <c r="AO33" s="1"/>
  <c r="AD33"/>
  <c r="AN35"/>
  <c r="V33"/>
  <c r="CL35"/>
  <c r="E100" i="5"/>
  <c r="ER33" i="2"/>
  <c r="C15"/>
  <c r="AA33"/>
  <c r="I6" i="1"/>
  <c r="C6" s="1"/>
  <c r="C37" i="4"/>
  <c r="C47" s="1"/>
  <c r="E93"/>
  <c r="AG35" i="2"/>
  <c r="I8" i="1"/>
  <c r="C8" s="1"/>
  <c r="DH15" i="2"/>
  <c r="CB20"/>
  <c r="C22"/>
  <c r="CB14"/>
  <c r="AG33"/>
  <c r="D28"/>
  <c r="H28"/>
  <c r="CB27"/>
  <c r="F4" i="15"/>
  <c r="CO33" i="2"/>
  <c r="D52" i="18"/>
  <c r="D53" s="1"/>
  <c r="DT35" i="2"/>
  <c r="CB28"/>
  <c r="E89" i="18"/>
  <c r="BZ31" i="2"/>
  <c r="BZ35" s="1"/>
  <c r="DU31"/>
  <c r="DU33" s="1"/>
  <c r="I33"/>
  <c r="D27"/>
  <c r="DO31"/>
  <c r="CQ31"/>
  <c r="CP33"/>
  <c r="DS33"/>
  <c r="CC33"/>
  <c r="I5" i="1"/>
  <c r="C5" s="1"/>
  <c r="L33" i="2"/>
  <c r="N31"/>
  <c r="DQ35"/>
  <c r="G4" i="1"/>
  <c r="G26" i="2"/>
  <c r="D26" s="1"/>
  <c r="AQ35"/>
  <c r="D71" i="3"/>
  <c r="D82" s="1"/>
  <c r="D83" s="1"/>
  <c r="F4"/>
  <c r="AF31" i="2"/>
  <c r="AE33"/>
  <c r="J10" i="1"/>
  <c r="D10" s="1"/>
  <c r="E10" s="1"/>
  <c r="DR31" i="2"/>
  <c r="DR33" s="1"/>
  <c r="E4" i="15"/>
  <c r="D40"/>
  <c r="D51" s="1"/>
  <c r="D52" s="1"/>
  <c r="DP33" i="2"/>
  <c r="DL25"/>
  <c r="D29"/>
  <c r="EX29" s="1"/>
  <c r="J25" i="1"/>
  <c r="D25" s="1"/>
  <c r="CS35" i="2"/>
  <c r="CS33"/>
  <c r="M35"/>
  <c r="AM33"/>
  <c r="DH16"/>
  <c r="ED28"/>
  <c r="F25" i="10"/>
  <c r="D25" i="2"/>
  <c r="DN33"/>
  <c r="AD35"/>
  <c r="AP31"/>
  <c r="I15" i="1" s="1"/>
  <c r="C15" s="1"/>
  <c r="H34"/>
  <c r="D34"/>
  <c r="E34" s="1"/>
  <c r="K31" i="2"/>
  <c r="BQ31"/>
  <c r="BQ33" s="1"/>
  <c r="DG18"/>
  <c r="D39" i="11"/>
  <c r="D51" s="1"/>
  <c r="D52" s="1"/>
  <c r="DG23" i="2"/>
  <c r="J5" i="1"/>
  <c r="D5" s="1"/>
  <c r="C37" i="13"/>
  <c r="C49" s="1"/>
  <c r="C50" s="1"/>
  <c r="DM33" i="2"/>
  <c r="E97" i="8"/>
  <c r="F29" i="2"/>
  <c r="C29" s="1"/>
  <c r="D20"/>
  <c r="P35"/>
  <c r="Q31"/>
  <c r="C53" i="5"/>
  <c r="R33" i="2"/>
  <c r="D24"/>
  <c r="I7" i="1"/>
  <c r="E25" i="9"/>
  <c r="ER35" i="2"/>
  <c r="EM18"/>
  <c r="C20"/>
  <c r="X35"/>
  <c r="CJ33"/>
  <c r="AS33"/>
  <c r="C14"/>
  <c r="J6" i="1"/>
  <c r="D6" s="1"/>
  <c r="CM33" i="2"/>
  <c r="DV35"/>
  <c r="Z19"/>
  <c r="DG22"/>
  <c r="DL16"/>
  <c r="U33"/>
  <c r="DH28"/>
  <c r="EN31"/>
  <c r="EN33" s="1"/>
  <c r="BS28"/>
  <c r="D50" i="16"/>
  <c r="C40" i="15"/>
  <c r="DL22" i="2"/>
  <c r="EG19"/>
  <c r="D40" i="5"/>
  <c r="E142" i="3"/>
  <c r="S35" i="2"/>
  <c r="T31"/>
  <c r="F98" i="12"/>
  <c r="E98"/>
  <c r="CH31" i="2"/>
  <c r="DK31"/>
  <c r="DK33" s="1"/>
  <c r="CG33"/>
  <c r="AK35"/>
  <c r="J13" i="1"/>
  <c r="D13" s="1"/>
  <c r="AK33" i="2"/>
  <c r="AX33"/>
  <c r="AX35"/>
  <c r="F25" i="5"/>
  <c r="CN31" i="2"/>
  <c r="C40" i="18"/>
  <c r="AC31" i="2"/>
  <c r="J8" i="1"/>
  <c r="AB35" i="2"/>
  <c r="W31"/>
  <c r="W33" s="1"/>
  <c r="CE31"/>
  <c r="AU18"/>
  <c r="AT31"/>
  <c r="D18"/>
  <c r="DH20"/>
  <c r="DB33"/>
  <c r="DC31"/>
  <c r="DB35"/>
  <c r="CB15"/>
  <c r="F4" i="18"/>
  <c r="E4"/>
  <c r="DZ35" i="2"/>
  <c r="DZ33"/>
  <c r="J30" i="1"/>
  <c r="D30" s="1"/>
  <c r="DL28" i="2"/>
  <c r="E25" i="18"/>
  <c r="E25" i="10"/>
  <c r="C39" i="9"/>
  <c r="C51" s="1"/>
  <c r="C52" s="1"/>
  <c r="BE33" i="2"/>
  <c r="I18" i="1"/>
  <c r="C18" s="1"/>
  <c r="BE35" i="2"/>
  <c r="CD35"/>
  <c r="E71" i="10"/>
  <c r="F21" i="2"/>
  <c r="C27"/>
  <c r="H27"/>
  <c r="EE24"/>
  <c r="E71" i="14"/>
  <c r="F71"/>
  <c r="C97"/>
  <c r="EK21" i="2"/>
  <c r="EM21" s="1"/>
  <c r="F80" i="11"/>
  <c r="E80"/>
  <c r="DH14" i="2"/>
  <c r="DL14"/>
  <c r="EE16"/>
  <c r="C100" i="6"/>
  <c r="E72"/>
  <c r="EV16" i="2"/>
  <c r="ET31"/>
  <c r="F73" i="18"/>
  <c r="E73"/>
  <c r="EE28" i="2"/>
  <c r="EG28" s="1"/>
  <c r="F25" i="7"/>
  <c r="E25"/>
  <c r="F71" i="11"/>
  <c r="E71"/>
  <c r="EE21" i="2"/>
  <c r="EG21" s="1"/>
  <c r="C97" i="11"/>
  <c r="CV33" i="2"/>
  <c r="CW31"/>
  <c r="CV35"/>
  <c r="E4" i="12"/>
  <c r="D40"/>
  <c r="F4"/>
  <c r="F12" i="9"/>
  <c r="E12"/>
  <c r="D4"/>
  <c r="Y31" i="2"/>
  <c r="G17"/>
  <c r="Z17"/>
  <c r="F4" i="10"/>
  <c r="C39"/>
  <c r="EJ15" i="2"/>
  <c r="C19" i="1"/>
  <c r="F14"/>
  <c r="EG15" i="2"/>
  <c r="DG15"/>
  <c r="E4" i="6"/>
  <c r="D40"/>
  <c r="F4"/>
  <c r="G14" i="2"/>
  <c r="BG14"/>
  <c r="BF31"/>
  <c r="F57" i="18"/>
  <c r="E57"/>
  <c r="C99"/>
  <c r="EE25" i="2"/>
  <c r="E71" i="15"/>
  <c r="F71"/>
  <c r="ED21" i="2"/>
  <c r="DH21"/>
  <c r="ED19"/>
  <c r="DH19"/>
  <c r="E25" i="11"/>
  <c r="F25"/>
  <c r="EJ20" i="2"/>
  <c r="EI31"/>
  <c r="EI35" s="1"/>
  <c r="EG23"/>
  <c r="EG20"/>
  <c r="F95" i="13"/>
  <c r="EB31" i="2"/>
  <c r="EB35" s="1"/>
  <c r="DG19"/>
  <c r="ED27"/>
  <c r="CI35"/>
  <c r="CI33"/>
  <c r="CK31"/>
  <c r="DH17"/>
  <c r="EG17"/>
  <c r="EF31"/>
  <c r="EF35" s="1"/>
  <c r="EO31"/>
  <c r="EP18"/>
  <c r="BA18"/>
  <c r="AY31"/>
  <c r="F18"/>
  <c r="C35" i="1"/>
  <c r="E35" s="1"/>
  <c r="F28"/>
  <c r="H35"/>
  <c r="F4"/>
  <c r="H5"/>
  <c r="F32" i="3"/>
  <c r="E32"/>
  <c r="ED14" i="2"/>
  <c r="EC31"/>
  <c r="EC35" s="1"/>
  <c r="D19"/>
  <c r="H19"/>
  <c r="D4" i="7"/>
  <c r="F12"/>
  <c r="E12"/>
  <c r="D37" i="17"/>
  <c r="F4"/>
  <c r="E4"/>
  <c r="E4" i="14"/>
  <c r="F4"/>
  <c r="EM19" i="2"/>
  <c r="EL31"/>
  <c r="F101" i="9"/>
  <c r="E101"/>
  <c r="E75" i="7"/>
  <c r="F75"/>
  <c r="C96"/>
  <c r="EH17" i="2"/>
  <c r="EJ17" s="1"/>
  <c r="ES19"/>
  <c r="EQ31"/>
  <c r="F25" i="4"/>
  <c r="E25"/>
  <c r="F73" i="19"/>
  <c r="EH29" i="2"/>
  <c r="E73" i="19"/>
  <c r="C94"/>
  <c r="F94" s="1"/>
  <c r="EE26" i="2"/>
  <c r="F70" i="16"/>
  <c r="C96"/>
  <c r="E70"/>
  <c r="EM14" i="2"/>
  <c r="E25" i="8"/>
  <c r="F25"/>
  <c r="F25" i="17"/>
  <c r="E25"/>
  <c r="G23" i="2"/>
  <c r="BR31"/>
  <c r="D39" i="8"/>
  <c r="F4"/>
  <c r="E4"/>
  <c r="D39" i="1"/>
  <c r="H39"/>
  <c r="G28"/>
  <c r="E95" i="13"/>
  <c r="F71" i="10"/>
  <c r="C98"/>
  <c r="E98" s="1"/>
  <c r="F25" i="18"/>
  <c r="DL20" i="2"/>
  <c r="C71" i="3"/>
  <c r="C39" i="8"/>
  <c r="C51" s="1"/>
  <c r="C52" s="1"/>
  <c r="F142" i="3"/>
  <c r="E4"/>
  <c r="D37" i="13"/>
  <c r="F25"/>
  <c r="E25"/>
  <c r="CB21" i="2"/>
  <c r="D21"/>
  <c r="EK27"/>
  <c r="DG27" s="1"/>
  <c r="C98" i="17"/>
  <c r="D16" i="1"/>
  <c r="E16" s="1"/>
  <c r="G14"/>
  <c r="H16"/>
  <c r="E4" i="19"/>
  <c r="C37"/>
  <c r="C48" s="1"/>
  <c r="F4"/>
  <c r="H7" i="1"/>
  <c r="F25" i="14"/>
  <c r="E25"/>
  <c r="I25" i="1"/>
  <c r="CR33" i="2"/>
  <c r="CR35"/>
  <c r="CT31"/>
  <c r="E38" i="4"/>
  <c r="F38"/>
  <c r="EJ26" i="2"/>
  <c r="DH26"/>
  <c r="F25"/>
  <c r="BS25"/>
  <c r="EV20"/>
  <c r="EU31"/>
  <c r="BB35"/>
  <c r="BB33"/>
  <c r="BD31"/>
  <c r="F72" i="6"/>
  <c r="F81" i="17"/>
  <c r="DH23" i="2"/>
  <c r="DH18"/>
  <c r="DL21"/>
  <c r="CB22"/>
  <c r="CA31"/>
  <c r="BJ33"/>
  <c r="BJ35"/>
  <c r="DX31"/>
  <c r="DW35"/>
  <c r="DW33"/>
  <c r="DH27"/>
  <c r="DL27"/>
  <c r="AH33"/>
  <c r="J12" i="1"/>
  <c r="AI31" i="2"/>
  <c r="AH35"/>
  <c r="DJ31"/>
  <c r="C53" i="17" l="1"/>
  <c r="EW23" i="2"/>
  <c r="DG28"/>
  <c r="EW28" s="1"/>
  <c r="F25" i="16"/>
  <c r="BN35" i="2"/>
  <c r="BN33"/>
  <c r="E16"/>
  <c r="EX25"/>
  <c r="E28"/>
  <c r="C39" i="16"/>
  <c r="C50" s="1"/>
  <c r="E50" s="1"/>
  <c r="BM35" i="2"/>
  <c r="EW20"/>
  <c r="J20" i="1"/>
  <c r="D20" s="1"/>
  <c r="E20" s="1"/>
  <c r="BO33" i="2"/>
  <c r="C53" i="6"/>
  <c r="BP31" i="2"/>
  <c r="DY35"/>
  <c r="H16"/>
  <c r="DI14"/>
  <c r="EW19"/>
  <c r="EA31"/>
  <c r="DY33"/>
  <c r="DG21"/>
  <c r="AZ35"/>
  <c r="EW14"/>
  <c r="AZ33"/>
  <c r="EW22"/>
  <c r="C51" i="7"/>
  <c r="F100" i="6"/>
  <c r="H15" i="2"/>
  <c r="EX16"/>
  <c r="E26"/>
  <c r="H26"/>
  <c r="H24"/>
  <c r="E24"/>
  <c r="D22"/>
  <c r="E22" s="1"/>
  <c r="F39" i="11"/>
  <c r="E6" i="1"/>
  <c r="E37" i="4"/>
  <c r="F37"/>
  <c r="I21" i="1"/>
  <c r="C21" s="1"/>
  <c r="I24"/>
  <c r="I4"/>
  <c r="E27" i="2"/>
  <c r="EX20"/>
  <c r="K8" i="1"/>
  <c r="DI23" i="2"/>
  <c r="D8" i="1"/>
  <c r="E8" s="1"/>
  <c r="EX28" i="2"/>
  <c r="BQ35"/>
  <c r="F40" i="18"/>
  <c r="K5" i="1"/>
  <c r="BZ33" i="2"/>
  <c r="DK35"/>
  <c r="C7" i="1"/>
  <c r="C4" s="1"/>
  <c r="EW27" i="2"/>
  <c r="J29" i="1"/>
  <c r="D51" i="16"/>
  <c r="K10" i="1"/>
  <c r="H14"/>
  <c r="AP33" i="2"/>
  <c r="AR31"/>
  <c r="AP35"/>
  <c r="H29"/>
  <c r="EN35"/>
  <c r="EX24"/>
  <c r="E29"/>
  <c r="EX18"/>
  <c r="I37" i="1"/>
  <c r="E39" i="11"/>
  <c r="E100" i="6"/>
  <c r="E40" i="18"/>
  <c r="C52"/>
  <c r="C53" s="1"/>
  <c r="C48" i="4"/>
  <c r="E20" i="2"/>
  <c r="K6" i="1"/>
  <c r="DI20" i="2"/>
  <c r="DI22"/>
  <c r="C51" i="15"/>
  <c r="C52" s="1"/>
  <c r="F40"/>
  <c r="E40"/>
  <c r="D52" i="5"/>
  <c r="E40"/>
  <c r="F40"/>
  <c r="E96" i="7"/>
  <c r="K30" i="1"/>
  <c r="DI21" i="2"/>
  <c r="EX21"/>
  <c r="F96" i="7"/>
  <c r="DC35" i="2"/>
  <c r="DC33"/>
  <c r="AT35"/>
  <c r="AT33"/>
  <c r="J15" i="1"/>
  <c r="AU31" i="2"/>
  <c r="H28" i="1"/>
  <c r="EK31" i="2"/>
  <c r="EM31" s="1"/>
  <c r="E94" i="19"/>
  <c r="DG17" i="2"/>
  <c r="EW17" s="1"/>
  <c r="EM27"/>
  <c r="H21"/>
  <c r="C21"/>
  <c r="E21" s="1"/>
  <c r="F37" i="13"/>
  <c r="D49"/>
  <c r="E37"/>
  <c r="C82" i="3"/>
  <c r="F71"/>
  <c r="E71"/>
  <c r="H23" i="2"/>
  <c r="D23"/>
  <c r="F96" i="16"/>
  <c r="E96"/>
  <c r="E4" i="7"/>
  <c r="D39"/>
  <c r="F4"/>
  <c r="H4" i="1"/>
  <c r="F23"/>
  <c r="F27" s="1"/>
  <c r="F43" s="1"/>
  <c r="EI33" i="2"/>
  <c r="J33" i="1"/>
  <c r="F97" i="15"/>
  <c r="E97"/>
  <c r="F99" i="18"/>
  <c r="E99"/>
  <c r="D17" i="2"/>
  <c r="H17"/>
  <c r="ET33"/>
  <c r="ET35"/>
  <c r="I41" i="1"/>
  <c r="DG16" i="2"/>
  <c r="EG16"/>
  <c r="EE31"/>
  <c r="EE35" s="1"/>
  <c r="E97" i="14"/>
  <c r="F97"/>
  <c r="F47" i="4"/>
  <c r="E47"/>
  <c r="D48"/>
  <c r="BD35" i="2"/>
  <c r="BD33"/>
  <c r="E37" i="19"/>
  <c r="F37"/>
  <c r="D28" i="1"/>
  <c r="E39"/>
  <c r="J21"/>
  <c r="D21" s="1"/>
  <c r="BR33" i="2"/>
  <c r="BR35"/>
  <c r="BS31"/>
  <c r="EQ35"/>
  <c r="EQ33"/>
  <c r="I38" i="1"/>
  <c r="K38" s="1"/>
  <c r="ES31" i="2"/>
  <c r="EC33"/>
  <c r="J31" i="1"/>
  <c r="ED31" i="2"/>
  <c r="BA31"/>
  <c r="AY35"/>
  <c r="AY33"/>
  <c r="I17" i="1"/>
  <c r="J32"/>
  <c r="EF33" i="2"/>
  <c r="I31" i="1"/>
  <c r="EB33" i="2"/>
  <c r="EG25"/>
  <c r="DG25"/>
  <c r="DI25" s="1"/>
  <c r="J18" i="1"/>
  <c r="BF33" i="2"/>
  <c r="BF35"/>
  <c r="BG31"/>
  <c r="BG33" s="1"/>
  <c r="E40" i="6"/>
  <c r="F40"/>
  <c r="D52"/>
  <c r="E15" i="2"/>
  <c r="EX15"/>
  <c r="E97" i="11"/>
  <c r="F97"/>
  <c r="EG24" i="2"/>
  <c r="DG24"/>
  <c r="DI19"/>
  <c r="F98" i="10"/>
  <c r="G23" i="1"/>
  <c r="E5"/>
  <c r="DI18" i="2"/>
  <c r="EH31"/>
  <c r="EH35" s="1"/>
  <c r="F51" i="11"/>
  <c r="C52"/>
  <c r="E51"/>
  <c r="J41" i="1"/>
  <c r="EU35" i="2"/>
  <c r="EV31"/>
  <c r="EU33"/>
  <c r="EX26"/>
  <c r="F39" i="8"/>
  <c r="D51"/>
  <c r="E39"/>
  <c r="DG26" i="2"/>
  <c r="EW26" s="1"/>
  <c r="EG26"/>
  <c r="EL35"/>
  <c r="J36" i="1"/>
  <c r="EL33" i="2"/>
  <c r="E19"/>
  <c r="EX19"/>
  <c r="C18"/>
  <c r="H18"/>
  <c r="F31"/>
  <c r="EO33"/>
  <c r="EO35"/>
  <c r="J37" i="1"/>
  <c r="EP31" i="2"/>
  <c r="E4" i="9"/>
  <c r="F4"/>
  <c r="D39"/>
  <c r="F40" i="12"/>
  <c r="D51"/>
  <c r="E40"/>
  <c r="E98" i="17"/>
  <c r="H25" i="2"/>
  <c r="C25"/>
  <c r="K25" i="1"/>
  <c r="C25"/>
  <c r="E25" s="1"/>
  <c r="EJ29" i="2"/>
  <c r="DG29"/>
  <c r="F40" i="14"/>
  <c r="D51"/>
  <c r="E40"/>
  <c r="D52" i="17"/>
  <c r="E37"/>
  <c r="F37"/>
  <c r="H14" i="2"/>
  <c r="G31"/>
  <c r="D14"/>
  <c r="EW15"/>
  <c r="DI15"/>
  <c r="C51" i="10"/>
  <c r="F39"/>
  <c r="E39"/>
  <c r="J7" i="1"/>
  <c r="J4" s="1"/>
  <c r="Y33" i="2"/>
  <c r="Z31"/>
  <c r="Y35"/>
  <c r="CW35"/>
  <c r="CW33"/>
  <c r="F98" i="17"/>
  <c r="C52" i="14"/>
  <c r="I29" i="1"/>
  <c r="DJ33" i="2"/>
  <c r="DJ35"/>
  <c r="EX27"/>
  <c r="DI27"/>
  <c r="E30" i="1"/>
  <c r="C28"/>
  <c r="K12"/>
  <c r="D12"/>
  <c r="DH31" i="2"/>
  <c r="DL31"/>
  <c r="CA35"/>
  <c r="CB31"/>
  <c r="J24" i="1"/>
  <c r="CA33" i="2"/>
  <c r="DI28" l="1"/>
  <c r="EY28"/>
  <c r="F50" i="16"/>
  <c r="C51"/>
  <c r="F39"/>
  <c r="E39"/>
  <c r="EY20" i="2"/>
  <c r="EY19"/>
  <c r="EX22"/>
  <c r="EY22" s="1"/>
  <c r="DI17"/>
  <c r="D31"/>
  <c r="D35" s="1"/>
  <c r="EY27"/>
  <c r="K29" i="1"/>
  <c r="EK33" i="2"/>
  <c r="E52" i="18"/>
  <c r="F52"/>
  <c r="D53" i="6"/>
  <c r="E51" i="15"/>
  <c r="F51"/>
  <c r="D53" i="5"/>
  <c r="E52"/>
  <c r="F52"/>
  <c r="EK35" i="2"/>
  <c r="I36" i="1"/>
  <c r="K36" s="1"/>
  <c r="K15"/>
  <c r="D15"/>
  <c r="E15" s="1"/>
  <c r="EY15" i="2"/>
  <c r="DI26"/>
  <c r="EW21"/>
  <c r="EY21" s="1"/>
  <c r="DG31"/>
  <c r="DI31" s="1"/>
  <c r="J28" i="1"/>
  <c r="C17"/>
  <c r="K17"/>
  <c r="I14"/>
  <c r="I32"/>
  <c r="K32" s="1"/>
  <c r="EE33" i="2"/>
  <c r="G33"/>
  <c r="G35"/>
  <c r="H31"/>
  <c r="EW29"/>
  <c r="EY29" s="1"/>
  <c r="DI29"/>
  <c r="F51" i="12"/>
  <c r="E51"/>
  <c r="D52"/>
  <c r="EX14" i="2"/>
  <c r="E14"/>
  <c r="E51" i="14"/>
  <c r="F51"/>
  <c r="D52"/>
  <c r="E39" i="9"/>
  <c r="D51"/>
  <c r="F39"/>
  <c r="E23" i="2"/>
  <c r="EX23"/>
  <c r="EY23" s="1"/>
  <c r="C83" i="3"/>
  <c r="E82"/>
  <c r="F82"/>
  <c r="EG31" i="2"/>
  <c r="K31" i="1"/>
  <c r="F39" i="7"/>
  <c r="D50"/>
  <c r="E39"/>
  <c r="I33" i="1"/>
  <c r="K33" s="1"/>
  <c r="EH33" i="2"/>
  <c r="EX17"/>
  <c r="EY17" s="1"/>
  <c r="E17"/>
  <c r="D50" i="13"/>
  <c r="E49"/>
  <c r="F49"/>
  <c r="D7" i="1"/>
  <c r="E7" s="1"/>
  <c r="K7"/>
  <c r="F33" i="2"/>
  <c r="F35"/>
  <c r="F51" i="8"/>
  <c r="D52"/>
  <c r="E51"/>
  <c r="E52" i="6"/>
  <c r="F52"/>
  <c r="C52" i="10"/>
  <c r="E51"/>
  <c r="F51"/>
  <c r="D53" i="17"/>
  <c r="F52"/>
  <c r="E52"/>
  <c r="EW25" i="2"/>
  <c r="EY25" s="1"/>
  <c r="E25"/>
  <c r="EW18"/>
  <c r="EY18" s="1"/>
  <c r="E18"/>
  <c r="C31"/>
  <c r="G27" i="1"/>
  <c r="H23"/>
  <c r="DI24" i="2"/>
  <c r="EW24"/>
  <c r="EY24" s="1"/>
  <c r="J14" i="1"/>
  <c r="J23" s="1"/>
  <c r="J27" s="1"/>
  <c r="K18"/>
  <c r="D18"/>
  <c r="E48" i="19"/>
  <c r="C49"/>
  <c r="F48"/>
  <c r="EW16" i="2"/>
  <c r="EY16" s="1"/>
  <c r="DI16"/>
  <c r="EY26"/>
  <c r="EJ31"/>
  <c r="K4" i="1"/>
  <c r="DH33" i="2"/>
  <c r="DH35"/>
  <c r="E28" i="1"/>
  <c r="E12"/>
  <c r="K24"/>
  <c r="E31" i="2" l="1"/>
  <c r="D33"/>
  <c r="DG35"/>
  <c r="I28" i="1"/>
  <c r="K28" s="1"/>
  <c r="DG33" i="2"/>
  <c r="EY14"/>
  <c r="EX31"/>
  <c r="D52" i="9"/>
  <c r="F51"/>
  <c r="E51"/>
  <c r="E18" i="1"/>
  <c r="D14"/>
  <c r="D4"/>
  <c r="E4" s="1"/>
  <c r="K14"/>
  <c r="I23"/>
  <c r="I27" s="1"/>
  <c r="G43"/>
  <c r="H27"/>
  <c r="F50" i="7"/>
  <c r="D51"/>
  <c r="E50"/>
  <c r="EW31" i="2"/>
  <c r="C33"/>
  <c r="C35"/>
  <c r="E17" i="1"/>
  <c r="C14"/>
  <c r="C23" s="1"/>
  <c r="J43"/>
  <c r="C27" l="1"/>
  <c r="C43" s="1"/>
  <c r="D23"/>
  <c r="D27" s="1"/>
  <c r="I43"/>
  <c r="F44" s="1"/>
  <c r="F45" s="1"/>
  <c r="E14"/>
  <c r="G44"/>
  <c r="EX33" i="2"/>
  <c r="EX35"/>
  <c r="EY31"/>
  <c r="EW35"/>
  <c r="EW33"/>
  <c r="K27" i="1"/>
  <c r="K23"/>
  <c r="E23" l="1"/>
  <c r="G45"/>
  <c r="C44"/>
  <c r="E27"/>
  <c r="D43"/>
  <c r="D44" s="1"/>
</calcChain>
</file>

<file path=xl/sharedStrings.xml><?xml version="1.0" encoding="utf-8"?>
<sst xmlns="http://schemas.openxmlformats.org/spreadsheetml/2006/main" count="2827" uniqueCount="435">
  <si>
    <t xml:space="preserve">                     Анализ исполнения райбюджета</t>
  </si>
  <si>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</si>
  <si>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</si>
  <si>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</si>
  <si>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</si>
  <si>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</si>
  <si>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</si>
  <si>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</si>
  <si>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</si>
  <si>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</si>
  <si>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</si>
  <si>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</si>
  <si>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</si>
  <si>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</si>
  <si>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</si>
  <si>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</si>
  <si>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 xml:space="preserve">Д. в. за соверш. преступл, и возмещение ущерба имущ. </t>
  </si>
  <si>
    <t>Денежные взыскания  (штрафы) за нарушения законодательства РФ о размещении заказов на поставки товаров, выполнение работ, оказание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</si>
  <si>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</si>
  <si>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</si>
  <si>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</si>
  <si>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</si>
  <si>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</si>
  <si>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</si>
  <si>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</si>
  <si>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</si>
  <si>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</si>
  <si>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</si>
  <si>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</si>
  <si>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</si>
  <si>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</si>
  <si>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</si>
  <si>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</si>
  <si>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</si>
  <si>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</si>
  <si>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</si>
  <si>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</si>
  <si>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</si>
  <si>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</si>
  <si>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</si>
  <si>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</si>
  <si>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</si>
  <si>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</si>
  <si>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</si>
  <si>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</si>
  <si>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</si>
  <si>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</si>
  <si>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</si>
  <si>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</si>
  <si>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</si>
  <si>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</si>
  <si>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</si>
  <si>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</si>
  <si>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</si>
  <si>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</si>
  <si>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</si>
  <si>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</si>
  <si>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</si>
  <si>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</si>
  <si>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</si>
  <si>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</si>
  <si>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</si>
  <si>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</si>
  <si>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</si>
  <si>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</si>
  <si>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</si>
  <si>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</si>
  <si>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</si>
  <si>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</si>
  <si>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</si>
  <si>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</si>
  <si>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</si>
  <si>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</si>
  <si>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</si>
  <si>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</si>
  <si>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</si>
  <si>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</si>
  <si>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</si>
  <si>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</si>
  <si>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</si>
  <si>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</si>
  <si>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</si>
  <si>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</si>
  <si>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</si>
  <si>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</si>
  <si>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</si>
  <si>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</si>
  <si>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</si>
  <si>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</si>
  <si>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</si>
  <si>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</si>
  <si>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</si>
  <si>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</si>
  <si>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</si>
  <si>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</si>
  <si>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</si>
  <si>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</si>
  <si>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</si>
  <si>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</si>
  <si>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</si>
  <si>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</si>
  <si>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</si>
  <si>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</si>
  <si>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</si>
  <si>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</si>
  <si>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</si>
  <si>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</si>
  <si>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</si>
  <si>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</si>
  <si>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</si>
  <si>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</si>
  <si>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</si>
  <si>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</si>
  <si>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</si>
  <si>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</si>
  <si>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</si>
  <si>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</si>
  <si>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</si>
  <si>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</si>
  <si>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</si>
  <si>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</si>
  <si>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</si>
  <si>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</si>
  <si>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</si>
  <si>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</si>
  <si>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</si>
  <si>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</si>
  <si>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</si>
  <si>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</si>
  <si>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</si>
  <si>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</si>
  <si>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</si>
  <si>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</si>
  <si>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</si>
  <si>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</si>
  <si>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</si>
  <si>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</si>
  <si>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</si>
  <si>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</si>
  <si>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</si>
  <si>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</si>
  <si>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</si>
  <si>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</si>
  <si>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</si>
  <si>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</si>
  <si>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</si>
  <si>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</si>
  <si>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</si>
  <si>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</si>
  <si>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</si>
  <si>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</si>
  <si>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</si>
  <si>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</si>
  <si>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</si>
  <si>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</si>
  <si>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</si>
  <si>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</si>
  <si>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</si>
  <si>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</si>
  <si>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Продажа земли                                          000 114 06014100000 420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</si>
  <si>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</si>
  <si>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</si>
  <si>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</si>
  <si>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</si>
  <si>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</si>
  <si>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</si>
  <si>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</si>
  <si>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</si>
  <si>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</si>
  <si>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</si>
  <si>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</si>
  <si>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</si>
  <si>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</si>
  <si>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</si>
  <si>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</si>
  <si>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</si>
  <si>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</si>
  <si>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</si>
  <si>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</si>
  <si>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</si>
  <si>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</si>
  <si>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</si>
  <si>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</si>
  <si>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</si>
  <si>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</si>
  <si>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</si>
  <si>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</si>
  <si>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</si>
  <si>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</si>
  <si>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</si>
  <si>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</si>
  <si>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</si>
  <si>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</si>
  <si>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</si>
  <si>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</si>
  <si>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</si>
  <si>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</si>
  <si>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</si>
  <si>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</si>
  <si>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</si>
  <si>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</si>
  <si>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</si>
  <si>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</si>
  <si>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</si>
  <si>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</si>
  <si>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</si>
  <si>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</si>
  <si>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</si>
  <si>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</si>
  <si>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</si>
  <si>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</si>
  <si>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</si>
  <si>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</si>
  <si>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</si>
  <si>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</si>
  <si>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</si>
  <si>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</si>
  <si>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</si>
  <si>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</si>
  <si>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</si>
  <si>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</si>
  <si>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</si>
  <si>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</si>
  <si>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</si>
  <si>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</si>
  <si>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</si>
  <si>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</si>
  <si>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</si>
  <si>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</si>
  <si>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</si>
  <si>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</si>
  <si>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</si>
  <si>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</si>
  <si>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</si>
  <si>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</si>
  <si>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</si>
  <si>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</si>
  <si>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Прочие поступления от денежных взысканий и иных сумм от возмещение ущерба</t>
  </si>
  <si>
    <t>Д. в. за наруш. Зак.в области сан.эпидем.благоп.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</si>
  <si>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</si>
  <si>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</si>
  <si>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</si>
  <si>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</si>
  <si>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</si>
  <si>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</si>
  <si>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Ден.взыс. за наруш. закон. о налогах и сборах</t>
  </si>
  <si>
    <t>Д.в. за административные правонарушения</t>
  </si>
  <si>
    <t>Д. в. за наруш. закон. о применении ККМ</t>
  </si>
  <si>
    <t>Штрафы за адм. правонаруш. в обл. рег. произ-ва спирта</t>
  </si>
  <si>
    <t>Д. в. за наруш. ФЗ "О пожарной безопасности"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</si>
  <si>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</si>
  <si>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</si>
  <si>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</si>
  <si>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</si>
  <si>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</si>
  <si>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</si>
  <si>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</si>
  <si>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</si>
  <si>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</si>
  <si>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</si>
  <si>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</si>
  <si>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</si>
  <si>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Д. в. за взыскания  (штрафы) за нарушения законодательства РФ о об адм. Правонар., предусмотренные ст. 20.25 КоАП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</si>
  <si>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</si>
  <si>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</si>
  <si>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</si>
  <si>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</si>
  <si>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</si>
  <si>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</si>
  <si>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Д. в. за наруш. Земельного законодательства</t>
  </si>
  <si>
    <t>Д. в. за правонаруш. В области дорожного движения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</si>
  <si>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</si>
  <si>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</si>
  <si>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</si>
  <si>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</si>
  <si>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</si>
  <si>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</si>
  <si>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</si>
  <si>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</si>
  <si>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</si>
  <si>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</si>
  <si>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</si>
  <si>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</si>
  <si>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</si>
  <si>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</si>
  <si>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</si>
  <si>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</si>
  <si>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</si>
  <si>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</si>
  <si>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</si>
  <si>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</si>
  <si>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</si>
  <si>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</si>
  <si>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</si>
  <si>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</si>
  <si>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</si>
  <si>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</si>
  <si>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</si>
  <si>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</si>
  <si>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</si>
  <si>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</si>
  <si>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</si>
  <si>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</si>
  <si>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</si>
  <si>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</si>
  <si>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</si>
  <si>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</si>
  <si>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</si>
  <si>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</si>
  <si>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</si>
  <si>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</si>
  <si>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</si>
  <si>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</si>
  <si>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</si>
  <si>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</si>
  <si>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</si>
  <si>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</si>
  <si>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</si>
  <si>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</si>
  <si>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</si>
  <si>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</si>
  <si>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</si>
  <si>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</si>
  <si>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</si>
  <si>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</si>
  <si>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</si>
  <si>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</si>
  <si>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</si>
  <si>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</si>
  <si>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</si>
  <si>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</si>
  <si>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Сумма по искам о возмещении вреда</t>
  </si>
  <si>
    <t>% исполнения к плану</t>
  </si>
  <si>
    <t>Д. в. за наруш. закон. Об охране животного мира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</si>
  <si>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</si>
  <si>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</si>
  <si>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</si>
  <si>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</si>
  <si>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</si>
  <si>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</si>
  <si>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</si>
  <si>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</si>
  <si>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Штрафы за нарушение оборота табачной продукции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</si>
  <si>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</si>
  <si>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</si>
  <si>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 xml:space="preserve">Д. в. за наруш.  Земельн закон. </t>
  </si>
  <si>
    <t>назначено на 2018 г.</t>
  </si>
  <si>
    <t>план на 2018 г.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</si>
  <si>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</si>
  <si>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</si>
  <si>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</si>
  <si>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</si>
  <si>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</si>
  <si>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</si>
  <si>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</si>
  <si>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</si>
  <si>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</si>
  <si>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</si>
  <si>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</si>
  <si>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</si>
  <si>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</si>
  <si>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</si>
  <si>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</si>
  <si>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</si>
  <si>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</si>
  <si>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</si>
  <si>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</si>
  <si>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</si>
  <si>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</si>
  <si>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</si>
  <si>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</si>
  <si>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</si>
  <si>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</si>
  <si>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</si>
  <si>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</si>
  <si>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</si>
  <si>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</si>
  <si>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</si>
  <si>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</si>
  <si>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</si>
  <si>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</si>
  <si>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</si>
  <si>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</si>
  <si>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</si>
  <si>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</si>
  <si>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</si>
  <si>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</si>
  <si>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</si>
  <si>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</si>
  <si>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</si>
  <si>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</si>
  <si>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</si>
  <si>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</si>
  <si>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</si>
  <si>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</si>
  <si>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</si>
  <si>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</si>
  <si>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</si>
  <si>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</si>
  <si>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</si>
  <si>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</si>
  <si>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</si>
  <si>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</si>
  <si>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</si>
  <si>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</si>
  <si>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</si>
  <si>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</si>
  <si>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</si>
  <si>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</si>
  <si>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</si>
  <si>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</si>
  <si>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>Анализ исполнения консолидированного бюджета Моргаушского районана 01.09.2018 г.</t>
  </si>
  <si>
    <t>исполнено на 01.09.2018 г.</t>
  </si>
  <si>
    <t>об исполнении бюджетов поселений  Моргаушского района  на 1 сентября 2018 г.</t>
  </si>
  <si>
    <t xml:space="preserve">исполнено на 01.09.2018 г. </t>
  </si>
  <si>
    <t xml:space="preserve">                          Моргаушского района на 01.09.2018 г. </t>
  </si>
  <si>
    <t xml:space="preserve">                     Анализ исполнения бюджета Александровского сельского поселения на 01.09.2018 г.</t>
  </si>
  <si>
    <t>исполнен на 01.09.2018 г.</t>
  </si>
  <si>
    <t xml:space="preserve">                     Анализ исполнения бюджета Большесундырского сельского поселения на 01.09.2018 г.</t>
  </si>
  <si>
    <t>исполнено на 01.09.2018 г</t>
  </si>
  <si>
    <t xml:space="preserve">                     Анализ исполнения бюджета Ильинского сельского поселения на 01.09.2018 г.</t>
  </si>
  <si>
    <t xml:space="preserve">                     Анализ исполнения бюджета Кадикасинского сельского поселения на 01.09.2018 г.</t>
  </si>
  <si>
    <t xml:space="preserve">                     Анализ исполнения бюджета Моргаушского сельского поселения на 01.09.2018 г.</t>
  </si>
  <si>
    <t xml:space="preserve">                     Анализ исполнения бюджета Москакасинского сельского поселения на 01.09.2018 г.</t>
  </si>
  <si>
    <t xml:space="preserve">                     Анализ исполнения бюджета Орининского сельского поселения на 01.09.2018 г.</t>
  </si>
  <si>
    <t xml:space="preserve">                     Анализ исполнения бюджета Сятракасинского сельского поселения на 01.09.2018 г.</t>
  </si>
  <si>
    <t xml:space="preserve">                     Анализ исполнения бюджета Тораевского сельского поселения на 01.09.2018 г.</t>
  </si>
  <si>
    <t xml:space="preserve">                     Анализ исполнения бюджета Хорнойского сельского поселения на 01.09.2018 г.</t>
  </si>
  <si>
    <t xml:space="preserve">                     Анализ исполнения бюджета Чуманкасинского сельского поселения на 01.09.2018 г.</t>
  </si>
  <si>
    <t xml:space="preserve">                     Анализ исполнения бюджета Шатьмапосинского сельского поселения на 01.09.2018 г.</t>
  </si>
  <si>
    <t xml:space="preserve">                     Анализ исполнения бюджета Юнгинского сельского поселения на 01.09.2018 г.</t>
  </si>
  <si>
    <t>исполнено на 01.09.2018г.</t>
  </si>
  <si>
    <t xml:space="preserve">                     Анализ исполнения бюджета Юськасинского сельского поселения на 01.09.2018 г.</t>
  </si>
  <si>
    <t xml:space="preserve">                     Анализ исполнения бюджета Ярабайкасинского сельского поселения на 01.09.2018 г.</t>
  </si>
  <si>
    <t xml:space="preserve">                     Анализ исполнения бюджета Ярославского сельского поселения на 01.09.2018 г.</t>
  </si>
</sst>
</file>

<file path=xl/styles.xml><?xml version="1.0" encoding="utf-8"?>
<styleSheet xmlns="http://schemas.openxmlformats.org/spreadsheetml/2006/main">
  <numFmts count="20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#,##0.000"/>
    <numFmt numFmtId="174" formatCode="0.000000"/>
    <numFmt numFmtId="175" formatCode="0.0000"/>
    <numFmt numFmtId="176" formatCode="_(* #,##0.0000_);_(* \(#,##0.0000\);_(* &quot;-&quot;??_);_(@_)"/>
    <numFmt numFmtId="177" formatCode="_(* #,##0.00000_);_(* \(#,##0.00000\);_(* &quot;-&quot;??_);_(@_)"/>
    <numFmt numFmtId="178" formatCode="0.0000000"/>
    <numFmt numFmtId="179" formatCode="_(* #,##0_);_(* \(#,##0\);_(* &quot;-&quot;??_);_(@_)"/>
    <numFmt numFmtId="180" formatCode="#,##0.000000"/>
    <numFmt numFmtId="181" formatCode="_-* #,##0.0000000_р_._-;\-* #,##0.0000000_р_._-;_-* &quot;-&quot;?????_р_._-;_-@_-"/>
    <numFmt numFmtId="182" formatCode="#,##0.00000000"/>
    <numFmt numFmtId="183" formatCode="#,##0.0000"/>
  </numFmts>
  <fonts count="38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TimesET"/>
    </font>
    <font>
      <sz val="12"/>
      <name val="TimesET"/>
      <charset val="204"/>
    </font>
    <font>
      <sz val="12"/>
      <color indexed="8"/>
      <name val="Arial Cyr"/>
      <charset val="204"/>
    </font>
    <font>
      <sz val="12"/>
      <color indexed="8"/>
      <name val="TimesET"/>
    </font>
    <font>
      <b/>
      <sz val="12"/>
      <name val="TimesET"/>
    </font>
    <font>
      <b/>
      <sz val="12"/>
      <color indexed="8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 Cyr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448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1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8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3" fillId="0" borderId="1" xfId="11" applyNumberFormat="1" applyFont="1" applyFill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3" fillId="0" borderId="0" xfId="9" applyFont="1"/>
    <xf numFmtId="0" fontId="14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77" fontId="5" fillId="0" borderId="0" xfId="8" applyNumberFormat="1" applyFont="1"/>
    <xf numFmtId="177" fontId="7" fillId="0" borderId="0" xfId="8" applyNumberFormat="1" applyFont="1"/>
    <xf numFmtId="177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1" fontId="5" fillId="0" borderId="0" xfId="8" applyNumberFormat="1" applyFont="1"/>
    <xf numFmtId="175" fontId="3" fillId="0" borderId="0" xfId="9" applyNumberFormat="1" applyFont="1"/>
    <xf numFmtId="176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68" fontId="3" fillId="0" borderId="1" xfId="11" applyNumberFormat="1" applyFont="1" applyBorder="1" applyAlignment="1">
      <alignment horizontal="center" vertical="center" wrapText="1"/>
    </xf>
    <xf numFmtId="177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4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2" fontId="3" fillId="0" borderId="1" xfId="11" applyNumberFormat="1" applyFont="1" applyBorder="1" applyAlignment="1">
      <alignment horizontal="center" vertical="center" wrapText="1"/>
    </xf>
    <xf numFmtId="2" fontId="3" fillId="0" borderId="1" xfId="11" applyNumberFormat="1" applyFont="1" applyFill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8" fontId="5" fillId="0" borderId="0" xfId="9" applyNumberFormat="1" applyFont="1"/>
    <xf numFmtId="0" fontId="16" fillId="3" borderId="0" xfId="0" applyFont="1" applyFill="1"/>
    <xf numFmtId="0" fontId="16" fillId="0" borderId="0" xfId="0" applyFont="1" applyFill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/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3" borderId="0" xfId="0" applyFont="1" applyFill="1"/>
    <xf numFmtId="0" fontId="18" fillId="3" borderId="0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1" xfId="10" applyFont="1" applyFill="1" applyBorder="1" applyAlignment="1">
      <alignment vertical="center" wrapText="1"/>
    </xf>
    <xf numFmtId="0" fontId="20" fillId="3" borderId="1" xfId="10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/>
    <xf numFmtId="167" fontId="18" fillId="3" borderId="1" xfId="0" applyNumberFormat="1" applyFont="1" applyFill="1" applyBorder="1" applyAlignment="1">
      <alignment vertical="center" wrapText="1"/>
    </xf>
    <xf numFmtId="167" fontId="16" fillId="3" borderId="1" xfId="0" applyNumberFormat="1" applyFont="1" applyFill="1" applyBorder="1"/>
    <xf numFmtId="167" fontId="18" fillId="3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 applyAlignment="1">
      <alignment horizontal="right" vertical="center" wrapText="1"/>
    </xf>
    <xf numFmtId="167" fontId="21" fillId="3" borderId="1" xfId="0" applyNumberFormat="1" applyFont="1" applyFill="1" applyBorder="1" applyAlignment="1" applyProtection="1">
      <alignment vertical="center" wrapText="1"/>
      <protection locked="0"/>
    </xf>
    <xf numFmtId="167" fontId="17" fillId="3" borderId="1" xfId="0" applyNumberFormat="1" applyFont="1" applyFill="1" applyBorder="1" applyAlignment="1">
      <alignment vertical="center" wrapText="1"/>
    </xf>
    <xf numFmtId="168" fontId="18" fillId="3" borderId="0" xfId="0" applyNumberFormat="1" applyFont="1" applyFill="1" applyBorder="1"/>
    <xf numFmtId="172" fontId="18" fillId="3" borderId="0" xfId="0" applyNumberFormat="1" applyFont="1" applyFill="1"/>
    <xf numFmtId="0" fontId="20" fillId="0" borderId="1" xfId="10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horizontal="right" vertical="center" wrapText="1"/>
    </xf>
    <xf numFmtId="167" fontId="21" fillId="0" borderId="1" xfId="0" applyNumberFormat="1" applyFont="1" applyFill="1" applyBorder="1" applyAlignment="1" applyProtection="1">
      <alignment vertical="center" wrapText="1"/>
      <protection locked="0"/>
    </xf>
    <xf numFmtId="167" fontId="16" fillId="0" borderId="1" xfId="0" applyNumberFormat="1" applyFont="1" applyFill="1" applyBorder="1"/>
    <xf numFmtId="0" fontId="18" fillId="4" borderId="0" xfId="0" applyFont="1" applyFill="1"/>
    <xf numFmtId="0" fontId="18" fillId="3" borderId="0" xfId="0" applyFont="1" applyFill="1" applyAlignment="1"/>
    <xf numFmtId="0" fontId="22" fillId="3" borderId="1" xfId="10" applyFont="1" applyFill="1" applyBorder="1" applyAlignment="1">
      <alignment vertical="center" wrapText="1"/>
    </xf>
    <xf numFmtId="0" fontId="19" fillId="3" borderId="3" xfId="10" applyFont="1" applyFill="1" applyBorder="1" applyAlignment="1">
      <alignment vertical="center" wrapText="1"/>
    </xf>
    <xf numFmtId="0" fontId="20" fillId="3" borderId="5" xfId="10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 applyProtection="1">
      <alignment vertical="center" wrapText="1"/>
      <protection locked="0"/>
    </xf>
    <xf numFmtId="4" fontId="25" fillId="3" borderId="1" xfId="0" applyNumberFormat="1" applyFont="1" applyFill="1" applyBorder="1" applyAlignment="1">
      <alignment vertical="center" wrapText="1"/>
    </xf>
    <xf numFmtId="4" fontId="18" fillId="3" borderId="0" xfId="0" applyNumberFormat="1" applyFont="1" applyFill="1"/>
    <xf numFmtId="4" fontId="28" fillId="0" borderId="0" xfId="0" applyNumberFormat="1" applyFont="1" applyFill="1"/>
    <xf numFmtId="177" fontId="28" fillId="0" borderId="0" xfId="12" applyNumberFormat="1" applyFont="1" applyFill="1"/>
    <xf numFmtId="167" fontId="16" fillId="0" borderId="0" xfId="0" applyNumberFormat="1" applyFont="1" applyFill="1"/>
    <xf numFmtId="172" fontId="16" fillId="3" borderId="0" xfId="0" applyNumberFormat="1" applyFont="1" applyFill="1"/>
    <xf numFmtId="175" fontId="16" fillId="3" borderId="0" xfId="0" applyNumberFormat="1" applyFont="1" applyFill="1"/>
    <xf numFmtId="168" fontId="16" fillId="3" borderId="0" xfId="0" applyNumberFormat="1" applyFont="1" applyFill="1"/>
    <xf numFmtId="166" fontId="16" fillId="3" borderId="0" xfId="0" applyNumberFormat="1" applyFont="1" applyFill="1"/>
    <xf numFmtId="172" fontId="28" fillId="3" borderId="0" xfId="0" applyNumberFormat="1" applyFont="1" applyFill="1"/>
    <xf numFmtId="167" fontId="16" fillId="3" borderId="0" xfId="0" applyNumberFormat="1" applyFont="1" applyFill="1"/>
    <xf numFmtId="2" fontId="16" fillId="3" borderId="0" xfId="0" applyNumberFormat="1" applyFont="1" applyFill="1"/>
    <xf numFmtId="173" fontId="16" fillId="3" borderId="0" xfId="0" applyNumberFormat="1" applyFont="1" applyFill="1"/>
    <xf numFmtId="166" fontId="16" fillId="3" borderId="0" xfId="1" applyNumberFormat="1" applyFont="1" applyFill="1"/>
    <xf numFmtId="172" fontId="16" fillId="0" borderId="0" xfId="0" applyNumberFormat="1" applyFont="1" applyFill="1"/>
    <xf numFmtId="172" fontId="28" fillId="0" borderId="0" xfId="0" applyNumberFormat="1" applyFont="1" applyFill="1"/>
    <xf numFmtId="182" fontId="16" fillId="3" borderId="0" xfId="0" applyNumberFormat="1" applyFont="1" applyFill="1"/>
    <xf numFmtId="180" fontId="16" fillId="3" borderId="0" xfId="0" applyNumberFormat="1" applyFont="1" applyFill="1"/>
    <xf numFmtId="172" fontId="18" fillId="3" borderId="1" xfId="0" applyNumberFormat="1" applyFont="1" applyFill="1" applyBorder="1" applyAlignment="1">
      <alignment vertical="center" wrapText="1"/>
    </xf>
    <xf numFmtId="174" fontId="16" fillId="0" borderId="0" xfId="0" applyNumberFormat="1" applyFont="1" applyFill="1"/>
    <xf numFmtId="177" fontId="3" fillId="0" borderId="1" xfId="6" applyNumberFormat="1" applyFont="1" applyBorder="1" applyAlignment="1">
      <alignment horizontal="right" vertical="center"/>
    </xf>
    <xf numFmtId="0" fontId="19" fillId="5" borderId="1" xfId="10" applyFont="1" applyFill="1" applyBorder="1" applyAlignment="1">
      <alignment vertical="center" wrapText="1"/>
    </xf>
    <xf numFmtId="0" fontId="20" fillId="5" borderId="1" xfId="10" applyFont="1" applyFill="1" applyBorder="1" applyAlignment="1" applyProtection="1">
      <alignment vertical="center" wrapText="1"/>
      <protection locked="0"/>
    </xf>
    <xf numFmtId="167" fontId="18" fillId="5" borderId="1" xfId="0" applyNumberFormat="1" applyFont="1" applyFill="1" applyBorder="1" applyAlignment="1">
      <alignment vertical="center" wrapText="1"/>
    </xf>
    <xf numFmtId="167" fontId="16" fillId="5" borderId="1" xfId="0" applyNumberFormat="1" applyFont="1" applyFill="1" applyBorder="1"/>
    <xf numFmtId="167" fontId="18" fillId="5" borderId="1" xfId="0" applyNumberFormat="1" applyFont="1" applyFill="1" applyBorder="1" applyAlignment="1">
      <alignment horizontal="right" vertical="center" wrapText="1"/>
    </xf>
    <xf numFmtId="167" fontId="21" fillId="5" borderId="1" xfId="0" applyNumberFormat="1" applyFont="1" applyFill="1" applyBorder="1" applyAlignment="1" applyProtection="1">
      <alignment vertical="center" wrapText="1"/>
      <protection locked="0"/>
    </xf>
    <xf numFmtId="167" fontId="17" fillId="5" borderId="1" xfId="0" applyNumberFormat="1" applyFont="1" applyFill="1" applyBorder="1" applyAlignment="1">
      <alignment vertical="center" wrapText="1"/>
    </xf>
    <xf numFmtId="168" fontId="18" fillId="5" borderId="0" xfId="0" applyNumberFormat="1" applyFont="1" applyFill="1" applyBorder="1"/>
    <xf numFmtId="172" fontId="18" fillId="5" borderId="0" xfId="0" applyNumberFormat="1" applyFont="1" applyFill="1"/>
    <xf numFmtId="0" fontId="18" fillId="5" borderId="0" xfId="0" applyFont="1" applyFill="1"/>
    <xf numFmtId="167" fontId="26" fillId="3" borderId="1" xfId="0" applyNumberFormat="1" applyFont="1" applyFill="1" applyBorder="1" applyAlignment="1">
      <alignment vertical="center" wrapText="1"/>
    </xf>
    <xf numFmtId="167" fontId="26" fillId="0" borderId="1" xfId="0" applyNumberFormat="1" applyFont="1" applyFill="1" applyBorder="1" applyAlignment="1">
      <alignment vertical="center" wrapText="1"/>
    </xf>
    <xf numFmtId="167" fontId="21" fillId="3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79" fontId="5" fillId="0" borderId="1" xfId="6" applyNumberFormat="1" applyFont="1" applyBorder="1" applyAlignment="1">
      <alignment horizontal="right" vertical="center"/>
    </xf>
    <xf numFmtId="179" fontId="5" fillId="0" borderId="1" xfId="9" applyNumberFormat="1" applyFont="1" applyBorder="1" applyAlignment="1">
      <alignment horizontal="right" vertical="center"/>
    </xf>
    <xf numFmtId="179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" fontId="3" fillId="0" borderId="1" xfId="11" applyNumberFormat="1" applyFont="1" applyFill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5" fontId="3" fillId="0" borderId="1" xfId="11" applyNumberFormat="1" applyFont="1" applyBorder="1" applyAlignment="1">
      <alignment horizontal="center" vertical="center" wrapText="1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7" fontId="25" fillId="0" borderId="1" xfId="0" applyNumberFormat="1" applyFont="1" applyFill="1" applyBorder="1" applyAlignment="1">
      <alignment vertical="center" wrapText="1"/>
    </xf>
    <xf numFmtId="166" fontId="5" fillId="0" borderId="0" xfId="9" applyNumberFormat="1" applyFont="1" applyFill="1"/>
    <xf numFmtId="0" fontId="11" fillId="0" borderId="1" xfId="11" applyFont="1" applyBorder="1"/>
    <xf numFmtId="0" fontId="12" fillId="0" borderId="1" xfId="11" applyFont="1" applyBorder="1" applyAlignment="1">
      <alignment wrapText="1"/>
    </xf>
    <xf numFmtId="0" fontId="11" fillId="0" borderId="1" xfId="11" applyFont="1" applyBorder="1" applyAlignment="1">
      <alignment wrapText="1"/>
    </xf>
    <xf numFmtId="0" fontId="12" fillId="0" borderId="1" xfId="11" applyFont="1" applyBorder="1"/>
    <xf numFmtId="0" fontId="12" fillId="0" borderId="1" xfId="11" applyFont="1" applyFill="1" applyBorder="1"/>
    <xf numFmtId="166" fontId="11" fillId="0" borderId="1" xfId="11" applyNumberFormat="1" applyFont="1" applyBorder="1" applyAlignment="1">
      <alignment wrapText="1"/>
    </xf>
    <xf numFmtId="0" fontId="11" fillId="0" borderId="1" xfId="11" applyFont="1" applyBorder="1" applyAlignment="1">
      <alignment vertical="top" wrapText="1"/>
    </xf>
    <xf numFmtId="0" fontId="12" fillId="0" borderId="1" xfId="11" applyFont="1" applyFill="1" applyBorder="1" applyAlignment="1">
      <alignment wrapText="1"/>
    </xf>
    <xf numFmtId="0" fontId="12" fillId="0" borderId="1" xfId="11" applyFont="1" applyBorder="1" applyAlignment="1">
      <alignment horizontal="left" wrapText="1"/>
    </xf>
    <xf numFmtId="0" fontId="11" fillId="0" borderId="1" xfId="11" applyFont="1" applyFill="1" applyBorder="1"/>
    <xf numFmtId="0" fontId="11" fillId="3" borderId="1" xfId="9" applyFont="1" applyFill="1" applyBorder="1" applyAlignment="1">
      <alignment wrapText="1"/>
    </xf>
    <xf numFmtId="0" fontId="12" fillId="3" borderId="1" xfId="9" applyFont="1" applyFill="1" applyBorder="1" applyAlignment="1">
      <alignment wrapText="1"/>
    </xf>
    <xf numFmtId="0" fontId="12" fillId="0" borderId="1" xfId="9" applyFont="1" applyBorder="1" applyAlignment="1">
      <alignment wrapText="1"/>
    </xf>
    <xf numFmtId="0" fontId="11" fillId="3" borderId="1" xfId="8" applyFont="1" applyFill="1" applyBorder="1" applyAlignment="1">
      <alignment wrapText="1"/>
    </xf>
    <xf numFmtId="0" fontId="12" fillId="0" borderId="1" xfId="8" applyFont="1" applyBorder="1" applyAlignment="1">
      <alignment wrapText="1"/>
    </xf>
    <xf numFmtId="0" fontId="31" fillId="0" borderId="1" xfId="7" applyFont="1" applyBorder="1" applyAlignment="1">
      <alignment wrapText="1"/>
    </xf>
    <xf numFmtId="0" fontId="12" fillId="0" borderId="1" xfId="9" applyFont="1" applyBorder="1" applyAlignment="1">
      <alignment horizontal="left" wrapText="1"/>
    </xf>
    <xf numFmtId="0" fontId="11" fillId="3" borderId="1" xfId="9" applyFont="1" applyFill="1" applyBorder="1" applyAlignment="1">
      <alignment horizontal="left" wrapText="1"/>
    </xf>
    <xf numFmtId="0" fontId="12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horizontal="center" wrapText="1"/>
    </xf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67" fontId="18" fillId="0" borderId="1" xfId="0" applyNumberFormat="1" applyFont="1" applyFill="1" applyBorder="1"/>
    <xf numFmtId="167" fontId="18" fillId="5" borderId="1" xfId="0" applyNumberFormat="1" applyFont="1" applyFill="1" applyBorder="1"/>
    <xf numFmtId="167" fontId="16" fillId="0" borderId="1" xfId="0" applyNumberFormat="1" applyFont="1" applyFill="1" applyBorder="1" applyAlignment="1">
      <alignment vertical="center" wrapText="1"/>
    </xf>
    <xf numFmtId="167" fontId="24" fillId="0" borderId="1" xfId="0" applyNumberFormat="1" applyFont="1" applyFill="1" applyBorder="1" applyAlignment="1">
      <alignment vertical="center" wrapText="1"/>
    </xf>
    <xf numFmtId="167" fontId="27" fillId="0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horizontal="right" vertical="center" wrapText="1"/>
    </xf>
    <xf numFmtId="167" fontId="18" fillId="3" borderId="1" xfId="0" applyNumberFormat="1" applyFont="1" applyFill="1" applyBorder="1" applyAlignment="1" applyProtection="1">
      <alignment vertical="center" wrapText="1"/>
    </xf>
    <xf numFmtId="167" fontId="18" fillId="0" borderId="1" xfId="0" applyNumberFormat="1" applyFont="1" applyFill="1" applyBorder="1" applyAlignment="1" applyProtection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</xf>
    <xf numFmtId="172" fontId="3" fillId="0" borderId="0" xfId="9" applyNumberFormat="1" applyFont="1"/>
    <xf numFmtId="166" fontId="32" fillId="0" borderId="1" xfId="11" applyNumberFormat="1" applyFont="1" applyBorder="1" applyAlignment="1">
      <alignment horizontal="right" vertical="center"/>
    </xf>
    <xf numFmtId="166" fontId="33" fillId="0" borderId="1" xfId="11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 vertical="center"/>
    </xf>
    <xf numFmtId="166" fontId="33" fillId="0" borderId="0" xfId="9" applyNumberFormat="1" applyFont="1" applyAlignment="1">
      <alignment horizontal="right" vertical="center"/>
    </xf>
    <xf numFmtId="166" fontId="32" fillId="0" borderId="1" xfId="11" applyNumberFormat="1" applyFont="1" applyBorder="1" applyAlignment="1">
      <alignment horizontal="center" vertical="center" wrapText="1"/>
    </xf>
    <xf numFmtId="166" fontId="32" fillId="0" borderId="1" xfId="11" applyNumberFormat="1" applyFont="1" applyBorder="1" applyAlignment="1">
      <alignment horizontal="center" vertical="center"/>
    </xf>
    <xf numFmtId="1" fontId="32" fillId="0" borderId="1" xfId="9" applyNumberFormat="1" applyFont="1" applyBorder="1" applyAlignment="1">
      <alignment horizontal="center" vertical="center" wrapText="1"/>
    </xf>
    <xf numFmtId="166" fontId="32" fillId="0" borderId="1" xfId="6" applyNumberFormat="1" applyFont="1" applyBorder="1" applyAlignment="1">
      <alignment horizontal="right"/>
    </xf>
    <xf numFmtId="166" fontId="33" fillId="0" borderId="1" xfId="6" applyNumberFormat="1" applyFont="1" applyBorder="1" applyAlignment="1">
      <alignment horizontal="right"/>
    </xf>
    <xf numFmtId="166" fontId="29" fillId="0" borderId="1" xfId="0" applyNumberFormat="1" applyFont="1" applyBorder="1" applyAlignment="1">
      <alignment horizontal="center" vertical="center" wrapText="1"/>
    </xf>
    <xf numFmtId="166" fontId="30" fillId="3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166" fontId="29" fillId="3" borderId="1" xfId="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center" vertical="center" wrapText="1"/>
    </xf>
    <xf numFmtId="166" fontId="29" fillId="6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9" fillId="5" borderId="1" xfId="0" applyNumberFormat="1" applyFont="1" applyFill="1" applyBorder="1" applyAlignment="1">
      <alignment horizontal="center" vertical="center" wrapText="1"/>
    </xf>
    <xf numFmtId="166" fontId="30" fillId="6" borderId="1" xfId="0" applyNumberFormat="1" applyFont="1" applyFill="1" applyBorder="1" applyAlignment="1">
      <alignment horizontal="center" vertical="center" wrapText="1"/>
    </xf>
    <xf numFmtId="167" fontId="30" fillId="3" borderId="1" xfId="0" applyNumberFormat="1" applyFont="1" applyFill="1" applyBorder="1" applyAlignment="1">
      <alignment horizontal="center"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2" fontId="30" fillId="3" borderId="1" xfId="0" applyNumberFormat="1" applyFont="1" applyFill="1" applyBorder="1" applyAlignment="1">
      <alignment horizontal="center" vertical="center" wrapText="1"/>
    </xf>
    <xf numFmtId="167" fontId="30" fillId="0" borderId="3" xfId="0" applyNumberFormat="1" applyFont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8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Border="1" applyAlignment="1">
      <alignment horizontal="right" vertical="center"/>
    </xf>
    <xf numFmtId="177" fontId="5" fillId="0" borderId="1" xfId="11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9" fontId="5" fillId="5" borderId="1" xfId="6" applyNumberFormat="1" applyFont="1" applyFill="1" applyBorder="1" applyAlignment="1">
      <alignment horizontal="right" vertical="center"/>
    </xf>
    <xf numFmtId="179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36" fillId="0" borderId="1" xfId="6" applyNumberFormat="1" applyFont="1" applyBorder="1" applyAlignment="1">
      <alignment horizontal="right"/>
    </xf>
    <xf numFmtId="0" fontId="37" fillId="0" borderId="1" xfId="11" applyFont="1" applyBorder="1" applyAlignment="1">
      <alignment horizontal="center"/>
    </xf>
    <xf numFmtId="0" fontId="37" fillId="0" borderId="1" xfId="11" applyFont="1" applyBorder="1" applyAlignment="1"/>
    <xf numFmtId="172" fontId="26" fillId="3" borderId="1" xfId="0" applyNumberFormat="1" applyFont="1" applyFill="1" applyBorder="1" applyAlignment="1">
      <alignment vertical="center" wrapText="1"/>
    </xf>
    <xf numFmtId="172" fontId="5" fillId="0" borderId="0" xfId="9" applyNumberFormat="1" applyFont="1"/>
    <xf numFmtId="172" fontId="18" fillId="0" borderId="1" xfId="0" applyNumberFormat="1" applyFont="1" applyFill="1" applyBorder="1" applyAlignment="1">
      <alignment vertical="center" wrapText="1"/>
    </xf>
    <xf numFmtId="172" fontId="18" fillId="5" borderId="1" xfId="0" applyNumberFormat="1" applyFont="1" applyFill="1" applyBorder="1" applyAlignment="1">
      <alignment vertical="center" wrapText="1"/>
    </xf>
    <xf numFmtId="173" fontId="27" fillId="0" borderId="1" xfId="0" applyNumberFormat="1" applyFont="1" applyFill="1" applyBorder="1" applyAlignment="1">
      <alignment vertical="center" wrapText="1"/>
    </xf>
    <xf numFmtId="183" fontId="25" fillId="3" borderId="1" xfId="0" applyNumberFormat="1" applyFont="1" applyFill="1" applyBorder="1" applyAlignment="1">
      <alignment vertical="center" wrapText="1"/>
    </xf>
    <xf numFmtId="166" fontId="33" fillId="0" borderId="1" xfId="11" applyNumberFormat="1" applyFont="1" applyFill="1" applyBorder="1" applyAlignment="1">
      <alignment horizontal="right" vertical="center"/>
    </xf>
    <xf numFmtId="166" fontId="33" fillId="0" borderId="1" xfId="0" applyNumberFormat="1" applyFont="1" applyBorder="1" applyAlignment="1">
      <alignment horizontal="right" vertical="center"/>
    </xf>
    <xf numFmtId="166" fontId="33" fillId="3" borderId="1" xfId="0" applyNumberFormat="1" applyFont="1" applyFill="1" applyBorder="1" applyAlignment="1">
      <alignment horizontal="right" vertical="center"/>
    </xf>
    <xf numFmtId="166" fontId="32" fillId="0" borderId="1" xfId="0" applyNumberFormat="1" applyFont="1" applyBorder="1" applyAlignment="1">
      <alignment horizontal="right" vertical="center"/>
    </xf>
    <xf numFmtId="166" fontId="33" fillId="3" borderId="1" xfId="12" applyNumberFormat="1" applyFont="1" applyFill="1" applyBorder="1" applyAlignment="1">
      <alignment horizontal="right" vertical="center"/>
    </xf>
    <xf numFmtId="166" fontId="33" fillId="3" borderId="1" xfId="11" applyNumberFormat="1" applyFont="1" applyFill="1" applyBorder="1" applyAlignment="1">
      <alignment horizontal="right" vertical="center"/>
    </xf>
    <xf numFmtId="166" fontId="32" fillId="3" borderId="1" xfId="1" applyNumberFormat="1" applyFont="1" applyFill="1" applyBorder="1" applyAlignment="1">
      <alignment horizontal="right" vertical="center"/>
    </xf>
    <xf numFmtId="166" fontId="33" fillId="2" borderId="1" xfId="2" applyNumberFormat="1" applyFont="1" applyFill="1" applyBorder="1" applyAlignment="1">
      <alignment horizontal="right" vertical="center" shrinkToFit="1"/>
    </xf>
    <xf numFmtId="166" fontId="33" fillId="2" borderId="1" xfId="3" applyNumberFormat="1" applyFont="1" applyFill="1" applyBorder="1" applyAlignment="1">
      <alignment horizontal="right" vertical="center" shrinkToFit="1"/>
    </xf>
    <xf numFmtId="166" fontId="33" fillId="2" borderId="1" xfId="4" applyNumberFormat="1" applyFont="1" applyFill="1" applyBorder="1" applyAlignment="1">
      <alignment horizontal="right" vertical="center" shrinkToFit="1"/>
    </xf>
    <xf numFmtId="166" fontId="32" fillId="0" borderId="1" xfId="11" applyNumberFormat="1" applyFont="1" applyFill="1" applyBorder="1" applyAlignment="1">
      <alignment horizontal="right" vertical="center"/>
    </xf>
    <xf numFmtId="166" fontId="32" fillId="5" borderId="1" xfId="12" applyNumberFormat="1" applyFont="1" applyFill="1" applyBorder="1" applyAlignment="1">
      <alignment horizontal="right" vertical="center"/>
    </xf>
    <xf numFmtId="166" fontId="32" fillId="5" borderId="1" xfId="11" applyNumberFormat="1" applyFont="1" applyFill="1" applyBorder="1" applyAlignment="1">
      <alignment horizontal="right" vertical="center"/>
    </xf>
    <xf numFmtId="166" fontId="32" fillId="0" borderId="2" xfId="11" applyNumberFormat="1" applyFont="1" applyBorder="1" applyAlignment="1">
      <alignment horizontal="right" vertical="center"/>
    </xf>
    <xf numFmtId="166" fontId="32" fillId="0" borderId="1" xfId="11" applyNumberFormat="1" applyFont="1" applyFill="1" applyBorder="1" applyAlignment="1">
      <alignment horizontal="center" vertical="center" wrapText="1"/>
    </xf>
    <xf numFmtId="166" fontId="33" fillId="0" borderId="1" xfId="9" applyNumberFormat="1" applyFont="1" applyBorder="1" applyAlignment="1">
      <alignment horizontal="right" vertical="center"/>
    </xf>
    <xf numFmtId="166" fontId="33" fillId="0" borderId="1" xfId="9" applyNumberFormat="1" applyFont="1" applyBorder="1" applyAlignment="1">
      <alignment horizontal="right"/>
    </xf>
    <xf numFmtId="166" fontId="33" fillId="0" borderId="1" xfId="9" applyNumberFormat="1" applyFont="1" applyBorder="1" applyAlignment="1">
      <alignment horizontal="right" vertical="center" wrapText="1"/>
    </xf>
    <xf numFmtId="166" fontId="32" fillId="0" borderId="1" xfId="6" applyNumberFormat="1" applyFont="1" applyBorder="1" applyAlignment="1">
      <alignment horizontal="right" vertical="center"/>
    </xf>
    <xf numFmtId="166" fontId="33" fillId="0" borderId="1" xfId="6" applyNumberFormat="1" applyFont="1" applyBorder="1" applyAlignment="1">
      <alignment horizontal="right" vertical="center"/>
    </xf>
    <xf numFmtId="166" fontId="32" fillId="5" borderId="1" xfId="9" applyNumberFormat="1" applyFont="1" applyFill="1" applyBorder="1" applyAlignment="1">
      <alignment horizontal="right" vertical="center"/>
    </xf>
    <xf numFmtId="166" fontId="33" fillId="2" borderId="1" xfId="5" applyNumberFormat="1" applyFont="1" applyFill="1" applyBorder="1" applyAlignment="1">
      <alignment horizontal="right" vertical="top" shrinkToFit="1"/>
    </xf>
    <xf numFmtId="166" fontId="32" fillId="0" borderId="1" xfId="12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/>
    </xf>
    <xf numFmtId="166" fontId="3" fillId="0" borderId="0" xfId="9" applyNumberFormat="1" applyFont="1" applyAlignment="1">
      <alignment horizontal="right"/>
    </xf>
    <xf numFmtId="166" fontId="3" fillId="0" borderId="0" xfId="9" applyNumberFormat="1" applyFont="1" applyAlignment="1">
      <alignment horizontal="right" vertical="center"/>
    </xf>
    <xf numFmtId="180" fontId="26" fillId="3" borderId="1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18" fillId="3" borderId="10" xfId="0" applyNumberFormat="1" applyFont="1" applyFill="1" applyBorder="1" applyAlignment="1">
      <alignment horizontal="center" vertical="center" wrapText="1"/>
    </xf>
    <xf numFmtId="49" fontId="18" fillId="3" borderId="11" xfId="0" applyNumberFormat="1" applyFont="1" applyFill="1" applyBorder="1" applyAlignment="1">
      <alignment horizontal="center" vertical="center" wrapText="1"/>
    </xf>
    <xf numFmtId="49" fontId="18" fillId="3" borderId="12" xfId="0" applyNumberFormat="1" applyFont="1" applyFill="1" applyBorder="1" applyAlignment="1">
      <alignment horizontal="center" vertical="center" wrapText="1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3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49" fontId="18" fillId="3" borderId="5" xfId="0" applyNumberFormat="1" applyFont="1" applyFill="1" applyBorder="1" applyAlignment="1">
      <alignment horizontal="center" vertical="center" wrapText="1"/>
    </xf>
    <xf numFmtId="4" fontId="23" fillId="3" borderId="3" xfId="10" applyNumberFormat="1" applyFont="1" applyFill="1" applyBorder="1" applyAlignment="1">
      <alignment horizontal="center" vertical="center" wrapText="1"/>
    </xf>
    <xf numFmtId="4" fontId="23" fillId="3" borderId="5" xfId="1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/>
    </xf>
    <xf numFmtId="0" fontId="18" fillId="3" borderId="9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  <xf numFmtId="175" fontId="3" fillId="0" borderId="1" xfId="11" applyNumberFormat="1" applyFont="1" applyBorder="1" applyAlignment="1">
      <alignment horizontal="right" vertical="center"/>
    </xf>
    <xf numFmtId="172" fontId="7" fillId="0" borderId="0" xfId="8" applyNumberFormat="1" applyFont="1"/>
    <xf numFmtId="177" fontId="3" fillId="0" borderId="0" xfId="9" applyNumberFormat="1" applyFont="1"/>
    <xf numFmtId="167" fontId="3" fillId="3" borderId="1" xfId="12" applyNumberFormat="1" applyFont="1" applyFill="1" applyBorder="1" applyAlignment="1">
      <alignment horizontal="right" vertical="center"/>
    </xf>
    <xf numFmtId="167" fontId="3" fillId="0" borderId="1" xfId="12" applyNumberFormat="1" applyFont="1" applyBorder="1" applyAlignment="1">
      <alignment horizontal="right" vertical="center"/>
    </xf>
    <xf numFmtId="166" fontId="3" fillId="3" borderId="1" xfId="12" applyNumberFormat="1" applyFont="1" applyFill="1" applyBorder="1" applyAlignment="1">
      <alignment horizontal="right" vertical="center"/>
    </xf>
    <xf numFmtId="169" fontId="3" fillId="3" borderId="1" xfId="12" applyNumberFormat="1" applyFont="1" applyFill="1" applyBorder="1" applyAlignment="1">
      <alignment horizontal="right" vertical="center"/>
    </xf>
    <xf numFmtId="167" fontId="35" fillId="0" borderId="1" xfId="11" applyNumberFormat="1" applyFont="1" applyBorder="1" applyAlignment="1">
      <alignment horizontal="right" vertical="center"/>
    </xf>
    <xf numFmtId="167" fontId="3" fillId="5" borderId="1" xfId="11" applyNumberFormat="1" applyFont="1" applyFill="1" applyBorder="1" applyAlignment="1">
      <alignment horizontal="right" vertical="center"/>
    </xf>
    <xf numFmtId="167" fontId="3" fillId="5" borderId="1" xfId="12" applyNumberFormat="1" applyFont="1" applyFill="1" applyBorder="1" applyAlignment="1">
      <alignment horizontal="right" vertic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11.xml"/><Relationship Id="rId21" Type="http://schemas.openxmlformats.org/officeDocument/2006/relationships/revisionLog" Target="revisionLog141.xml"/><Relationship Id="rId42" Type="http://schemas.openxmlformats.org/officeDocument/2006/relationships/revisionLog" Target="revisionLog16.xml"/><Relationship Id="rId63" Type="http://schemas.openxmlformats.org/officeDocument/2006/relationships/revisionLog" Target="revisionLog19.xml"/><Relationship Id="rId84" Type="http://schemas.openxmlformats.org/officeDocument/2006/relationships/revisionLog" Target="revisionLog112.xml"/><Relationship Id="rId138" Type="http://schemas.openxmlformats.org/officeDocument/2006/relationships/revisionLog" Target="revisionLog13.xml"/><Relationship Id="rId159" Type="http://schemas.openxmlformats.org/officeDocument/2006/relationships/revisionLog" Target="revisionLog18.xml"/><Relationship Id="rId170" Type="http://schemas.openxmlformats.org/officeDocument/2006/relationships/revisionLog" Target="revisionLog1141.xml"/><Relationship Id="rId191" Type="http://schemas.openxmlformats.org/officeDocument/2006/relationships/revisionLog" Target="revisionLog115.xml"/><Relationship Id="rId205" Type="http://schemas.openxmlformats.org/officeDocument/2006/relationships/revisionLog" Target="revisionLog12.xml"/><Relationship Id="rId226" Type="http://schemas.openxmlformats.org/officeDocument/2006/relationships/revisionLog" Target="revisionLog14.xml"/><Relationship Id="rId247" Type="http://schemas.openxmlformats.org/officeDocument/2006/relationships/revisionLog" Target="revisionLog15.xml"/><Relationship Id="rId107" Type="http://schemas.openxmlformats.org/officeDocument/2006/relationships/revisionLog" Target="revisionLog1111.xml"/><Relationship Id="rId268" Type="http://schemas.openxmlformats.org/officeDocument/2006/relationships/revisionLog" Target="revisionLog17.xml"/><Relationship Id="rId11" Type="http://schemas.openxmlformats.org/officeDocument/2006/relationships/revisionLog" Target="revisionLog1311.xml"/><Relationship Id="rId32" Type="http://schemas.openxmlformats.org/officeDocument/2006/relationships/revisionLog" Target="revisionLog1711.xml"/><Relationship Id="rId53" Type="http://schemas.openxmlformats.org/officeDocument/2006/relationships/revisionLog" Target="revisionLog1121.xml"/><Relationship Id="rId74" Type="http://schemas.openxmlformats.org/officeDocument/2006/relationships/revisionLog" Target="revisionLog11411.xml"/><Relationship Id="rId128" Type="http://schemas.openxmlformats.org/officeDocument/2006/relationships/revisionLog" Target="revisionLog121.xml"/><Relationship Id="rId149" Type="http://schemas.openxmlformats.org/officeDocument/2006/relationships/revisionLog" Target="revisionLog11412.xml"/><Relationship Id="rId5" Type="http://schemas.openxmlformats.org/officeDocument/2006/relationships/revisionLog" Target="revisionLog12111.xml"/><Relationship Id="rId95" Type="http://schemas.openxmlformats.org/officeDocument/2006/relationships/revisionLog" Target="revisionLog118.xml"/><Relationship Id="rId160" Type="http://schemas.openxmlformats.org/officeDocument/2006/relationships/revisionLog" Target="revisionLog1161.xml"/><Relationship Id="rId181" Type="http://schemas.openxmlformats.org/officeDocument/2006/relationships/revisionLog" Target="revisionLog120.xml"/><Relationship Id="rId216" Type="http://schemas.openxmlformats.org/officeDocument/2006/relationships/revisionLog" Target="revisionLog142.xml"/><Relationship Id="rId237" Type="http://schemas.openxmlformats.org/officeDocument/2006/relationships/revisionLog" Target="revisionLog151.xml"/><Relationship Id="rId258" Type="http://schemas.openxmlformats.org/officeDocument/2006/relationships/revisionLog" Target="revisionLog171.xml"/><Relationship Id="rId279" Type="http://schemas.openxmlformats.org/officeDocument/2006/relationships/revisionLog" Target="revisionLog1.xml"/><Relationship Id="rId22" Type="http://schemas.openxmlformats.org/officeDocument/2006/relationships/revisionLog" Target="revisionLog1611111.xml"/><Relationship Id="rId43" Type="http://schemas.openxmlformats.org/officeDocument/2006/relationships/revisionLog" Target="revisionLog110111.xml"/><Relationship Id="rId64" Type="http://schemas.openxmlformats.org/officeDocument/2006/relationships/revisionLog" Target="revisionLog11511.xml"/><Relationship Id="rId118" Type="http://schemas.openxmlformats.org/officeDocument/2006/relationships/revisionLog" Target="revisionLog1811.xml"/><Relationship Id="rId139" Type="http://schemas.openxmlformats.org/officeDocument/2006/relationships/revisionLog" Target="revisionLog114121.xml"/><Relationship Id="rId85" Type="http://schemas.openxmlformats.org/officeDocument/2006/relationships/revisionLog" Target="revisionLog1172.xml"/><Relationship Id="rId150" Type="http://schemas.openxmlformats.org/officeDocument/2006/relationships/revisionLog" Target="revisionLog11612.xml"/><Relationship Id="rId171" Type="http://schemas.openxmlformats.org/officeDocument/2006/relationships/revisionLog" Target="revisionLog1201.xml"/><Relationship Id="rId192" Type="http://schemas.openxmlformats.org/officeDocument/2006/relationships/revisionLog" Target="revisionLog124.xml"/><Relationship Id="rId206" Type="http://schemas.openxmlformats.org/officeDocument/2006/relationships/revisionLog" Target="revisionLog1511.xml"/><Relationship Id="rId227" Type="http://schemas.openxmlformats.org/officeDocument/2006/relationships/revisionLog" Target="revisionLog1712.xml"/><Relationship Id="rId248" Type="http://schemas.openxmlformats.org/officeDocument/2006/relationships/revisionLog" Target="revisionLog111.xml"/><Relationship Id="rId269" Type="http://schemas.openxmlformats.org/officeDocument/2006/relationships/revisionLog" Target="revisionLog110.xml"/><Relationship Id="rId12" Type="http://schemas.openxmlformats.org/officeDocument/2006/relationships/revisionLog" Target="revisionLog1312.xml"/><Relationship Id="rId33" Type="http://schemas.openxmlformats.org/officeDocument/2006/relationships/revisionLog" Target="revisionLog161.xml"/><Relationship Id="rId108" Type="http://schemas.openxmlformats.org/officeDocument/2006/relationships/revisionLog" Target="revisionLog12311.xml"/><Relationship Id="rId129" Type="http://schemas.openxmlformats.org/officeDocument/2006/relationships/revisionLog" Target="revisionLog133.xml"/><Relationship Id="rId54" Type="http://schemas.openxmlformats.org/officeDocument/2006/relationships/revisionLog" Target="revisionLog191.xml"/><Relationship Id="rId75" Type="http://schemas.openxmlformats.org/officeDocument/2006/relationships/revisionLog" Target="revisionLog11811.xml"/><Relationship Id="rId96" Type="http://schemas.openxmlformats.org/officeDocument/2006/relationships/revisionLog" Target="revisionLog12211.xml"/><Relationship Id="rId140" Type="http://schemas.openxmlformats.org/officeDocument/2006/relationships/revisionLog" Target="revisionLog1241.xml"/><Relationship Id="rId161" Type="http://schemas.openxmlformats.org/officeDocument/2006/relationships/revisionLog" Target="revisionLog1202.xml"/><Relationship Id="rId182" Type="http://schemas.openxmlformats.org/officeDocument/2006/relationships/revisionLog" Target="revisionLog127.xml"/><Relationship Id="rId217" Type="http://schemas.openxmlformats.org/officeDocument/2006/relationships/revisionLog" Target="revisionLog172.xml"/><Relationship Id="rId6" Type="http://schemas.openxmlformats.org/officeDocument/2006/relationships/revisionLog" Target="revisionLog121121.xml"/><Relationship Id="rId238" Type="http://schemas.openxmlformats.org/officeDocument/2006/relationships/revisionLog" Target="revisionLog1112.xml"/><Relationship Id="rId259" Type="http://schemas.openxmlformats.org/officeDocument/2006/relationships/revisionLog" Target="revisionLog113.xml"/><Relationship Id="rId23" Type="http://schemas.openxmlformats.org/officeDocument/2006/relationships/revisionLog" Target="revisionLog161111.xml"/><Relationship Id="rId119" Type="http://schemas.openxmlformats.org/officeDocument/2006/relationships/revisionLog" Target="revisionLog1141211.xml"/><Relationship Id="rId270" Type="http://schemas.openxmlformats.org/officeDocument/2006/relationships/revisionLog" Target="revisionLog114.xml"/><Relationship Id="rId44" Type="http://schemas.openxmlformats.org/officeDocument/2006/relationships/revisionLog" Target="revisionLog11011.xml"/><Relationship Id="rId60" Type="http://schemas.openxmlformats.org/officeDocument/2006/relationships/revisionLog" Target="revisionLog11412111.xml"/><Relationship Id="rId65" Type="http://schemas.openxmlformats.org/officeDocument/2006/relationships/revisionLog" Target="revisionLog11512.xml"/><Relationship Id="rId81" Type="http://schemas.openxmlformats.org/officeDocument/2006/relationships/revisionLog" Target="revisionLog118211.xml"/><Relationship Id="rId86" Type="http://schemas.openxmlformats.org/officeDocument/2006/relationships/revisionLog" Target="revisionLog120111.xml"/><Relationship Id="rId130" Type="http://schemas.openxmlformats.org/officeDocument/2006/relationships/revisionLog" Target="revisionLog11613.xml"/><Relationship Id="rId135" Type="http://schemas.openxmlformats.org/officeDocument/2006/relationships/revisionLog" Target="revisionLog12411.xml"/><Relationship Id="rId151" Type="http://schemas.openxmlformats.org/officeDocument/2006/relationships/revisionLog" Target="revisionLog11921.xml"/><Relationship Id="rId156" Type="http://schemas.openxmlformats.org/officeDocument/2006/relationships/revisionLog" Target="revisionLog12611.xml"/><Relationship Id="rId177" Type="http://schemas.openxmlformats.org/officeDocument/2006/relationships/revisionLog" Target="revisionLog129.xml"/><Relationship Id="rId198" Type="http://schemas.openxmlformats.org/officeDocument/2006/relationships/revisionLog" Target="revisionLog130.xml"/><Relationship Id="rId172" Type="http://schemas.openxmlformats.org/officeDocument/2006/relationships/revisionLog" Target="revisionLog1291.xml"/><Relationship Id="rId193" Type="http://schemas.openxmlformats.org/officeDocument/2006/relationships/revisionLog" Target="revisionLog1301.xml"/><Relationship Id="rId202" Type="http://schemas.openxmlformats.org/officeDocument/2006/relationships/revisionLog" Target="revisionLog1210.xml"/><Relationship Id="rId207" Type="http://schemas.openxmlformats.org/officeDocument/2006/relationships/revisionLog" Target="revisionLog17211.xml"/><Relationship Id="rId223" Type="http://schemas.openxmlformats.org/officeDocument/2006/relationships/revisionLog" Target="revisionLog11012.xml"/><Relationship Id="rId228" Type="http://schemas.openxmlformats.org/officeDocument/2006/relationships/revisionLog" Target="revisionLog11121.xml"/><Relationship Id="rId244" Type="http://schemas.openxmlformats.org/officeDocument/2006/relationships/revisionLog" Target="revisionLog1131.xml"/><Relationship Id="rId249" Type="http://schemas.openxmlformats.org/officeDocument/2006/relationships/revisionLog" Target="revisionLog1142.xml"/><Relationship Id="rId13" Type="http://schemas.openxmlformats.org/officeDocument/2006/relationships/revisionLog" Target="revisionLog124111.xml"/><Relationship Id="rId18" Type="http://schemas.openxmlformats.org/officeDocument/2006/relationships/revisionLog" Target="revisionLog132111.xml"/><Relationship Id="rId39" Type="http://schemas.openxmlformats.org/officeDocument/2006/relationships/revisionLog" Target="revisionLog15121.xml"/><Relationship Id="rId109" Type="http://schemas.openxmlformats.org/officeDocument/2006/relationships/revisionLog" Target="revisionLog18211.xml"/><Relationship Id="rId260" Type="http://schemas.openxmlformats.org/officeDocument/2006/relationships/revisionLog" Target="revisionLog116.xml"/><Relationship Id="rId265" Type="http://schemas.openxmlformats.org/officeDocument/2006/relationships/revisionLog" Target="revisionLog117.xml"/><Relationship Id="rId34" Type="http://schemas.openxmlformats.org/officeDocument/2006/relationships/revisionLog" Target="revisionLog151211.xml"/><Relationship Id="rId50" Type="http://schemas.openxmlformats.org/officeDocument/2006/relationships/revisionLog" Target="revisionLog1113.xml"/><Relationship Id="rId55" Type="http://schemas.openxmlformats.org/officeDocument/2006/relationships/revisionLog" Target="revisionLog182111.xml"/><Relationship Id="rId76" Type="http://schemas.openxmlformats.org/officeDocument/2006/relationships/revisionLog" Target="revisionLog11131.xml"/><Relationship Id="rId97" Type="http://schemas.openxmlformats.org/officeDocument/2006/relationships/revisionLog" Target="revisionLog11413.xml"/><Relationship Id="rId104" Type="http://schemas.openxmlformats.org/officeDocument/2006/relationships/revisionLog" Target="revisionLog12511.xml"/><Relationship Id="rId120" Type="http://schemas.openxmlformats.org/officeDocument/2006/relationships/revisionLog" Target="revisionLog12121.xml"/><Relationship Id="rId125" Type="http://schemas.openxmlformats.org/officeDocument/2006/relationships/revisionLog" Target="revisionLog13311.xml"/><Relationship Id="rId141" Type="http://schemas.openxmlformats.org/officeDocument/2006/relationships/revisionLog" Target="revisionLog126111.xml"/><Relationship Id="rId146" Type="http://schemas.openxmlformats.org/officeDocument/2006/relationships/revisionLog" Target="revisionLog12711.xml"/><Relationship Id="rId167" Type="http://schemas.openxmlformats.org/officeDocument/2006/relationships/revisionLog" Target="revisionLog1281.xml"/><Relationship Id="rId188" Type="http://schemas.openxmlformats.org/officeDocument/2006/relationships/revisionLog" Target="revisionLog131.xml"/><Relationship Id="rId7" Type="http://schemas.openxmlformats.org/officeDocument/2006/relationships/revisionLog" Target="revisionLog121211.xml"/><Relationship Id="rId71" Type="http://schemas.openxmlformats.org/officeDocument/2006/relationships/revisionLog" Target="revisionLog111111.xml"/><Relationship Id="rId92" Type="http://schemas.openxmlformats.org/officeDocument/2006/relationships/revisionLog" Target="revisionLog114131.xml"/><Relationship Id="rId162" Type="http://schemas.openxmlformats.org/officeDocument/2006/relationships/revisionLog" Target="revisionLog12811.xml"/><Relationship Id="rId183" Type="http://schemas.openxmlformats.org/officeDocument/2006/relationships/revisionLog" Target="revisionLog1313.xml"/><Relationship Id="rId213" Type="http://schemas.openxmlformats.org/officeDocument/2006/relationships/revisionLog" Target="revisionLog110121.xml"/><Relationship Id="rId218" Type="http://schemas.openxmlformats.org/officeDocument/2006/relationships/revisionLog" Target="revisionLog111211.xml"/><Relationship Id="rId234" Type="http://schemas.openxmlformats.org/officeDocument/2006/relationships/revisionLog" Target="revisionLog11311.xml"/><Relationship Id="rId239" Type="http://schemas.openxmlformats.org/officeDocument/2006/relationships/revisionLog" Target="revisionLog11421.xml"/><Relationship Id="rId29" Type="http://schemas.openxmlformats.org/officeDocument/2006/relationships/revisionLog" Target="revisionLog1611.xml"/><Relationship Id="rId250" Type="http://schemas.openxmlformats.org/officeDocument/2006/relationships/revisionLog" Target="revisionLog1102.xml"/><Relationship Id="rId255" Type="http://schemas.openxmlformats.org/officeDocument/2006/relationships/revisionLog" Target="revisionLog1162.xml"/><Relationship Id="rId271" Type="http://schemas.openxmlformats.org/officeDocument/2006/relationships/revisionLog" Target="revisionLog119.xml"/><Relationship Id="rId276" Type="http://schemas.openxmlformats.org/officeDocument/2006/relationships/revisionLog" Target="revisionLog122.xml"/><Relationship Id="rId24" Type="http://schemas.openxmlformats.org/officeDocument/2006/relationships/revisionLog" Target="revisionLog16111.xml"/><Relationship Id="rId40" Type="http://schemas.openxmlformats.org/officeDocument/2006/relationships/revisionLog" Target="revisionLog1911.xml"/><Relationship Id="rId45" Type="http://schemas.openxmlformats.org/officeDocument/2006/relationships/revisionLog" Target="revisionLog1101211.xml"/><Relationship Id="rId66" Type="http://schemas.openxmlformats.org/officeDocument/2006/relationships/revisionLog" Target="revisionLog113111.xml"/><Relationship Id="rId87" Type="http://schemas.openxmlformats.org/officeDocument/2006/relationships/revisionLog" Target="revisionLog116131.xml"/><Relationship Id="rId110" Type="http://schemas.openxmlformats.org/officeDocument/2006/relationships/revisionLog" Target="revisionLog1261111.xml"/><Relationship Id="rId115" Type="http://schemas.openxmlformats.org/officeDocument/2006/relationships/revisionLog" Target="revisionLog133111.xml"/><Relationship Id="rId131" Type="http://schemas.openxmlformats.org/officeDocument/2006/relationships/revisionLog" Target="revisionLog127111.xml"/><Relationship Id="rId136" Type="http://schemas.openxmlformats.org/officeDocument/2006/relationships/revisionLog" Target="revisionLog128111.xml"/><Relationship Id="rId157" Type="http://schemas.openxmlformats.org/officeDocument/2006/relationships/revisionLog" Target="revisionLog12911.xml"/><Relationship Id="rId178" Type="http://schemas.openxmlformats.org/officeDocument/2006/relationships/revisionLog" Target="revisionLog13011.xml"/><Relationship Id="rId61" Type="http://schemas.openxmlformats.org/officeDocument/2006/relationships/revisionLog" Target="revisionLog1921.xml"/><Relationship Id="rId82" Type="http://schemas.openxmlformats.org/officeDocument/2006/relationships/revisionLog" Target="revisionLog1161311.xml"/><Relationship Id="rId152" Type="http://schemas.openxmlformats.org/officeDocument/2006/relationships/revisionLog" Target="revisionLog129111.xml"/><Relationship Id="rId173" Type="http://schemas.openxmlformats.org/officeDocument/2006/relationships/revisionLog" Target="revisionLog130111.xml"/><Relationship Id="rId194" Type="http://schemas.openxmlformats.org/officeDocument/2006/relationships/revisionLog" Target="revisionLog134.xml"/><Relationship Id="rId199" Type="http://schemas.openxmlformats.org/officeDocument/2006/relationships/revisionLog" Target="revisionLog135.xml"/><Relationship Id="rId203" Type="http://schemas.openxmlformats.org/officeDocument/2006/relationships/revisionLog" Target="revisionLog152.xml"/><Relationship Id="rId208" Type="http://schemas.openxmlformats.org/officeDocument/2006/relationships/revisionLog" Target="revisionLog14211.xml"/><Relationship Id="rId229" Type="http://schemas.openxmlformats.org/officeDocument/2006/relationships/revisionLog" Target="revisionLog1132.xml"/><Relationship Id="rId19" Type="http://schemas.openxmlformats.org/officeDocument/2006/relationships/revisionLog" Target="revisionLog1511111.xml"/><Relationship Id="rId224" Type="http://schemas.openxmlformats.org/officeDocument/2006/relationships/revisionLog" Target="revisionLog11321.xml"/><Relationship Id="rId240" Type="http://schemas.openxmlformats.org/officeDocument/2006/relationships/revisionLog" Target="revisionLog11621.xml"/><Relationship Id="rId245" Type="http://schemas.openxmlformats.org/officeDocument/2006/relationships/revisionLog" Target="revisionLog1171.xml"/><Relationship Id="rId261" Type="http://schemas.openxmlformats.org/officeDocument/2006/relationships/revisionLog" Target="revisionLog1191.xml"/><Relationship Id="rId266" Type="http://schemas.openxmlformats.org/officeDocument/2006/relationships/revisionLog" Target="revisionLog1221.xml"/><Relationship Id="rId14" Type="http://schemas.openxmlformats.org/officeDocument/2006/relationships/revisionLog" Target="revisionLog1411111.xml"/><Relationship Id="rId30" Type="http://schemas.openxmlformats.org/officeDocument/2006/relationships/revisionLog" Target="revisionLog18111111.xml"/><Relationship Id="rId35" Type="http://schemas.openxmlformats.org/officeDocument/2006/relationships/revisionLog" Target="revisionLog19111.xml"/><Relationship Id="rId56" Type="http://schemas.openxmlformats.org/officeDocument/2006/relationships/revisionLog" Target="revisionLog1112111.xml"/><Relationship Id="rId77" Type="http://schemas.openxmlformats.org/officeDocument/2006/relationships/revisionLog" Target="revisionLog11711.xml"/><Relationship Id="rId100" Type="http://schemas.openxmlformats.org/officeDocument/2006/relationships/revisionLog" Target="revisionLog12212.xml"/><Relationship Id="rId105" Type="http://schemas.openxmlformats.org/officeDocument/2006/relationships/revisionLog" Target="revisionLog13131.xml"/><Relationship Id="rId126" Type="http://schemas.openxmlformats.org/officeDocument/2006/relationships/revisionLog" Target="revisionLog1211.xml"/><Relationship Id="rId147" Type="http://schemas.openxmlformats.org/officeDocument/2006/relationships/revisionLog" Target="revisionLog1291111.xml"/><Relationship Id="rId168" Type="http://schemas.openxmlformats.org/officeDocument/2006/relationships/revisionLog" Target="revisionLog1301111.xml"/><Relationship Id="rId8" Type="http://schemas.openxmlformats.org/officeDocument/2006/relationships/revisionLog" Target="revisionLog1131111.xml"/><Relationship Id="rId51" Type="http://schemas.openxmlformats.org/officeDocument/2006/relationships/revisionLog" Target="revisionLog114111.xml"/><Relationship Id="rId72" Type="http://schemas.openxmlformats.org/officeDocument/2006/relationships/revisionLog" Target="revisionLog117111.xml"/><Relationship Id="rId93" Type="http://schemas.openxmlformats.org/officeDocument/2006/relationships/revisionLog" Target="revisionLog1182.xml"/><Relationship Id="rId98" Type="http://schemas.openxmlformats.org/officeDocument/2006/relationships/revisionLog" Target="revisionLog119211.xml"/><Relationship Id="rId121" Type="http://schemas.openxmlformats.org/officeDocument/2006/relationships/revisionLog" Target="revisionLog11414.xml"/><Relationship Id="rId142" Type="http://schemas.openxmlformats.org/officeDocument/2006/relationships/revisionLog" Target="revisionLog116211.xml"/><Relationship Id="rId163" Type="http://schemas.openxmlformats.org/officeDocument/2006/relationships/revisionLog" Target="revisionLog13011111.xml"/><Relationship Id="rId184" Type="http://schemas.openxmlformats.org/officeDocument/2006/relationships/revisionLog" Target="revisionLog1282.xml"/><Relationship Id="rId189" Type="http://schemas.openxmlformats.org/officeDocument/2006/relationships/revisionLog" Target="revisionLog1341.xml"/><Relationship Id="rId219" Type="http://schemas.openxmlformats.org/officeDocument/2006/relationships/revisionLog" Target="revisionLog113211.xml"/><Relationship Id="rId214" Type="http://schemas.openxmlformats.org/officeDocument/2006/relationships/revisionLog" Target="revisionLog1114.xml"/><Relationship Id="rId230" Type="http://schemas.openxmlformats.org/officeDocument/2006/relationships/revisionLog" Target="revisionLog114211.xml"/><Relationship Id="rId235" Type="http://schemas.openxmlformats.org/officeDocument/2006/relationships/revisionLog" Target="revisionLog11622.xml"/><Relationship Id="rId251" Type="http://schemas.openxmlformats.org/officeDocument/2006/relationships/revisionLog" Target="revisionLog11911.xml"/><Relationship Id="rId256" Type="http://schemas.openxmlformats.org/officeDocument/2006/relationships/revisionLog" Target="revisionLog1222.xml"/><Relationship Id="rId277" Type="http://schemas.openxmlformats.org/officeDocument/2006/relationships/revisionLog" Target="revisionLog123.xml"/><Relationship Id="rId25" Type="http://schemas.openxmlformats.org/officeDocument/2006/relationships/revisionLog" Target="revisionLog15111.xml"/><Relationship Id="rId46" Type="http://schemas.openxmlformats.org/officeDocument/2006/relationships/revisionLog" Target="revisionLog18112.xml"/><Relationship Id="rId67" Type="http://schemas.openxmlformats.org/officeDocument/2006/relationships/revisionLog" Target="revisionLog116111.xml"/><Relationship Id="rId116" Type="http://schemas.openxmlformats.org/officeDocument/2006/relationships/revisionLog" Target="revisionLog182.xml"/><Relationship Id="rId137" Type="http://schemas.openxmlformats.org/officeDocument/2006/relationships/revisionLog" Target="revisionLog11614.xml"/><Relationship Id="rId158" Type="http://schemas.openxmlformats.org/officeDocument/2006/relationships/revisionLog" Target="revisionLog12021.xml"/><Relationship Id="rId272" Type="http://schemas.openxmlformats.org/officeDocument/2006/relationships/revisionLog" Target="revisionLog1231.xml"/><Relationship Id="rId20" Type="http://schemas.openxmlformats.org/officeDocument/2006/relationships/revisionLog" Target="revisionLog151111.xml"/><Relationship Id="rId41" Type="http://schemas.openxmlformats.org/officeDocument/2006/relationships/revisionLog" Target="revisionLog181121.xml"/><Relationship Id="rId62" Type="http://schemas.openxmlformats.org/officeDocument/2006/relationships/revisionLog" Target="revisionLog192.xml"/><Relationship Id="rId83" Type="http://schemas.openxmlformats.org/officeDocument/2006/relationships/revisionLog" Target="revisionLog119111.xml"/><Relationship Id="rId88" Type="http://schemas.openxmlformats.org/officeDocument/2006/relationships/revisionLog" Target="revisionLog11821.xml"/><Relationship Id="rId111" Type="http://schemas.openxmlformats.org/officeDocument/2006/relationships/revisionLog" Target="revisionLog1512.xml"/><Relationship Id="rId132" Type="http://schemas.openxmlformats.org/officeDocument/2006/relationships/revisionLog" Target="revisionLog116121.xml"/><Relationship Id="rId153" Type="http://schemas.openxmlformats.org/officeDocument/2006/relationships/revisionLog" Target="revisionLog1192.xml"/><Relationship Id="rId174" Type="http://schemas.openxmlformats.org/officeDocument/2006/relationships/revisionLog" Target="revisionLog13411.xml"/><Relationship Id="rId179" Type="http://schemas.openxmlformats.org/officeDocument/2006/relationships/revisionLog" Target="revisionLog1351.xml"/><Relationship Id="rId195" Type="http://schemas.openxmlformats.org/officeDocument/2006/relationships/revisionLog" Target="revisionLog136.xml"/><Relationship Id="rId209" Type="http://schemas.openxmlformats.org/officeDocument/2006/relationships/revisionLog" Target="revisionLog11021.xml"/><Relationship Id="rId190" Type="http://schemas.openxmlformats.org/officeDocument/2006/relationships/revisionLog" Target="revisionLog1302.xml"/><Relationship Id="rId204" Type="http://schemas.openxmlformats.org/officeDocument/2006/relationships/revisionLog" Target="revisionLog172111.xml"/><Relationship Id="rId220" Type="http://schemas.openxmlformats.org/officeDocument/2006/relationships/revisionLog" Target="revisionLog1142111.xml"/><Relationship Id="rId225" Type="http://schemas.openxmlformats.org/officeDocument/2006/relationships/revisionLog" Target="revisionLog116221.xml"/><Relationship Id="rId241" Type="http://schemas.openxmlformats.org/officeDocument/2006/relationships/revisionLog" Target="revisionLog1173.xml"/><Relationship Id="rId246" Type="http://schemas.openxmlformats.org/officeDocument/2006/relationships/revisionLog" Target="revisionLog11912.xml"/><Relationship Id="rId267" Type="http://schemas.openxmlformats.org/officeDocument/2006/relationships/revisionLog" Target="revisionLog12312.xml"/><Relationship Id="rId15" Type="http://schemas.openxmlformats.org/officeDocument/2006/relationships/revisionLog" Target="revisionLog141111.xml"/><Relationship Id="rId36" Type="http://schemas.openxmlformats.org/officeDocument/2006/relationships/revisionLog" Target="revisionLog181111.xml"/><Relationship Id="rId57" Type="http://schemas.openxmlformats.org/officeDocument/2006/relationships/revisionLog" Target="revisionLog111212.xml"/><Relationship Id="rId106" Type="http://schemas.openxmlformats.org/officeDocument/2006/relationships/revisionLog" Target="revisionLog11111.xml"/><Relationship Id="rId127" Type="http://schemas.openxmlformats.org/officeDocument/2006/relationships/revisionLog" Target="revisionLog1331.xml"/><Relationship Id="rId262" Type="http://schemas.openxmlformats.org/officeDocument/2006/relationships/revisionLog" Target="revisionLog123121.xml"/><Relationship Id="rId10" Type="http://schemas.openxmlformats.org/officeDocument/2006/relationships/revisionLog" Target="revisionLog13111.xml"/><Relationship Id="rId31" Type="http://schemas.openxmlformats.org/officeDocument/2006/relationships/revisionLog" Target="revisionLog1811111.xml"/><Relationship Id="rId52" Type="http://schemas.openxmlformats.org/officeDocument/2006/relationships/revisionLog" Target="revisionLog11312.xml"/><Relationship Id="rId73" Type="http://schemas.openxmlformats.org/officeDocument/2006/relationships/revisionLog" Target="revisionLog1161211.xml"/><Relationship Id="rId78" Type="http://schemas.openxmlformats.org/officeDocument/2006/relationships/revisionLog" Target="revisionLog11721.xml"/><Relationship Id="rId94" Type="http://schemas.openxmlformats.org/officeDocument/2006/relationships/revisionLog" Target="revisionLog122111.xml"/><Relationship Id="rId99" Type="http://schemas.openxmlformats.org/officeDocument/2006/relationships/revisionLog" Target="revisionLog123111.xml"/><Relationship Id="rId101" Type="http://schemas.openxmlformats.org/officeDocument/2006/relationships/revisionLog" Target="revisionLog13211.xml"/><Relationship Id="rId122" Type="http://schemas.openxmlformats.org/officeDocument/2006/relationships/revisionLog" Target="revisionLog1212.xml"/><Relationship Id="rId143" Type="http://schemas.openxmlformats.org/officeDocument/2006/relationships/revisionLog" Target="revisionLog12512.xml"/><Relationship Id="rId148" Type="http://schemas.openxmlformats.org/officeDocument/2006/relationships/revisionLog" Target="revisionLog1162211.xml"/><Relationship Id="rId164" Type="http://schemas.openxmlformats.org/officeDocument/2006/relationships/revisionLog" Target="revisionLog1271.xml"/><Relationship Id="rId169" Type="http://schemas.openxmlformats.org/officeDocument/2006/relationships/revisionLog" Target="revisionLog12821.xml"/><Relationship Id="rId185" Type="http://schemas.openxmlformats.org/officeDocument/2006/relationships/revisionLog" Target="revisionLog1361.xml"/><Relationship Id="rId4" Type="http://schemas.openxmlformats.org/officeDocument/2006/relationships/revisionLog" Target="revisionLog121111.xml"/><Relationship Id="rId9" Type="http://schemas.openxmlformats.org/officeDocument/2006/relationships/revisionLog" Target="revisionLog131111.xml"/><Relationship Id="rId180" Type="http://schemas.openxmlformats.org/officeDocument/2006/relationships/revisionLog" Target="revisionLog13021.xml"/><Relationship Id="rId210" Type="http://schemas.openxmlformats.org/officeDocument/2006/relationships/revisionLog" Target="revisionLog11141.xml"/><Relationship Id="rId215" Type="http://schemas.openxmlformats.org/officeDocument/2006/relationships/revisionLog" Target="revisionLog1132111.xml"/><Relationship Id="rId236" Type="http://schemas.openxmlformats.org/officeDocument/2006/relationships/revisionLog" Target="revisionLog11731.xml"/><Relationship Id="rId257" Type="http://schemas.openxmlformats.org/officeDocument/2006/relationships/revisionLog" Target="revisionLog1231211.xml"/><Relationship Id="rId278" Type="http://schemas.openxmlformats.org/officeDocument/2006/relationships/revisionLog" Target="revisionLog125.xml"/><Relationship Id="rId26" Type="http://schemas.openxmlformats.org/officeDocument/2006/relationships/revisionLog" Target="revisionLog142111.xml"/><Relationship Id="rId231" Type="http://schemas.openxmlformats.org/officeDocument/2006/relationships/revisionLog" Target="revisionLog117311.xml"/><Relationship Id="rId252" Type="http://schemas.openxmlformats.org/officeDocument/2006/relationships/revisionLog" Target="revisionLog12221.xml"/><Relationship Id="rId273" Type="http://schemas.openxmlformats.org/officeDocument/2006/relationships/revisionLog" Target="revisionLog1251.xml"/><Relationship Id="rId47" Type="http://schemas.openxmlformats.org/officeDocument/2006/relationships/revisionLog" Target="revisionLog1721111.xml"/><Relationship Id="rId68" Type="http://schemas.openxmlformats.org/officeDocument/2006/relationships/revisionLog" Target="revisionLog110211.xml"/><Relationship Id="rId89" Type="http://schemas.openxmlformats.org/officeDocument/2006/relationships/revisionLog" Target="revisionLog11321111.xml"/><Relationship Id="rId112" Type="http://schemas.openxmlformats.org/officeDocument/2006/relationships/revisionLog" Target="revisionLog111411.xml"/><Relationship Id="rId133" Type="http://schemas.openxmlformats.org/officeDocument/2006/relationships/revisionLog" Target="revisionLog12101.xml"/><Relationship Id="rId154" Type="http://schemas.openxmlformats.org/officeDocument/2006/relationships/revisionLog" Target="revisionLog1521.xml"/><Relationship Id="rId175" Type="http://schemas.openxmlformats.org/officeDocument/2006/relationships/revisionLog" Target="revisionLog11421111.xml"/><Relationship Id="rId196" Type="http://schemas.openxmlformats.org/officeDocument/2006/relationships/revisionLog" Target="revisionLog143.xml"/><Relationship Id="rId200" Type="http://schemas.openxmlformats.org/officeDocument/2006/relationships/revisionLog" Target="revisionLog1163.xml"/><Relationship Id="rId16" Type="http://schemas.openxmlformats.org/officeDocument/2006/relationships/revisionLog" Target="revisionLog14111.xml"/><Relationship Id="rId221" Type="http://schemas.openxmlformats.org/officeDocument/2006/relationships/revisionLog" Target="revisionLog122211.xml"/><Relationship Id="rId242" Type="http://schemas.openxmlformats.org/officeDocument/2006/relationships/revisionLog" Target="revisionLog119121.xml"/><Relationship Id="rId263" Type="http://schemas.openxmlformats.org/officeDocument/2006/relationships/revisionLog" Target="revisionLog12513.xml"/><Relationship Id="rId37" Type="http://schemas.openxmlformats.org/officeDocument/2006/relationships/revisionLog" Target="revisionLog18111.xml"/><Relationship Id="rId58" Type="http://schemas.openxmlformats.org/officeDocument/2006/relationships/revisionLog" Target="revisionLog11122.xml"/><Relationship Id="rId79" Type="http://schemas.openxmlformats.org/officeDocument/2006/relationships/revisionLog" Target="revisionLog1151.xml"/><Relationship Id="rId102" Type="http://schemas.openxmlformats.org/officeDocument/2006/relationships/revisionLog" Target="revisionLog1222111.xml"/><Relationship Id="rId123" Type="http://schemas.openxmlformats.org/officeDocument/2006/relationships/revisionLog" Target="revisionLog1513.xml"/><Relationship Id="rId144" Type="http://schemas.openxmlformats.org/officeDocument/2006/relationships/revisionLog" Target="revisionLog181.xml"/><Relationship Id="rId90" Type="http://schemas.openxmlformats.org/officeDocument/2006/relationships/revisionLog" Target="revisionLog1173111.xml"/><Relationship Id="rId165" Type="http://schemas.openxmlformats.org/officeDocument/2006/relationships/revisionLog" Target="revisionLog1193.xml"/><Relationship Id="rId186" Type="http://schemas.openxmlformats.org/officeDocument/2006/relationships/revisionLog" Target="revisionLog12312111.xml"/><Relationship Id="rId211" Type="http://schemas.openxmlformats.org/officeDocument/2006/relationships/revisionLog" Target="revisionLog1421.xml"/><Relationship Id="rId232" Type="http://schemas.openxmlformats.org/officeDocument/2006/relationships/revisionLog" Target="revisionLog137.xml"/><Relationship Id="rId253" Type="http://schemas.openxmlformats.org/officeDocument/2006/relationships/revisionLog" Target="revisionLog125131.xml"/><Relationship Id="rId274" Type="http://schemas.openxmlformats.org/officeDocument/2006/relationships/revisionLog" Target="revisionLog126.xml"/><Relationship Id="rId27" Type="http://schemas.openxmlformats.org/officeDocument/2006/relationships/revisionLog" Target="revisionLog171111.xml"/><Relationship Id="rId48" Type="http://schemas.openxmlformats.org/officeDocument/2006/relationships/revisionLog" Target="revisionLog11211.xml"/><Relationship Id="rId69" Type="http://schemas.openxmlformats.org/officeDocument/2006/relationships/revisionLog" Target="revisionLog11611.xml"/><Relationship Id="rId113" Type="http://schemas.openxmlformats.org/officeDocument/2006/relationships/revisionLog" Target="revisionLog15112.xml"/><Relationship Id="rId134" Type="http://schemas.openxmlformats.org/officeDocument/2006/relationships/revisionLog" Target="revisionLog132.xml"/><Relationship Id="rId80" Type="http://schemas.openxmlformats.org/officeDocument/2006/relationships/revisionLog" Target="revisionLog1181.xml"/><Relationship Id="rId155" Type="http://schemas.openxmlformats.org/officeDocument/2006/relationships/revisionLog" Target="revisionLog1191211.xml"/><Relationship Id="rId176" Type="http://schemas.openxmlformats.org/officeDocument/2006/relationships/revisionLog" Target="revisionLog123121111.xml"/><Relationship Id="rId197" Type="http://schemas.openxmlformats.org/officeDocument/2006/relationships/revisionLog" Target="revisionLog1252.xml"/><Relationship Id="rId201" Type="http://schemas.openxmlformats.org/officeDocument/2006/relationships/revisionLog" Target="revisionLog1261.xml"/><Relationship Id="rId222" Type="http://schemas.openxmlformats.org/officeDocument/2006/relationships/revisionLog" Target="revisionLog17121.xml"/><Relationship Id="rId243" Type="http://schemas.openxmlformats.org/officeDocument/2006/relationships/revisionLog" Target="revisionLog1103.xml"/><Relationship Id="rId264" Type="http://schemas.openxmlformats.org/officeDocument/2006/relationships/revisionLog" Target="revisionLog128.xml"/><Relationship Id="rId17" Type="http://schemas.openxmlformats.org/officeDocument/2006/relationships/revisionLog" Target="revisionLog1411.xml"/><Relationship Id="rId38" Type="http://schemas.openxmlformats.org/officeDocument/2006/relationships/revisionLog" Target="revisionLog171211.xml"/><Relationship Id="rId59" Type="http://schemas.openxmlformats.org/officeDocument/2006/relationships/revisionLog" Target="revisionLog19211.xml"/><Relationship Id="rId103" Type="http://schemas.openxmlformats.org/officeDocument/2006/relationships/revisionLog" Target="revisionLog1321.xml"/><Relationship Id="rId124" Type="http://schemas.openxmlformats.org/officeDocument/2006/relationships/revisionLog" Target="revisionLog12112.xml"/><Relationship Id="rId70" Type="http://schemas.openxmlformats.org/officeDocument/2006/relationships/revisionLog" Target="revisionLog1171111.xml"/><Relationship Id="rId91" Type="http://schemas.openxmlformats.org/officeDocument/2006/relationships/revisionLog" Target="revisionLog12011.xml"/><Relationship Id="rId145" Type="http://schemas.openxmlformats.org/officeDocument/2006/relationships/revisionLog" Target="revisionLog1251311.xml"/><Relationship Id="rId166" Type="http://schemas.openxmlformats.org/officeDocument/2006/relationships/revisionLog" Target="revisionLog12612.xml"/><Relationship Id="rId187" Type="http://schemas.openxmlformats.org/officeDocument/2006/relationships/revisionLog" Target="revisionLog1283.xml"/><Relationship Id="rId212" Type="http://schemas.openxmlformats.org/officeDocument/2006/relationships/revisionLog" Target="revisionLog1721.xml"/><Relationship Id="rId233" Type="http://schemas.openxmlformats.org/officeDocument/2006/relationships/revisionLog" Target="revisionLog1101.xml"/><Relationship Id="rId254" Type="http://schemas.openxmlformats.org/officeDocument/2006/relationships/revisionLog" Target="revisionLog1104.xml"/><Relationship Id="rId28" Type="http://schemas.openxmlformats.org/officeDocument/2006/relationships/revisionLog" Target="revisionLog17111.xml"/><Relationship Id="rId49" Type="http://schemas.openxmlformats.org/officeDocument/2006/relationships/revisionLog" Target="revisionLog11212.xml"/><Relationship Id="rId114" Type="http://schemas.openxmlformats.org/officeDocument/2006/relationships/revisionLog" Target="revisionLog1821.xml"/><Relationship Id="rId275" Type="http://schemas.openxmlformats.org/officeDocument/2006/relationships/revisionLog" Target="revisionLog138.xml"/></Relationships>
</file>

<file path=xl/revisions/revisionHeaders.xml><?xml version="1.0" encoding="utf-8"?>
<headers xmlns="http://schemas.openxmlformats.org/spreadsheetml/2006/main" xmlns:r="http://schemas.openxmlformats.org/officeDocument/2006/relationships" guid="{FE14336F-0E9C-4ED9-934A-BCD775B84B3E}" diskRevisions="1" revisionId="9504" version="279">
  <header guid="{913D1855-D89E-43F3-984C-8E5980287B89}" dateTime="2018-07-06T14:00:04" maxSheetId="20" userName="Финансовый отдел администрации Моргаушского района -" r:id="rId4" minRId="5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52CEC91-B01D-45A7-B1EE-8142DEA1F74A}" dateTime="2018-07-06T14:00:22" maxSheetId="20" userName="Бухгалтер 1" r:id="rId5" minRId="8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72DFA67-D0FB-43A7-873F-7A9B0990A29D}" dateTime="2018-07-06T14:00:53" maxSheetId="20" userName="Финансовый отдел администрации Моргаушского района -" r:id="rId6" minRId="111" maxRId="11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B01D653-D0AA-4C32-ABEC-0D15015C77ED}" dateTime="2018-07-06T14:07:58" maxSheetId="20" userName="Бухгалтер 1" r:id="rId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288382D-3462-4C6E-9C62-04563D13A1F3}" dateTime="2018-07-06T14:10:06" maxSheetId="20" userName="Бухгалтер 1" r:id="rId8" minRId="167" maxRId="17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69D036A-D6B8-4FBC-B9E7-E0EF7B774666}" dateTime="2018-07-06T14:10:13" maxSheetId="20" userName="Бухгалтер 1" r:id="rId9" minRId="20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CA736B1-D27B-4DD1-ADF9-9479BB0B1997}" dateTime="2018-07-06T14:13:09" maxSheetId="20" userName="Бухгалтер 1" r:id="rId10" minRId="229" maxRId="23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3AC20FC-4500-4861-A9D8-66D19C06C4D6}" dateTime="2018-07-06T14:13:42" maxSheetId="20" userName="Бухгалтер 1" r:id="rId11" minRId="25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92FB0F4-85CE-4804-A41E-7545A3DA1321}" dateTime="2018-07-06T14:14:36" maxSheetId="20" userName="Бухгалтер 1" r:id="rId12" minRId="286" maxRId="28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0A252D8-C3DE-4F1A-A790-5287CAF8A2EE}" dateTime="2018-07-06T14:15:13" maxSheetId="20" userName="Бухгалтер 1" r:id="rId13" minRId="31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6DE941A-6808-4230-8B3B-039F20062E40}" dateTime="2018-07-06T14:16:20" maxSheetId="20" userName="Бухгалтер 1" r:id="rId14" minRId="34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14B04D0-810A-405E-BC11-927F60099BD2}" dateTime="2018-07-06T14:16:29" maxSheetId="20" userName="Бухгалтер 1" r:id="rId15" minRId="37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B2DF636-9CEC-4D8D-B6CF-4D719103B0CF}" dateTime="2018-07-06T14:19:16" maxSheetId="20" userName="Бухгалтер 1" r:id="rId16" minRId="399" maxRId="41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D522198-F291-48F6-A6CA-0B8100F15E33}" dateTime="2018-07-06T14:24:33" maxSheetId="20" userName="Бухгалтер 1" r:id="rId17" minRId="438" maxRId="45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837283C-3F26-41A0-A890-4FC61DC4D3E8}" dateTime="2018-07-06T14:31:59" maxSheetId="20" userName="Бухгалтер 1" r:id="rId18" minRId="481" maxRId="49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2F8F6CD-C58F-4639-B247-0AAD23D4B647}" dateTime="2018-07-06T14:32:42" maxSheetId="20" userName="Бухгалтер 1" r:id="rId19" minRId="527" maxRId="52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4A5A3A4-CF89-41D7-A99F-ADDB4581CE7C}" dateTime="2018-07-06T14:32:56" maxSheetId="20" userName="Бухгалтер 1" r:id="rId20" minRId="556" maxRId="56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67BB643-BE0D-46FE-8683-20A9975FB5EE}" dateTime="2018-07-06T14:33:07" maxSheetId="20" userName="Бухгалтер 1" r:id="rId21" minRId="591" maxRId="59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E3BDA58-A03E-4ECA-9ADD-91E45B720826}" dateTime="2018-07-06T14:35:21" maxSheetId="20" userName="Бухгалтер 1" r:id="rId22" minRId="621" maxRId="62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5B1D6BC-D1EB-4D9F-B33B-4D4E22E567D0}" dateTime="2018-07-06T14:36:44" maxSheetId="20" userName="Бухгалтер 1" r:id="rId23" minRId="650" maxRId="65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CD7C9AA-49F3-4794-BE6A-CF8C9AA4C57C}" dateTime="2018-07-06T14:36:50" maxSheetId="20" userName="Бухгалтер 1" r:id="rId24" minRId="67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CD99772-4023-4D35-AD3D-6DA7A1AC17F6}" dateTime="2018-07-06T14:39:40" maxSheetId="20" userName="morgau_fin7" r:id="rId25" minRId="707" maxRId="74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86C741F-3978-4CC9-82F0-DB91078E3A2D}" dateTime="2018-07-06T14:42:36" maxSheetId="20" userName="Бухгалтер 1" r:id="rId26" minRId="771" maxRId="78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89B92CB-125A-4EEC-A967-EADF9442C6AB}" dateTime="2018-07-06T14:44:33" maxSheetId="20" userName="morgau_fin7" r:id="rId27" minRId="81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E2C4C28-06E3-4B6B-9903-1C3A73E00773}" dateTime="2018-07-06T14:47:12" maxSheetId="20" userName="Бухгалтер 1" r:id="rId28" minRId="84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42D09E2-5714-4D26-B057-F737BD1EE2DD}" dateTime="2018-07-06T14:50:19" maxSheetId="20" userName="Бухгалтер 1" r:id="rId29" minRId="87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E9AD6E9-776F-4BD7-8DD9-BA5CC1579498}" dateTime="2018-07-06T14:52:56" maxSheetId="20" userName="Бухгалтер 1" r:id="rId30" minRId="901" maxRId="91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53E2882-0AC6-4AC5-AA9F-911B5D9CDB65}" dateTime="2018-07-06T14:53:07" maxSheetId="20" userName="Бухгалтер 1" r:id="rId3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0D941FD-7469-41CC-84EA-EE31B83C5DD5}" dateTime="2018-07-06T14:53:47" maxSheetId="20" userName="Бухгалтер 1" r:id="rId32" minRId="96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FB94F61-72DF-4A09-84B3-DF40D29677BF}" dateTime="2018-07-06T15:00:28" maxSheetId="20" userName="Бухгалтер 1" r:id="rId33" minRId="994" maxRId="102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629786B-2FE2-48C7-BACD-8AB0F4BE42D6}" dateTime="2018-07-06T15:09:33" maxSheetId="20" userName="Бухгалтер 1" r:id="rId34" minRId="1049" maxRId="108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32B8164-5122-440F-8C6E-9281FB4ADFAE}" dateTime="2018-07-06T15:09:42" maxSheetId="20" userName="Бухгалтер 1" r:id="rId3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CCA8A94-935C-4798-8499-798B7BA63D4A}" dateTime="2018-07-06T15:11:49" maxSheetId="20" userName="Бухгалтер 1" r:id="rId36" minRId="1142" maxRId="114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FE189FD-3089-4CC7-BEFD-64522E07A1E6}" dateTime="2018-07-06T15:14:02" maxSheetId="20" userName="Бухгалтер 1" r:id="rId3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C666300-7417-4314-9C3E-1FD453C64A10}" dateTime="2018-07-06T15:14:05" maxSheetId="20" userName="Бухгалтер 1" r:id="rId3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2CEAB96-6283-42BB-A8A3-2FD16E268C29}" dateTime="2018-07-06T15:14:09" maxSheetId="20" userName="morgau_fin7" r:id="rId39" minRId="1230" maxRId="128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90A393C-A648-4CBE-98DE-E46AEC87493E}" dateTime="2018-07-06T15:15:07" maxSheetId="20" userName="morgau_fin7" r:id="rId4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900B0ED-71B9-4270-B58B-D4CA46CA3D7A}" dateTime="2018-07-06T15:15:13" maxSheetId="20" userName="Бухгалтер 1" r:id="rId41" minRId="133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0104994-FA93-4FB0-82A9-15AE968E7361}" dateTime="2018-07-06T15:15:17" maxSheetId="20" userName="morgau_fin7" r:id="rId4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F64B441-B589-48B9-A221-E41799280DE3}" dateTime="2018-07-06T15:16:00" maxSheetId="20" userName="Бухгалтер 1" r:id="rId43" minRId="139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9EFC019-BA8F-481F-BF01-5C86E6ED605D}" dateTime="2018-07-06T15:16:29" maxSheetId="20" userName="Бухгалтер 1" r:id="rId44" minRId="142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7A8E70F-78B5-4D17-8EBB-61FCCCF431CE}" dateTime="2018-07-06T15:16:34" maxSheetId="20" userName="Бухгалтер 1" r:id="rId45" minRId="144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4CAD6E4-6CB1-4774-AE95-288058FD757F}" dateTime="2018-07-06T15:16:47" maxSheetId="20" userName="Бухгалтер 1" r:id="rId4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36CBE97-8E30-4C4F-94BE-DF79668CE782}" dateTime="2018-07-06T15:16:49" maxSheetId="20" userName="Бухгалтер 1" r:id="rId4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FAEB80A-D8E1-4D48-A1D6-E932B75DB720}" dateTime="2018-07-06T15:18:00" maxSheetId="20" userName="Бухгалтер 1" r:id="rId48" minRId="1530" maxRId="153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8CF3B30-4761-4A98-85DB-36C9A79D8249}" dateTime="2018-07-06T15:24:08" maxSheetId="20" userName="Бухгалтер 1" r:id="rId49" minRId="1562" maxRId="158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4012B2B-1107-4B12-BAEE-6AE6E1780916}" dateTime="2018-07-06T15:24:55" maxSheetId="20" userName="Бухгалтер 1" r:id="rId50" minRId="1611" maxRId="161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33956EF-E5EB-4B61-8306-84D5A8609BCD}" dateTime="2018-07-06T15:26:32" maxSheetId="20" userName="Бухгалтер 1" r:id="rId51" minRId="1642" maxRId="164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512D801-2328-4502-A315-B5571611C03B}" dateTime="2018-07-06T15:26:56" maxSheetId="20" userName="Бухгалтер 1" r:id="rId5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C76F2D7-C72B-4723-A514-C2AF570ECE92}" dateTime="2018-07-06T15:29:01" maxSheetId="20" userName="Бухгалтер 1" r:id="rId53" minRId="169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D854699-C170-46AA-8CF7-24C3B665E307}" dateTime="2018-07-06T15:29:28" maxSheetId="20" userName="Бухгалтер 1" r:id="rId54" minRId="1727" maxRId="172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9BF77FE-0A44-4439-836D-2CBF628DE523}" dateTime="2018-07-06T15:33:23" maxSheetId="20" userName="morgau_fin7" r:id="rId55" minRId="1756" maxRId="177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C6170CD-72DE-41A4-AF87-22DF77101F8B}" dateTime="2018-07-06T15:45:40" maxSheetId="20" userName="morgau_fin7" r:id="rId56" minRId="1805" maxRId="182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06FF280-B641-43B0-A00C-8FE9AEEADDFE}" dateTime="2018-07-06T15:57:52" maxSheetId="20" userName="morgau_fin7" r:id="rId57" minRId="1849" maxRId="185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C0ECEFD-32C7-48D9-B0A0-F525894CFEB4}" dateTime="2018-07-06T15:58:20" maxSheetId="20" userName="morgau_fin7" r:id="rId58" minRId="1878" maxRId="187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0B02733-5666-420A-A5C2-7BBD3E8F9D7B}" dateTime="2018-07-06T15:58:40" maxSheetId="20" userName="morgau_fin7" r:id="rId59" minRId="1907" maxRId="190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EEFD4D5-AB73-4999-B05A-A655323C4979}" dateTime="2018-07-06T16:00:01" maxSheetId="20" userName="morgau_fin7" r:id="rId6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3F0B033-ED39-4D24-AB2C-B79191746580}" dateTime="2018-07-06T16:02:20" maxSheetId="20" userName="Бухгалтер 1" r:id="rId61" minRId="1963" maxRId="196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0605025-DA15-4D66-ABA9-0FE70481FD03}" dateTime="2018-07-06T16:02:22" maxSheetId="20" userName="Бухгалтер 1" r:id="rId6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549A233-3F7F-4A56-9B7B-DE7BCF25FF3B}" dateTime="2018-07-06T16:02:36" maxSheetId="20" userName="Бухгалтер 1" r:id="rId6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4479569-94D9-4762-AE7F-9EC5C24FFB9E}" dateTime="2018-07-06T16:02:40" maxSheetId="20" userName="Бухгалтер 1" r:id="rId6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92FDCEC-3839-4627-B948-6CC27E0C6D8B}" dateTime="2018-07-06T16:03:08" maxSheetId="20" userName="Бухгалтер 1" r:id="rId65" minRId="2075" maxRId="207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FE35F60-A088-4E2F-9732-C9A36EF85F42}" dateTime="2018-07-06T16:04:05" maxSheetId="20" userName="Бухгалтер 1" r:id="rId66" minRId="2104" maxRId="210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1883878-8EB3-451B-B025-70B05EFB3709}" dateTime="2018-07-06T16:04:18" maxSheetId="20" userName="Бухгалтер 1" r:id="rId67" minRId="2135" maxRId="213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8497EF1-38E2-43BA-B73F-79D7AB2E8268}" dateTime="2018-07-06T16:04:27" maxSheetId="20" userName="Бухгалтер 1" r:id="rId6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9947757-56B4-40C9-B21B-BD1719579FF9}" dateTime="2018-07-06T16:04:31" maxSheetId="20" userName="Бухгалтер 1" r:id="rId6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FE0E95D-7A31-4D84-B5DF-32097F87A2A6}" dateTime="2018-07-06T16:04:36" maxSheetId="20" userName="morgau_fin7" r:id="rId7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D4AAE70-A294-4944-BED8-7CDDC6214DE4}" dateTime="2018-07-06T16:04:44" maxSheetId="20" userName="Бухгалтер 1" r:id="rId7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B6212A1-2DD3-48A6-89FA-0436EC69076E}" dateTime="2018-07-06T16:07:19" maxSheetId="20" userName="morgau_fin7" r:id="rId72" minRId="2272" maxRId="227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AA46BD9-3BCC-41CF-B8D2-CB4B92B998CF}" dateTime="2018-07-06T16:22:07" maxSheetId="20" userName="morgau_fin7" r:id="rId73" minRId="2301" maxRId="232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49DCCF3-AB71-4C44-8572-69BFDFF7550E}" dateTime="2018-07-06T16:22:17" maxSheetId="20" userName="morgau_fin7" r:id="rId7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FF0FB8B-B3FC-471C-B854-033CB24EE8BC}" dateTime="2018-07-06T16:43:59" maxSheetId="20" userName="Бухгалтер 1" r:id="rId7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E10ABC7-1647-4801-945A-DDCF9CF57F22}" dateTime="2018-07-06T16:44:36" maxSheetId="20" userName="Бухгалтер 1" r:id="rId7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0E37878-EBAF-464B-9D1A-44A24231313B}" dateTime="2018-07-10T14:15:51" maxSheetId="20" userName="morgau_fin7" r:id="rId7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61C927E-8E4A-4658-87E3-EE89EBA141F9}" dateTime="2018-07-10T15:40:00" maxSheetId="20" userName="morgau_fin7" r:id="rId7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9BFE5B3-F444-4138-9A49-DBBB8146159D}" dateTime="2018-07-13T09:49:22" maxSheetId="20" userName="Бухгалтер 1" r:id="rId79" minRId="2486" maxRId="248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B45F3AC-D8E1-41BC-8CB4-AB750DC44973}" dateTime="2018-07-13T09:51:07" maxSheetId="20" userName="Бухгалтер 1" r:id="rId80" minRId="251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B22BFF6-8DBE-4C43-906C-8E79998E0C5B}" dateTime="2018-07-13T09:51:45" maxSheetId="20" userName="Бухгалтер 1" r:id="rId81" minRId="254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9439377-48D1-4A06-969F-0B2AA2599715}" dateTime="2018-07-13T09:52:56" maxSheetId="20" userName="Бухгалтер 1" r:id="rId82" minRId="257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556B216-62E1-4E17-B549-269C7E95CA7E}" dateTime="2018-07-13T09:54:05" maxSheetId="20" userName="Бухгалтер 1" r:id="rId83" minRId="2599" maxRId="260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DAC8E27-7E9A-4FA1-989C-6D311086D307}" dateTime="2018-07-13T09:54:16" maxSheetId="20" userName="Бухгалтер 1" r:id="rId8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B519D4B-D691-4A75-97E7-E5677502DCB6}" dateTime="2018-07-13T09:54:52" maxSheetId="20" userName="Бухгалтер 1" r:id="rId85" minRId="2656" maxRId="265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CC1684B-8073-4EAF-83B7-F572FA1A1606}" dateTime="2018-07-13T09:58:11" maxSheetId="20" userName="Бухгалтер 1" r:id="rId8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28A335E-1D05-459B-A531-F4805BC1E803}" dateTime="2018-07-13T09:58:37" maxSheetId="20" userName="Бухгалтер 1" r:id="rId87" minRId="2712" maxRId="271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DBB3BEC-5B33-484D-8066-821190587689}" dateTime="2018-07-13T09:58:45" maxSheetId="20" userName="Бухгалтер 1" r:id="rId8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7C06E82-A0E3-426A-B707-22F9E0E9E097}" dateTime="2018-07-13T10:50:08" maxSheetId="20" userName="morgau_fin7" r:id="rId89" minRId="2772" maxRId="278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5BCDF2B-F892-4F21-B625-43A7B9852B5E}" dateTime="2018-07-13T15:36:44" maxSheetId="20" userName="morgau_fin7" r:id="rId90" minRId="281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53E8062-D637-48FD-BFD2-C6D7556E35D4}" dateTime="2018-08-06T15:37:27" maxSheetId="20" userName="morgau_fin7" r:id="rId91" minRId="2845" maxRId="285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A5758FB-A8D5-4658-8CAE-4E5DD2E0C3D3}" dateTime="2018-08-06T15:38:51" maxSheetId="20" userName="morgau_fin7" r:id="rId92" minRId="288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31E9F06-A554-4D19-9C66-8A7A6E6902AB}" dateTime="2018-08-06T15:53:06" maxSheetId="20" userName="morgau_fin7" r:id="rId93" minRId="2912" maxRId="291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B7C7175-FD6B-4A03-8481-A942C1A8528D}" dateTime="2018-08-06T15:54:06" maxSheetId="20" userName="morgau_fin7" r:id="rId94" minRId="2944" maxRId="294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7A256BD-7729-4324-8E71-22FA7609CFF0}" dateTime="2018-08-06T16:01:20" maxSheetId="20" userName="morgau_fin7" r:id="rId95" minRId="2974" maxRId="298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2C367A9-E331-4831-BD53-06D60F2F4A74}" dateTime="2018-08-06T16:07:12" maxSheetId="20" userName="morgau_fin7" r:id="rId96" minRId="301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C309300-A289-4DFB-9AF9-6B9F8F0D85F4}" dateTime="2018-08-06T16:41:28" maxSheetId="20" userName="morgau_fin7" r:id="rId9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BDC3B02-257F-4FB9-9BD1-85B5142A4298}" dateTime="2018-08-07T14:33:14" maxSheetId="20" userName="morgau_fin7" r:id="rId98" minRId="3068" maxRId="307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A415C6A-38BD-416D-8F12-5522DA3A5EA2}" dateTime="2018-08-07T14:35:25" maxSheetId="20" userName="Бухгалтер 1" r:id="rId99" minRId="310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1E2176D-2CB4-4091-89C2-D2E84899220B}" dateTime="2018-08-07T14:37:42" maxSheetId="20" userName="Бухгалтер 1" r:id="rId100" minRId="313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D5E4B08-2DD1-4E89-AC52-C334CF6DC9E0}" dateTime="2018-08-07T14:38:28" maxSheetId="20" userName="Бухгалтер 1" r:id="rId101" minRId="316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CEADFEA-1344-4A62-8964-0407BFA42B85}" dateTime="2018-08-07T14:38:42" maxSheetId="20" userName="Бухгалтер 1" r:id="rId10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33EC655-E77D-4127-A4C7-2DA9C4AFBA13}" dateTime="2018-08-07T14:40:15" maxSheetId="20" userName="morgau_fin7" r:id="rId10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122EE7B-A117-428F-A1FF-D176012C2BA6}" dateTime="2018-08-07T14:41:20" maxSheetId="20" userName="Бухгалтер 1" r:id="rId104" minRId="324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E11FDF3-E35B-4822-946C-87C19763ADB7}" dateTime="2018-08-07T14:41:36" maxSheetId="20" userName="Бухгалтер 1" r:id="rId10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6AD6F45-554A-4739-8582-24F73C9FFCA3}" dateTime="2018-08-07T14:43:25" maxSheetId="20" userName="Бухгалтер 1" r:id="rId106" minRId="3297" maxRId="330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30016E5-7513-473D-B1EB-AB34CB1AB4E6}" dateTime="2018-08-07T14:47:15" maxSheetId="20" userName="Бухгалтер 1" r:id="rId107" minRId="3336" maxRId="334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A60AC3C-CBE9-4DDE-930B-2B91A53538C8}" dateTime="2018-08-07T14:48:19" maxSheetId="20" userName="Бухгалтер 1" r:id="rId108" minRId="337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EFD68D7-CA54-4BD6-BDCF-B66F7A267CCB}" dateTime="2018-08-07T14:55:48" maxSheetId="20" userName="Бухгалтер 1" r:id="rId109" minRId="3402" maxRId="341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582BB8C-FF37-4C3D-81BB-07B32B94DC94}" dateTime="2018-08-07T14:56:49" maxSheetId="20" userName="Бухгалтер 1" r:id="rId110" minRId="344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F5DC6FD-443F-4716-8FC9-30E78AC83A25}" dateTime="2018-08-07T14:58:21" maxSheetId="20" userName="morgau_fin7" r:id="rId11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CD352B3-5ADF-4E92-BEA1-3BE1183F323C}" dateTime="2018-08-07T15:03:21" maxSheetId="20" userName="Бухгалтер 1" r:id="rId112" minRId="3496" maxRId="350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F79A192-4356-468F-AE51-73E080C59186}" dateTime="2018-08-07T15:12:56" maxSheetId="20" userName="Бухгалтер 1" r:id="rId113" minRId="3532" maxRId="355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76F571B-8B6A-494C-93EA-74DC052C30BB}" dateTime="2018-08-07T15:13:04" maxSheetId="20" userName="Бухгалтер 1" r:id="rId11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7435E0B-954A-4A1F-B4C5-362D8D523A97}" dateTime="2018-08-07T15:13:07" maxSheetId="20" userName="Бухгалтер 1" r:id="rId11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F217CAB-FFC8-4EDA-903A-C0F934218DF3}" dateTime="2018-08-07T15:13:16" maxSheetId="20" userName="Бухгалтер 1" r:id="rId11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4A56A88-369E-40BE-A510-EFC2B3C1CB6B}" dateTime="2018-08-07T15:14:54" maxSheetId="20" userName="Бухгалтер 1" r:id="rId11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414C8B2-DF77-4A7D-8D6E-15FD9FB48682}" dateTime="2018-08-07T15:14:57" maxSheetId="20" userName="Бухгалтер 1" r:id="rId11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7AC4377-C59C-40B6-B399-FE461A66ACDD}" dateTime="2018-08-07T15:15:05" maxSheetId="20" userName="Бухгалтер 1" r:id="rId11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A10F580-FDFA-42C0-8435-7FC624B023DA}" dateTime="2018-08-07T15:15:10" maxSheetId="20" userName="Бухгалтер 1" r:id="rId12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5B08F9D-97F1-4DC9-A8B5-A6006136E781}" dateTime="2018-08-07T15:15:18" maxSheetId="20" userName="Бухгалтер 1" r:id="rId12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F3F3577-94FD-4190-9441-8AE4F72B7BBB}" dateTime="2018-08-07T15:15:51" maxSheetId="20" userName="Бухгалтер 1" r:id="rId12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10829D7-D15A-4825-8C89-8B32D58EBBC4}" dateTime="2018-08-07T15:16:00" maxSheetId="20" userName="Бухгалтер 1" r:id="rId12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EAD733E-E743-4F00-BBE0-ED2F9C58184E}" dateTime="2018-08-07T15:17:24" maxSheetId="20" userName="Бухгалтер 1" r:id="rId124" minRId="384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BAC1898-55CE-4956-9147-12CD7073CC68}" dateTime="2018-08-07T15:17:37" maxSheetId="20" userName="Бухгалтер 1" r:id="rId12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6EED6E9-2E52-4D45-9AE3-CCF6FFB62726}" dateTime="2018-08-07T15:17:42" maxSheetId="20" userName="Бухгалтер 1" r:id="rId12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CC5AD56-D691-4611-8984-39F6D2A39EE4}" dateTime="2018-08-07T15:18:17" maxSheetId="20" userName="Бухгалтер 1" r:id="rId12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1036C04-AC03-4DE1-9AAC-8CF7FB5E0B88}" dateTime="2018-08-07T15:43:18" maxSheetId="20" userName="Бухгалтер 1" r:id="rId128" minRId="3958" maxRId="401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60041C4-1429-479F-93F9-AD0D7B749A48}" dateTime="2018-08-07T15:50:54" maxSheetId="20" userName="Бухгалтер 1" r:id="rId129" minRId="4044" maxRId="405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C5F3BB9-E660-402C-8EEC-0376983104DA}" dateTime="2018-08-07T15:51:15" maxSheetId="20" userName="Бухгалтер 1" r:id="rId130" minRId="4081" maxRId="408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DF2B12B-A827-4551-AF1D-C6904EAC88AA}" dateTime="2018-08-07T16:11:46" maxSheetId="20" userName="Бухгалтер 1" r:id="rId131" minRId="4111" maxRId="415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9644E40-07EA-4217-A0EC-01CFA736BC70}" dateTime="2018-08-07T16:13:53" maxSheetId="20" userName="Бухгалтер 1" r:id="rId132" minRId="4182" maxRId="419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DF04189-A9D9-4739-8C00-66F5017141CA}" dateTime="2018-08-07T16:19:40" maxSheetId="20" userName="Бухгалтер 1" r:id="rId133" minRId="4219" maxRId="423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7AB625E-40CB-448F-8476-3602B47D4829}" dateTime="2018-08-07T16:19:44" maxSheetId="20" userName="Бухгалтер 1" r:id="rId13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2E38D1B-C3A1-4DFF-A523-B43FD365BCAA}" dateTime="2018-08-07T16:20:35" maxSheetId="20" userName="Бухгалтер 1" r:id="rId135" minRId="4294" maxRId="429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B7DF6CF-DDC5-47C7-9BB2-071A39CDE226}" dateTime="2018-08-07T16:33:32" maxSheetId="20" userName="Бухгалтер 1" r:id="rId136" minRId="4324" maxRId="435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F4DB27A-2792-4442-B21A-E12CEC7851F0}" dateTime="2018-08-07T16:33:49" maxSheetId="20" userName="Бухгалтер 1" r:id="rId13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B12DB65-A4E8-4B53-8F8D-F657CFCCD994}" dateTime="2018-08-07T16:34:11" maxSheetId="20" userName="morgau_fin7" r:id="rId138" minRId="4410" maxRId="444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3BE42B6-D907-4FBB-8042-01717A54CB5B}" dateTime="2018-08-07T16:39:27" maxSheetId="20" userName="Бухгалтер 1" r:id="rId139" minRId="4472" maxRId="449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E21073C-455A-4840-B432-3A429FE84561}" dateTime="2018-08-07T16:44:59" maxSheetId="20" userName="Бухгалтер 1" r:id="rId140" minRId="4518" maxRId="454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A4FA0EA-8C00-462C-AADD-5256350DDCF9}" dateTime="2018-08-07T16:51:13" maxSheetId="20" userName="Бухгалтер 1" r:id="rId141" minRId="4570" maxRId="458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369B524-0A81-40A1-9904-7D329346ED49}" dateTime="2018-08-07T16:52:35" maxSheetId="20" userName="Бухгалтер 1" r:id="rId142" minRId="461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ACBF93C-7EDB-4D6D-BF2D-30F8342796DD}" dateTime="2018-08-07T16:52:58" maxSheetId="20" userName="Бухгалтер 1" r:id="rId143" minRId="464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DFE3C93-A443-4E96-A448-A61E01AA29B7}" dateTime="2018-08-07T16:53:36" maxSheetId="20" userName="morgau_fin7" r:id="rId144" minRId="4673" maxRId="470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59DDE6D-A40A-40F9-A965-305D7E8FDFC1}" dateTime="2018-08-07T16:55:11" maxSheetId="20" userName="morgau_fin7" r:id="rId145" minRId="472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88366A7-0655-40E8-A4E6-9FCAE1C50C36}" dateTime="2018-08-07T16:57:41" maxSheetId="20" userName="Бухгалтер 1" r:id="rId146" minRId="4757" maxRId="477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DEE1437-C7E8-4F11-9CF3-6708CDD6D609}" dateTime="2018-08-08T08:04:28" maxSheetId="20" userName="Бухгалтер 1" r:id="rId147" minRId="4806" maxRId="480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5095F91-8A91-4C35-B683-BCFE55EC709B}" dateTime="2018-08-08T08:04:55" maxSheetId="20" userName="Бухгалтер 1" r:id="rId148" minRId="483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8AE262E-7FF4-446A-8045-EE051B04A945}" dateTime="2018-08-08T08:05:00" maxSheetId="20" userName="Бухгалтер 1" r:id="rId14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927AE87-D638-45A1-BB2B-3505B3E5DE0B}" dateTime="2018-08-08T16:16:06" maxSheetId="20" userName="morgau_fin7" r:id="rId150" minRId="4892" maxRId="489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580A76F-3E97-474B-95C6-65633222CF2F}" dateTime="2018-08-09T13:09:10" maxSheetId="21" userName="morgau_fin7" r:id="rId151" minRId="4925" maxRId="5303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66F44425-7C27-4E31-BDCA-702A3D747A73}" dateTime="2018-08-09T13:55:23" maxSheetId="21" userName="morgau_fin7" r:id="rId152" minRId="5331" maxRId="5534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7A97F7A6-2D05-43F1-B3E7-764682639BF7}" dateTime="2018-08-09T13:56:52" maxSheetId="21" userName="morgau_fin7" r:id="rId153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37188B92-AC50-4491-8D01-2AC02753285B}" dateTime="2018-08-09T13:57:21" maxSheetId="21" userName="morgau_fin7" r:id="rId154" minRId="5589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6705E625-2FD0-4967-8064-E7A67CD00BA1}" dateTime="2018-08-09T13:57:34" maxSheetId="21" userName="morgau_fin7" r:id="rId155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F7C3A460-8694-4BA1-91A4-EB09189E8F7F}" dateTime="2018-08-09T14:09:05" maxSheetId="21" userName="morgau_fin7" r:id="rId156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6F48CDAD-68B8-48C3-BC38-108E8A99BCFA}" dateTime="2018-08-09T14:13:17" maxSheetId="21" userName="morgau_fin7" r:id="rId157" minRId="5671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92425D35-1668-443F-899B-691DE0AC3861}" dateTime="2018-08-09T14:13:24" maxSheetId="21" userName="morgau_fin7" r:id="rId158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B050DD7F-CE27-46D3-BC59-C0906EB39E51}" dateTime="2018-08-09T14:14:02" maxSheetId="21" userName="morgau_fin7" r:id="rId159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8A8E7DEA-0950-453B-A524-DB6DC83E3E3F}" dateTime="2018-08-09T14:14:18" maxSheetId="21" userName="morgau_fin7" r:id="rId160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087FFE38-A8AC-49E1-AC6E-F81E494CBA59}" dateTime="2018-08-09T14:15:14" maxSheetId="21" userName="morgau_fin7" r:id="rId161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F0D6C393-A491-4EF1-835B-155AE15F82A8}" dateTime="2018-08-09T14:25:04" maxSheetId="21" userName="morgau_fin7" r:id="rId162" minRId="5807" maxRId="5808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948999E0-2F32-4D10-B789-03A7502B4414}" dateTime="2018-08-09T14:38:43" maxSheetId="22" userName="morgau_fin7" r:id="rId163" minRId="5836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D97124DE-478A-4B63-B66A-8FB1A53E2678}" dateTime="2018-08-09T16:27:46" maxSheetId="22" userName="morgau_fin7" r:id="rId164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79F027D6-87D5-4076-A25A-5C795187D98D}" dateTime="2018-08-09T16:31:12" maxSheetId="22" userName="morgau_fin7" r:id="rId165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57E0E481-3234-4CEC-9805-F2196E32F058}" dateTime="2018-08-13T08:22:30" maxSheetId="22" userName="morgau_fin7" r:id="rId166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1AB4FE81-9255-4765-905F-4BD774889698}" dateTime="2018-08-22T09:01:48" maxSheetId="22" userName="morgau_fin7" r:id="rId167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417336A1-38DB-4E1C-BB7F-2D2A9266B237}" dateTime="2018-09-05T15:07:59" maxSheetId="22" userName="Бухгалтер 1" r:id="rId168" minRId="5977" maxRId="6032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7B705926-104C-40E7-8086-262858A75581}" dateTime="2018-09-05T15:10:35" maxSheetId="22" userName="Бухгалтер 1" r:id="rId169" minRId="6061" maxRId="6072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61570480-FF5F-427A-BE02-B1A7CF37C3C0}" dateTime="2018-09-05T15:11:41" maxSheetId="22" userName="Бухгалтер 1" r:id="rId170" minRId="6101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EE12C19E-5164-4934-89E3-B4977205703F}" dateTime="2018-09-05T15:11:46" maxSheetId="22" userName="Бухгалтер 1" r:id="rId171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585032FB-5644-4632-B634-E936FDE56D03}" dateTime="2018-09-05T15:14:06" maxSheetId="22" userName="Бухгалтер 1" r:id="rId172" minRId="6158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E5D2FFDE-A443-44FA-9B23-74BB962C7118}" dateTime="2018-09-05T15:14:16" maxSheetId="22" userName="Бухгалтер 1" r:id="rId173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26ED21E7-D7C0-4923-9718-680586F47CF3}" dateTime="2018-09-05T15:17:50" maxSheetId="22" userName="Бухгалтер 1" r:id="rId174" minRId="6215" maxRId="6220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FED51D87-5852-4898-BBC0-B81CB0D4BCCE}" dateTime="2018-09-05T15:19:13" maxSheetId="22" userName="Бухгалтер 1" r:id="rId175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DDDE6587-6AC5-4FE5-9A67-2A2945111993}" dateTime="2018-09-05T15:20:29" maxSheetId="22" userName="Бухгалтер 1" r:id="rId176" minRId="6277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6746E5E9-E05A-4FFA-83BB-6643A710B946}" dateTime="2018-09-05T15:35:34" maxSheetId="22" userName="Бухгалтер 1" r:id="rId177" minRId="6306" maxRId="6318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C2DA66DB-6BDA-4552-B402-0D4D8D294C07}" dateTime="2018-09-05T15:40:41" maxSheetId="22" userName="Бухгалтер 1" r:id="rId178" minRId="6347" maxRId="6352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3A8BDD27-0859-4675-BAA4-E50A483EDCF2}" dateTime="2018-09-05T15:41:41" maxSheetId="22" userName="Бухгалтер 1" r:id="rId179" minRId="6381" maxRId="6382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663AB7FD-0034-48E8-8932-99EE773E9463}" dateTime="2018-09-05T15:41:49" maxSheetId="22" userName="Бухгалтер 1" r:id="rId180" minRId="6411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B5E79F52-E3CD-42AD-A033-71604ADC3D01}" dateTime="2018-09-05T15:42:08" maxSheetId="22" userName="Бухгалтер 1" r:id="rId181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06E444F4-D8F8-4298-9BD7-5C62E787912E}" dateTime="2018-09-05T16:02:44" maxSheetId="22" userName="Бухгалтер 1" r:id="rId182" minRId="6468" maxRId="6484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F8C99391-39FA-409B-BBA6-3EFA0FD90AC3}" dateTime="2018-09-05T16:03:45" maxSheetId="22" userName="Бухгалтер 1" r:id="rId183" minRId="6513" maxRId="6517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3706E375-E2A3-4779-8E09-62EF5B53FB56}" dateTime="2018-09-05T16:08:59" maxSheetId="22" userName="Бухгалтер 1" r:id="rId184" minRId="6546" maxRId="6552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A8E85001-FEC8-4F24-B2F2-D083943E0218}" dateTime="2018-09-05T16:09:15" maxSheetId="22" userName="Бухгалтер 1" r:id="rId185" minRId="6581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4380C47A-88D2-48C1-8B6A-3F916B77056E}" dateTime="2018-09-05T16:12:40" maxSheetId="22" userName="Бухгалтер 1" r:id="rId186" minRId="6610" maxRId="6619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C3B8B6D2-8F19-4F8F-884E-4A41735CCFFC}" dateTime="2018-09-05T16:12:46" maxSheetId="22" userName="Бухгалтер 1" r:id="rId187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7F02E3E3-CAEC-49C5-9D2D-381349F9343A}" dateTime="2018-09-05T16:12:52" maxSheetId="22" userName="Бухгалтер 1" r:id="rId188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21988E2E-1164-460E-9DF8-CC272468D988}" dateTime="2018-09-05T16:12:58" maxSheetId="22" userName="Бухгалтер 1" r:id="rId189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5A6AB826-804E-426C-AA1E-AB9568E87ED1}" dateTime="2018-09-05T16:20:10" maxSheetId="22" userName="Бухгалтер 1" r:id="rId190" minRId="6732" maxRId="6746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266B15DF-FD8C-44DE-8546-9E9865F81443}" dateTime="2018-09-06T08:56:31" maxSheetId="22" userName="Бухгалтер 1" r:id="rId191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13D0084F-2786-4038-86DE-F38467529774}" dateTime="2018-09-06T09:26:00" maxSheetId="22" userName="morgau_fin2" r:id="rId192" minRId="6803" maxRId="6813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7AE2DF93-40EB-4120-9C97-0A4DE5B7866B}" dateTime="2018-09-06T09:27:03" maxSheetId="22" userName="morgau_fin2" r:id="rId193" minRId="6842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670AF66C-5C84-415D-96D4-7ADD469C8601}" dateTime="2018-09-06T09:31:35" maxSheetId="22" userName="morgau_fin2" r:id="rId194" minRId="6843" maxRId="6848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F1AC6D70-65F3-4C1A-ADDB-BFF81E3CC0D9}" dateTime="2018-09-06T09:33:42" maxSheetId="22" userName="morgau_fin2" r:id="rId195" minRId="6849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05CF237D-CEBA-41FF-8B4A-054A1C23442E}" dateTime="2018-09-06T09:38:52" maxSheetId="22" userName="morgau_fin2" r:id="rId196" minRId="6850" maxRId="6860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DF92BDD2-416C-4D25-9931-C7E759CC41D6}" dateTime="2018-09-06T09:40:06" maxSheetId="22" userName="morgau_fin2" r:id="rId197" minRId="6861" maxRId="6862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09E289C7-31C1-499C-B2B0-17E6BE59AEF3}" dateTime="2018-09-06T09:41:49" maxSheetId="22" userName="morgau_fin2" r:id="rId198" minRId="6891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D4773597-B4E7-4817-B5DB-AFEBCA414DF2}" dateTime="2018-09-06T09:45:12" maxSheetId="22" userName="morgau_fin2" r:id="rId199" minRId="6920" maxRId="6922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90F03721-B789-47ED-BDD8-0F38319A41BA}" dateTime="2018-09-06T09:45:54" maxSheetId="22" userName="morgau_fin2" r:id="rId200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E4008D7F-7866-4916-BD30-31E74167D87D}" dateTime="2018-09-06T09:51:33" maxSheetId="22" userName="morgau_fin2" r:id="rId201" minRId="6979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4ED57200-6B12-421F-8D17-2178B4AEE218}" dateTime="2018-09-06T10:05:52" maxSheetId="22" userName="morgau_fin2" r:id="rId202" minRId="7008" maxRId="7009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E0357D9E-5B4C-4187-9F8B-1444574F7560}" dateTime="2018-09-06T10:07:09" maxSheetId="22" userName="morgau_fin2" r:id="rId203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55C16CCC-35AC-434A-BDA7-7F8EFFC4A9D4}" dateTime="2018-09-06T10:10:17" maxSheetId="22" userName="morgau_fin2" r:id="rId204" minRId="7066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B890D0A7-BB6D-4257-AB76-B1C90BF146AF}" dateTime="2018-09-06T10:13:34" maxSheetId="22" userName="morgau_fin2" r:id="rId205" minRId="7095" maxRId="7107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5049BCF6-EEC3-4A0B-A5F7-CF9530A50505}" dateTime="2018-09-06T10:13:45" maxSheetId="22" userName="morgau_fin2" r:id="rId206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B407747E-CDC5-4D52-B94F-60FFA6BD04F5}" dateTime="2018-09-06T10:19:45" maxSheetId="22" userName="morgau_fin2" r:id="rId207" minRId="7164" maxRId="7170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82AB199E-FEEF-468A-AAAF-25DE1BAB16D9}" dateTime="2018-09-06T10:20:09" maxSheetId="22" userName="morgau_fin2" r:id="rId208" minRId="7199" maxRId="7200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FF7531F3-DE0A-4BA7-B6C2-597E7A73B59A}" dateTime="2018-09-06T10:20:56" maxSheetId="22" userName="morgau_fin2" r:id="rId209" minRId="7229" maxRId="7230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B8715977-37BD-4900-A9D6-DB02C5F6764E}" dateTime="2018-09-06T10:22:29" maxSheetId="22" userName="morgau_fin2" r:id="rId210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EDC82C79-8469-4681-AF0C-12099F543ED2}" dateTime="2018-09-06T10:36:03" maxSheetId="22" userName="morgau_fin2" r:id="rId211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7FE08DE0-C97C-4B82-A34D-597319A726DB}" dateTime="2018-09-06T10:43:11" maxSheetId="22" userName="morgau_fin2" r:id="rId212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116F5A63-177D-43CF-BA8D-16FDEEF9B511}" dateTime="2018-09-06T10:48:21" maxSheetId="22" userName="morgau_fin2" r:id="rId213" minRId="7343" maxRId="7356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021486B9-F291-4F9D-BB2E-61B5462969F7}" dateTime="2018-09-06T11:06:21" maxSheetId="22" userName="morgau_fin2" r:id="rId214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CFAB669E-37CF-4253-8E65-C7285AC5F389}" dateTime="2018-09-06T11:10:13" maxSheetId="22" userName="morgau_fin2" r:id="rId215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09374D2F-73A8-43D5-83DC-74D3FE0C0C07}" dateTime="2018-09-06T11:26:16" maxSheetId="22" userName="morgau_fin2" r:id="rId216" minRId="7441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DF3A6955-7F63-41AF-9FED-484984530F9A}" dateTime="2018-09-06T11:28:12" maxSheetId="22" userName="morgau_fin2" r:id="rId217" minRId="7470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D056A282-48E6-4B62-9B67-7C12332E4166}" dateTime="2018-09-06T11:28:50" maxSheetId="22" userName="morgau_fin2" r:id="rId218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E6AB87AF-3C3C-4ADC-B47E-0C04AC08C33D}" dateTime="2018-09-06T11:34:03" maxSheetId="22" userName="morgau_fin2" r:id="rId219" minRId="7527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1C8CF77C-8A30-44BA-8490-5AB746ED8969}" dateTime="2018-09-06T11:36:44" maxSheetId="22" userName="morgau_fin2" r:id="rId220" minRId="7556" maxRId="7565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8C70B352-1ADE-4C79-953D-5ED23F1F66E5}" dateTime="2018-09-06T11:38:04" maxSheetId="22" userName="morgau_fin2" r:id="rId221" minRId="7594" maxRId="7596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8CB9D21A-D547-446A-8DA1-C12FBEE9E972}" dateTime="2018-09-06T11:47:21" maxSheetId="22" userName="morgau_fin2" r:id="rId222" minRId="7625" maxRId="7636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EE4E2514-C701-4C65-BF9E-3FB28E1883DB}" dateTime="2018-09-06T11:48:47" maxSheetId="22" userName="morgau_fin2" r:id="rId223" minRId="7665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1611E463-09EF-490A-BB70-DF5BEDE27E49}" dateTime="2018-09-06T11:50:28" maxSheetId="22" userName="morgau_fin2" r:id="rId224" minRId="7694" maxRId="7695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7047DBB1-0F21-4CD4-9306-87F6C35E820D}" dateTime="2018-09-06T11:51:26" maxSheetId="22" userName="morgau_fin2" r:id="rId225" minRId="7724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431B4A5B-8A62-4534-8617-40B92524BAE9}" dateTime="2018-09-06T11:51:48" maxSheetId="22" userName="morgau_fin2" r:id="rId226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5B8547C7-1F50-48CD-9CC3-624AF30FDE01}" dateTime="2018-09-06T11:52:52" maxSheetId="22" userName="morgau_fin2" r:id="rId227" minRId="7781" maxRId="7782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765FE297-DB5B-47DC-A602-94E0F256D273}" dateTime="2018-09-06T11:53:14" maxSheetId="22" userName="morgau_fin2" r:id="rId228" minRId="7811" maxRId="7812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ED66FCC5-1857-4781-87FD-6B04D5467B80}" dateTime="2018-09-06T11:54:01" maxSheetId="22" userName="morgau_fin2" r:id="rId229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3E1BC2F7-6219-4A83-A8D4-6D1DAF1DD77B}" dateTime="2018-09-06T11:54:27" maxSheetId="22" userName="morgau_fin2" r:id="rId230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15C30075-F236-4A71-BE46-42EAD80D865A}" dateTime="2018-09-06T11:55:18" maxSheetId="22" userName="morgau_fin2" r:id="rId231" minRId="7897" maxRId="7898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146294D9-F250-4A92-81C3-4EE9B60554E3}" dateTime="2018-09-06T11:56:08" maxSheetId="22" userName="morgau_fin2" r:id="rId232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7BD2D05A-EBFE-4ED6-A21A-7C4AE0791937}" dateTime="2018-09-06T11:56:27" maxSheetId="22" userName="morgau_fin2" r:id="rId233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CAC8A6DC-FDE4-4E87-912C-0344C9180700}" dateTime="2018-09-06T11:57:50" maxSheetId="22" userName="morgau_fin2" r:id="rId234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412094C4-A080-48E7-83DD-98B3DAD11D74}" dateTime="2018-09-06T13:12:03" maxSheetId="22" userName="morgau_fin2" r:id="rId235" minRId="8011" maxRId="8013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FBF39DED-006D-4374-B484-4BBF404E5F11}" dateTime="2018-09-06T13:12:12" maxSheetId="22" userName="morgau_fin2" r:id="rId236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274C3099-AFCF-4FAF-95AA-99910A01BCDD}" dateTime="2018-09-06T13:15:04" maxSheetId="22" userName="morgau_fin2" r:id="rId237" minRId="8070" maxRId="8072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BAE8A46C-D7B2-440C-A223-3E3F0AB1F59F}" dateTime="2018-09-06T13:16:25" maxSheetId="22" userName="morgau_fin2" r:id="rId238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F77F3F37-F3B3-401C-818E-599D718AA0B3}" dateTime="2018-09-06T13:17:21" maxSheetId="22" userName="morgau_fin2" r:id="rId239" minRId="8129" maxRId="8133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F0E42F7F-FC8B-47C4-85D1-FBB12C1264B7}" dateTime="2018-09-06T13:17:35" maxSheetId="22" userName="morgau_fin2" r:id="rId240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201D3F95-37D2-4DD5-B25B-D55037F1C5AE}" dateTime="2018-09-06T13:18:44" maxSheetId="22" userName="morgau_fin2" r:id="rId241" minRId="8190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CBFBE950-0FF2-45C0-BF68-29A3762891D5}" dateTime="2018-09-06T13:21:17" maxSheetId="22" userName="morgau_fin2" r:id="rId242" minRId="8219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5454569E-9A86-44CA-9C23-4E41A3C0DAC1}" dateTime="2018-09-06T13:21:35" maxSheetId="22" userName="Бухгалтер 1" r:id="rId243" minRId="8248" maxRId="8317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293461DB-66B2-4B3C-A908-5CF11B1CDC28}" dateTime="2018-09-06T13:24:24" maxSheetId="22" userName="morgau_fin2" r:id="rId244" minRId="8346" maxRId="8349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E50AD282-9569-4B0B-B0C2-01A6955C14B2}" dateTime="2018-09-06T13:24:49" maxSheetId="22" userName="morgau_fin2" r:id="rId245" minRId="8378" maxRId="8379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7BE7A213-3BF5-4FFC-9E05-B261D73F2487}" dateTime="2018-09-06T13:27:15" maxSheetId="22" userName="morgau_fin2" r:id="rId246" minRId="8408" maxRId="8411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7EFCF3AB-293B-4CB7-96B1-0EC6A2A170DA}" dateTime="2018-09-06T13:27:41" maxSheetId="22" userName="morgau_fin2" r:id="rId247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CD5E9921-1043-4AFE-827D-2E18AE4317A1}" dateTime="2018-09-06T13:35:36" maxSheetId="22" userName="Бухгалтер 1" r:id="rId248" minRId="8468" maxRId="8499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9FE10965-E0C1-4913-B7D5-8A1630DD0FBE}" dateTime="2018-09-06T13:35:44" maxSheetId="22" userName="morgau_fin2" r:id="rId249" minRId="8528" maxRId="8532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EE9B316C-FF92-4730-8C0D-FFA01A8220B2}" dateTime="2018-09-06T13:36:37" maxSheetId="22" userName="morgau_fin2" r:id="rId250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220D2B65-3D73-44C1-879E-92952158993E}" dateTime="2018-09-06T13:37:21" maxSheetId="22" userName="morgau_fin2" r:id="rId251" minRId="8589" maxRId="8591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48349441-086E-4A1E-81EB-792EF29010EC}" dateTime="2018-09-06T13:39:00" maxSheetId="22" userName="morgau_fin2" r:id="rId252" minRId="8620" maxRId="8622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4E25838D-C8BB-4005-8D0D-2557627333C8}" dateTime="2018-09-06T13:39:55" maxSheetId="22" userName="morgau_fin2" r:id="rId253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21A9B59C-0213-4278-96DF-F3829C84C788}" dateTime="2018-09-06T13:42:23" maxSheetId="22" userName="morgau_fin2" r:id="rId254" minRId="8679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A7E425FC-0E61-474F-A718-44CF02A02803}" dateTime="2018-09-06T13:44:59" maxSheetId="22" userName="morgau_fin2" r:id="rId255" minRId="8708" maxRId="8713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62D3FB60-4A4C-445E-B84C-2BA3AE4B8149}" dateTime="2018-09-06T13:46:16" maxSheetId="22" userName="Бухгалтер 1" r:id="rId256" minRId="8742" maxRId="8771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9D11F379-6D94-4D04-92B0-ABB0971D72DE}" dateTime="2018-09-06T13:49:27" maxSheetId="22" userName="Бухгалтер 1" r:id="rId257" minRId="8800" maxRId="8811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A336D767-8B41-408F-BA05-5CEA3606775A}" dateTime="2018-09-06T14:00:36" maxSheetId="22" userName="Бухгалтер 1" r:id="rId258" minRId="8840" maxRId="8876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331C5630-5A41-4812-972C-3B0233A29FED}" dateTime="2018-09-06T14:01:33" maxSheetId="22" userName="Бухгалтер 1" r:id="rId259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625A0A02-C40C-4CEC-859A-6BB3C7DAF14B}" dateTime="2018-09-06T14:02:49" maxSheetId="22" userName="Бухгалтер 1" r:id="rId260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51D5C4C8-ED8E-4867-A296-C7C82067791E}" dateTime="2018-09-06T14:03:35" maxSheetId="22" userName="Бухгалтер 1" r:id="rId261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02661BDD-CC0A-41D8-8F36-B54D84F8F744}" dateTime="2018-09-06T14:20:47" maxSheetId="22" userName="Бухгалтер 1" r:id="rId262" minRId="8989" maxRId="8991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044971BB-7F81-43E3-9DFF-59CAB93EBB43}" dateTime="2018-09-06T14:22:37" maxSheetId="22" userName="Бухгалтер 1" r:id="rId263" minRId="9020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E806DA6E-1824-452D-A6E2-03574374B71D}" dateTime="2018-09-06T14:22:49" maxSheetId="22" userName="Бухгалтер 1" r:id="rId264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6B2F659E-3CA9-4FC6-B551-1B0ABAB00C8C}" dateTime="2018-09-06T14:23:01" maxSheetId="22" userName="Бухгалтер 1" r:id="rId265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6D06D3B1-204E-42C5-A676-1A4BE33E36DF}" dateTime="2018-09-06T14:25:25" maxSheetId="22" userName="Бухгалтер 1" r:id="rId266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626351EE-EBC0-4774-B576-EC96E72F80A2}" dateTime="2018-09-06T14:25:46" maxSheetId="22" userName="Бухгалтер 1" r:id="rId267" minRId="9133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808B852E-74DB-4608-8034-35327DD00035}" dateTime="2018-09-06T14:27:43" maxSheetId="22" userName="Бухгалтер 1" r:id="rId268" minRId="9162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D0E6A7E5-3027-442D-AF57-E63259FF0025}" dateTime="2018-09-06T14:30:36" maxSheetId="22" userName="Бухгалтер 1" r:id="rId269" minRId="9191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C85659DB-D4A4-45B5-A148-CC57DFFA985C}" dateTime="2018-09-06T14:33:26" maxSheetId="22" userName="Бухгалтер 1" r:id="rId270" minRId="9220" maxRId="9223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A678FA31-C213-4397-85E4-FFA4564FBC75}" dateTime="2018-09-06T14:34:32" maxSheetId="22" userName="Бухгалтер 1" r:id="rId271" minRId="9252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6B09DBAF-0971-442B-BC92-83D24D541958}" dateTime="2018-09-06T14:35:20" maxSheetId="22" userName="Бухгалтер 1" r:id="rId272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8B9FCF3E-1AC1-45C2-98EF-E927E636394B}" dateTime="2018-09-06T14:36:09" maxSheetId="22" userName="Бухгалтер 1" r:id="rId273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799AA6EA-8B85-4776-8778-8C974F21F855}" dateTime="2018-09-06T14:37:01" maxSheetId="22" userName="Бухгалтер 1" r:id="rId274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97B68277-7B36-44AF-B397-BFB2DDB6E9AD}" dateTime="2018-09-06T14:38:24" maxSheetId="22" userName="Бухгалтер 1" r:id="rId275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0305C0C9-4F08-4B09-9CFD-E4CC03A51244}" dateTime="2018-09-06T14:39:02" maxSheetId="22" userName="Бухгалтер 1" r:id="rId276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C6BB0B98-91DC-44CA-88FF-7B39000C543E}" dateTime="2018-09-06T14:44:45" maxSheetId="22" userName="Бухгалтер 1" r:id="rId277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1ABBD915-6F8E-44D6-AA4C-B753F0EC67C6}" dateTime="2018-09-06T14:46:37" maxSheetId="22" userName="Бухгалтер 1" r:id="rId278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FE14336F-0E9C-4ED9-934A-BCD775B84B3E}" dateTime="2018-09-06T14:49:35" maxSheetId="22" userName="Бухгалтер 1" r:id="rId279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c rId="9191" sId="15" numFmtId="34">
    <nc r="D61">
      <v>32.152000000000001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cc rId="1420" sId="18" numFmtId="4">
    <oc r="D39">
      <v>-4.2979999999999997E-2</v>
    </oc>
    <nc r="D39">
      <v>0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cc rId="1392" sId="18">
    <oc r="D25">
      <f>D26+D30+D32+D37+D35</f>
    </oc>
    <nc r="D25">
      <f>D30+D37+D26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1012.xml><?xml version="1.0" encoding="utf-8"?>
<revisions xmlns="http://schemas.openxmlformats.org/spreadsheetml/2006/main" xmlns:r="http://schemas.openxmlformats.org/officeDocument/2006/relationships">
  <rfmt sheetId="15" sqref="D41">
    <dxf>
      <numFmt numFmtId="2" formatCode="0.00"/>
    </dxf>
  </rfmt>
  <rfmt sheetId="15" sqref="D41">
    <dxf>
      <numFmt numFmtId="187" formatCode="0.000"/>
    </dxf>
  </rfmt>
  <rfmt sheetId="15" sqref="D41">
    <dxf>
      <numFmt numFmtId="175" formatCode="0.0000"/>
    </dxf>
  </rfmt>
  <rfmt sheetId="15" sqref="D41">
    <dxf>
      <numFmt numFmtId="168" formatCode="0.00000"/>
    </dxf>
  </rfmt>
  <rfmt sheetId="15" sqref="D41">
    <dxf>
      <numFmt numFmtId="174" formatCode="0.000000"/>
    </dxf>
  </rfmt>
  <rfmt sheetId="15" sqref="D41">
    <dxf>
      <numFmt numFmtId="178" formatCode="0.0000000"/>
    </dxf>
  </rfmt>
  <rfmt sheetId="15" sqref="D41">
    <dxf>
      <numFmt numFmtId="174" formatCode="0.000000"/>
    </dxf>
  </rfmt>
  <rfmt sheetId="15" sqref="D41">
    <dxf>
      <numFmt numFmtId="168" formatCode="0.00000"/>
    </dxf>
  </rfmt>
  <rfmt sheetId="15" sqref="D41">
    <dxf>
      <numFmt numFmtId="175" formatCode="0.0000"/>
    </dxf>
  </rfmt>
  <rcc rId="7665" sId="15" numFmtId="4">
    <oc r="D28">
      <v>17.34</v>
    </oc>
    <nc r="D28">
      <v>17.340800000000002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0121.xml><?xml version="1.0" encoding="utf-8"?>
<revisions xmlns="http://schemas.openxmlformats.org/spreadsheetml/2006/main" xmlns:r="http://schemas.openxmlformats.org/officeDocument/2006/relationships">
  <rcc rId="7343" sId="16" numFmtId="4">
    <oc r="D6">
      <v>69.70487</v>
    </oc>
    <nc r="D6">
      <v>78.698899999999995</v>
    </nc>
  </rcc>
  <rcc rId="7344" sId="16" numFmtId="4">
    <oc r="D8">
      <v>124.9084</v>
    </oc>
    <nc r="D8">
      <v>146.7621</v>
    </nc>
  </rcc>
  <rcc rId="7345" sId="16" numFmtId="4">
    <oc r="D9">
      <v>1.0243800000000001</v>
    </oc>
    <nc r="D9">
      <v>1.25745</v>
    </nc>
  </rcc>
  <rcc rId="7346" sId="16" numFmtId="4">
    <oc r="D10">
      <v>190.31816000000001</v>
    </oc>
    <nc r="D10">
      <v>222.48813000000001</v>
    </nc>
  </rcc>
  <rcc rId="7347" sId="16" numFmtId="4">
    <oc r="D11">
      <v>-26.288219999999999</v>
    </oc>
    <nc r="D11">
      <v>-34.214979999999997</v>
    </nc>
  </rcc>
  <rcc rId="7348" sId="16" numFmtId="4">
    <oc r="D15">
      <v>46.945399999999999</v>
    </oc>
    <nc r="D15">
      <v>87.232789999999994</v>
    </nc>
  </rcc>
  <rcc rId="7349" sId="16" numFmtId="4">
    <oc r="D16">
      <v>467.70350999999999</v>
    </oc>
    <nc r="D16">
      <v>766.45132000000001</v>
    </nc>
  </rcc>
  <rcc rId="7350" sId="16" numFmtId="4">
    <oc r="D18">
      <v>5.9</v>
    </oc>
    <nc r="D18">
      <v>6.95</v>
    </nc>
  </rcc>
  <rcc rId="7351" sId="16" numFmtId="4">
    <oc r="D27">
      <v>38.857999999999997</v>
    </oc>
    <nc r="D27">
      <v>40.216999999999999</v>
    </nc>
  </rcc>
  <rcc rId="7352" sId="16" numFmtId="4">
    <oc r="D28">
      <v>23.623249999999999</v>
    </oc>
    <nc r="D28">
      <v>24.978000000000002</v>
    </nc>
  </rcc>
  <rcc rId="7353" sId="16" numFmtId="4">
    <oc r="D30">
      <v>47.197670000000002</v>
    </oc>
    <nc r="D30">
      <v>48.231670000000001</v>
    </nc>
  </rcc>
  <rcc rId="7354" sId="16" numFmtId="4">
    <oc r="D41">
      <v>683.005</v>
    </oc>
    <nc r="D41">
      <v>722.63099999999997</v>
    </nc>
  </rcc>
  <rcc rId="7355" sId="16" numFmtId="4">
    <oc r="D43">
      <v>48.427</v>
    </oc>
    <nc r="D43">
      <v>335.63900000000001</v>
    </nc>
  </rcc>
  <rcc rId="7356" sId="16" numFmtId="4">
    <oc r="D44">
      <v>47.426000000000002</v>
    </oc>
    <nc r="D44">
      <v>59.305999999999997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01211.xml><?xml version="1.0" encoding="utf-8"?>
<revisions xmlns="http://schemas.openxmlformats.org/spreadsheetml/2006/main" xmlns:r="http://schemas.openxmlformats.org/officeDocument/2006/relationships">
  <rcc rId="1448" sId="18">
    <oc r="G52">
      <f>D52-2544.01908</f>
    </oc>
    <nc r="G52"/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102.xml><?xml version="1.0" encoding="utf-8"?>
<revisions xmlns="http://schemas.openxmlformats.org/spreadsheetml/2006/main" xmlns:r="http://schemas.openxmlformats.org/officeDocument/2006/relationships"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021.xml><?xml version="1.0" encoding="utf-8"?>
<revisions xmlns="http://schemas.openxmlformats.org/spreadsheetml/2006/main" xmlns:r="http://schemas.openxmlformats.org/officeDocument/2006/relationships">
  <rcc rId="7229" sId="17" numFmtId="34">
    <oc r="D100">
      <v>3995.0082000000002</v>
    </oc>
    <nc r="D100"/>
  </rcc>
  <rcc rId="7230" sId="17">
    <oc r="E100">
      <f>D100-D98</f>
    </oc>
    <nc r="E100"/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02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03.xml><?xml version="1.0" encoding="utf-8"?>
<revisions xmlns="http://schemas.openxmlformats.org/spreadsheetml/2006/main" xmlns:r="http://schemas.openxmlformats.org/officeDocument/2006/relationships">
  <rcc rId="8248" sId="9" numFmtId="4">
    <oc r="D6">
      <v>666.57579999999996</v>
    </oc>
    <nc r="D6">
      <v>779.73883999999998</v>
    </nc>
  </rcc>
  <rcc rId="8249" sId="9" numFmtId="4">
    <oc r="D8">
      <v>166.18709000000001</v>
    </oc>
    <nc r="D8">
      <v>195.26283000000001</v>
    </nc>
  </rcc>
  <rcc rId="8250" sId="9" numFmtId="4">
    <oc r="D9">
      <v>1.36293</v>
    </oc>
    <nc r="D9">
      <v>1.67303</v>
    </nc>
  </rcc>
  <rcc rId="8251" sId="9" numFmtId="4">
    <oc r="D10">
      <v>253.21305000000001</v>
    </oc>
    <nc r="D10">
      <v>296.01429000000002</v>
    </nc>
  </rcc>
  <rcc rId="8252" sId="9" numFmtId="4">
    <oc r="D11">
      <v>-34.975760000000001</v>
    </oc>
    <nc r="D11">
      <v>-45.522100000000002</v>
    </nc>
  </rcc>
  <rcc rId="8253" sId="9" numFmtId="4">
    <oc r="D15">
      <v>12.242660000000001</v>
    </oc>
    <nc r="D15">
      <v>47.214689999999997</v>
    </nc>
  </rcc>
  <rcc rId="8254" sId="9" numFmtId="4">
    <oc r="D16">
      <v>1206.6349600000001</v>
    </oc>
    <nc r="D16">
      <v>1586.6713099999999</v>
    </nc>
  </rcc>
  <rcc rId="8255" sId="9" numFmtId="4">
    <oc r="D18">
      <v>5.95</v>
    </oc>
    <nc r="D18">
      <v>6.45</v>
    </nc>
  </rcc>
  <rcc rId="8256" sId="9" numFmtId="4">
    <oc r="D41">
      <v>4.774</v>
    </oc>
    <nc r="D41">
      <v>5.202</v>
    </nc>
  </rcc>
  <rcc rId="8257" sId="9" numFmtId="4">
    <oc r="D43">
      <v>232.65264999999999</v>
    </oc>
    <nc r="D43">
      <v>323.24786999999998</v>
    </nc>
  </rcc>
  <rcc rId="8258" sId="9" numFmtId="4">
    <oc r="D45">
      <v>99.724000000000004</v>
    </oc>
    <nc r="D45">
      <v>125.104</v>
    </nc>
  </rcc>
  <rcc rId="8259" sId="9" numFmtId="34">
    <oc r="D58">
      <v>1007.7795</v>
    </oc>
    <nc r="D58">
      <v>1135.45577</v>
    </nc>
  </rcc>
  <rcc rId="8260" sId="9" numFmtId="34">
    <nc r="D61">
      <v>16.698</v>
    </nc>
  </rcc>
  <rcc rId="8261" sId="9" numFmtId="34">
    <oc r="D65">
      <v>83.478849999999994</v>
    </oc>
    <nc r="D65">
      <v>101.55576000000001</v>
    </nc>
  </rcc>
  <rcc rId="8262" sId="9" numFmtId="34">
    <oc r="D74">
      <v>520.08961999999997</v>
    </oc>
    <nc r="D74">
      <v>610.68484000000001</v>
    </nc>
  </rcc>
  <rcc rId="8263" sId="9" numFmtId="34">
    <oc r="D79">
      <v>444.59690999999998</v>
    </oc>
    <nc r="D79">
      <v>453.01116999999999</v>
    </nc>
  </rcc>
  <rcc rId="8264" sId="9" numFmtId="34">
    <oc r="D82">
      <v>464.2</v>
    </oc>
    <nc r="D82">
      <v>556.5</v>
    </nc>
  </rcc>
  <rcc rId="8265" sId="10" numFmtId="4">
    <oc r="D6">
      <v>120.92672</v>
    </oc>
    <nc r="D6">
      <v>147.04988</v>
    </nc>
  </rcc>
  <rcc rId="8266" sId="10" numFmtId="4">
    <oc r="D8">
      <v>106.14530999999999</v>
    </oc>
    <nc r="D8">
      <v>124.71626000000001</v>
    </nc>
  </rcc>
  <rcc rId="8267" sId="10" numFmtId="4">
    <oc r="D9">
      <v>0.87053999999999998</v>
    </oc>
    <nc r="D9">
      <v>1.06863</v>
    </nc>
  </rcc>
  <rcc rId="8268" sId="10" numFmtId="4">
    <oc r="D10">
      <v>161.72958</v>
    </oc>
    <nc r="D10">
      <v>189.06715</v>
    </nc>
  </rcc>
  <rcc rId="8269" sId="10" numFmtId="4">
    <oc r="D11">
      <v>-22.339390000000002</v>
    </oc>
    <nc r="D11">
      <v>-29.07545</v>
    </nc>
  </rcc>
  <rcc rId="8270" sId="10" numFmtId="4">
    <oc r="D15">
      <v>17.93777</v>
    </oc>
    <nc r="D15">
      <v>54.549169999999997</v>
    </nc>
  </rcc>
  <rcc rId="8271" sId="10" numFmtId="4">
    <oc r="D16">
      <v>205.96367000000001</v>
    </oc>
    <nc r="D16">
      <v>515.42993000000001</v>
    </nc>
  </rcc>
  <rcc rId="8272" sId="10" numFmtId="4">
    <oc r="D18">
      <v>2.97</v>
    </oc>
    <nc r="D18">
      <v>4.01</v>
    </nc>
  </rcc>
  <rcc rId="8273" sId="10" numFmtId="4">
    <oc r="D28">
      <v>31.5</v>
    </oc>
    <nc r="D28">
      <v>36</v>
    </nc>
  </rcc>
  <rcc rId="8274" sId="10" numFmtId="4">
    <oc r="D41">
      <v>907.55799999999999</v>
    </oc>
    <nc r="D41">
      <v>988.90200000000004</v>
    </nc>
  </rcc>
  <rcc rId="8275" sId="10" numFmtId="4">
    <oc r="D45">
      <v>99.724000000000004</v>
    </oc>
    <nc r="D45">
      <v>125.104</v>
    </nc>
  </rcc>
  <rcc rId="8276" sId="10" numFmtId="34">
    <oc r="D58">
      <v>611.30350999999996</v>
    </oc>
    <nc r="D58">
      <v>753.82664</v>
    </nc>
  </rcc>
  <rcc rId="8277" sId="10" numFmtId="34">
    <oc r="D65">
      <v>69.434780000000003</v>
    </oc>
    <nc r="D65">
      <v>85.169780000000003</v>
    </nc>
  </rcc>
  <rcc rId="8278" sId="10" numFmtId="34">
    <oc r="D69">
      <v>0</v>
    </oc>
    <nc r="D69">
      <v>1.9650000000000001</v>
    </nc>
  </rcc>
  <rcc rId="8279" sId="10" numFmtId="34">
    <oc r="D70">
      <v>3.5</v>
    </oc>
    <nc r="D70">
      <v>5</v>
    </nc>
  </rcc>
  <rcc rId="8280" sId="10" numFmtId="34">
    <oc r="D74">
      <v>1394.345</v>
    </oc>
    <nc r="D74">
      <v>1521.2439999999999</v>
    </nc>
  </rcc>
  <rcc rId="8281" sId="10" numFmtId="34">
    <oc r="D75">
      <v>2.4</v>
    </oc>
    <nc r="D75">
      <v>9.85</v>
    </nc>
  </rcc>
  <rcc rId="8282" sId="10" numFmtId="34">
    <oc r="D79">
      <v>601.57722000000001</v>
    </oc>
    <nc r="D79">
      <v>738.38620000000003</v>
    </nc>
  </rcc>
  <rcc rId="8283" sId="10" numFmtId="34">
    <oc r="D82">
      <v>495.98700000000002</v>
    </oc>
    <nc r="D82">
      <v>502.34100000000001</v>
    </nc>
  </rcc>
  <rcc rId="8284" sId="11" numFmtId="4">
    <oc r="D6">
      <v>65.697249999999997</v>
    </oc>
    <nc r="D6">
      <v>67.200050000000005</v>
    </nc>
  </rcc>
  <rcc rId="8285" sId="11" numFmtId="4">
    <oc r="D8">
      <v>130.80531999999999</v>
    </oc>
    <nc r="D8">
      <v>153.69073</v>
    </nc>
  </rcc>
  <rcc rId="8286" sId="11" numFmtId="4">
    <oc r="D9">
      <v>1.0727800000000001</v>
    </oc>
    <nc r="D9">
      <v>1.3168500000000001</v>
    </nc>
  </rcc>
  <rcc rId="8287" sId="11" numFmtId="4">
    <oc r="D10">
      <v>199.30312000000001</v>
    </oc>
    <nc r="D10">
      <v>232.99185</v>
    </nc>
  </rcc>
  <rcc rId="8288" sId="11" numFmtId="4">
    <oc r="D11">
      <v>-27.529299999999999</v>
    </oc>
    <nc r="D11">
      <v>-35.830280000000002</v>
    </nc>
  </rcc>
  <rcc rId="8289" sId="11" numFmtId="4">
    <oc r="D15">
      <v>21.904419999999998</v>
    </oc>
    <nc r="D15">
      <v>45.403060000000004</v>
    </nc>
  </rcc>
  <rcc rId="8290" sId="11" numFmtId="4">
    <oc r="D16">
      <v>330.81223</v>
    </oc>
    <nc r="D16">
      <v>510.47098999999997</v>
    </nc>
  </rcc>
  <rcc rId="8291" sId="11" numFmtId="4">
    <oc r="D28">
      <v>3.9513600000000002</v>
    </oc>
    <nc r="D28">
      <v>4.5158399999999999</v>
    </nc>
  </rcc>
  <rcc rId="8292" sId="11" numFmtId="4">
    <oc r="D41">
      <v>1823.615</v>
    </oc>
    <nc r="D41">
      <v>1992.46</v>
    </nc>
  </rcc>
  <rcc rId="8293" sId="11" numFmtId="4">
    <oc r="D44">
      <v>100.7611</v>
    </oc>
    <nc r="D44">
      <v>126.14109999999999</v>
    </nc>
  </rcc>
  <rcc rId="8294" sId="11" numFmtId="34">
    <oc r="D58">
      <v>755.67742999999996</v>
    </oc>
    <nc r="D58">
      <v>866.28150000000005</v>
    </nc>
  </rcc>
  <rcc rId="8295" sId="11" numFmtId="34">
    <nc r="D61">
      <v>19.635999999999999</v>
    </nc>
  </rcc>
  <rcc rId="8296" sId="11" numFmtId="34">
    <oc r="D65">
      <v>82.487160000000003</v>
    </oc>
    <nc r="D65">
      <v>104.54644</v>
    </nc>
  </rcc>
  <rcc rId="8297" sId="11" numFmtId="34">
    <oc r="D75">
      <v>36.844000000000001</v>
    </oc>
    <nc r="D75">
      <v>40.844000000000001</v>
    </nc>
  </rcc>
  <rcc rId="8298" sId="11" numFmtId="34">
    <oc r="D79">
      <v>465.80486000000002</v>
    </oc>
    <nc r="D79">
      <v>475.56948</v>
    </nc>
  </rcc>
  <rcc rId="8299" sId="11" numFmtId="34">
    <oc r="D81">
      <v>1467.9379200000001</v>
    </oc>
    <nc r="D81">
      <v>1577.9379200000001</v>
    </nc>
  </rcc>
  <rcc rId="8300" sId="12" numFmtId="4">
    <oc r="D6">
      <v>55.415759999999999</v>
    </oc>
    <nc r="D6">
      <v>63.301630000000003</v>
    </nc>
  </rcc>
  <rcc rId="8301" sId="12" numFmtId="4">
    <oc r="D8">
      <v>181.73363000000001</v>
    </oc>
    <nc r="D8">
      <v>213.52934999999999</v>
    </nc>
  </rcc>
  <rcc rId="8302" sId="12" numFmtId="4">
    <oc r="D9">
      <v>1.4904500000000001</v>
    </oc>
    <nc r="D9">
      <v>1.8295300000000001</v>
    </nc>
  </rcc>
  <rcc rId="8303" sId="12" numFmtId="4">
    <oc r="D10">
      <v>276.90068000000002</v>
    </oc>
    <nc r="D10">
      <v>323.70591000000002</v>
    </nc>
  </rcc>
  <rcc rId="8304" sId="12" numFmtId="4">
    <oc r="D11">
      <v>-38.247700000000002</v>
    </oc>
    <nc r="D11">
      <v>-49.7806</v>
    </nc>
  </rcc>
  <rcc rId="8305" sId="12" numFmtId="4">
    <oc r="D15">
      <v>11.81818</v>
    </oc>
    <nc r="D15">
      <v>33.919730000000001</v>
    </nc>
  </rcc>
  <rcc rId="8306" sId="12" numFmtId="4">
    <oc r="D16">
      <v>93.172309999999996</v>
    </oc>
    <nc r="D16">
      <v>235.4803</v>
    </nc>
  </rcc>
  <rcc rId="8307" sId="12" numFmtId="4">
    <oc r="D27">
      <v>274.17676999999998</v>
    </oc>
    <nc r="D27">
      <v>305.50894</v>
    </nc>
  </rcc>
  <rcc rId="8308" sId="12" numFmtId="4">
    <oc r="D28">
      <v>39.062869999999997</v>
    </oc>
    <nc r="D28">
      <v>39.60622</v>
    </nc>
  </rcc>
  <rcc rId="8309" sId="12" numFmtId="4">
    <oc r="D30">
      <v>17.80827</v>
    </oc>
    <nc r="D30">
      <v>21.702069999999999</v>
    </nc>
  </rcc>
  <rcc rId="8310" sId="12" numFmtId="4">
    <oc r="D42">
      <v>928.93499999999995</v>
    </oc>
    <nc r="D42">
      <v>1012.1950000000001</v>
    </nc>
  </rcc>
  <rcc rId="8311" sId="12" numFmtId="4">
    <oc r="D45">
      <v>99.724000000000004</v>
    </oc>
    <nc r="D45">
      <v>125.104</v>
    </nc>
  </rcc>
  <rcc rId="8312" sId="12" numFmtId="34">
    <oc r="D58">
      <v>550.63148999999999</v>
    </oc>
    <nc r="D58">
      <v>639.62028999999995</v>
    </nc>
  </rcc>
  <rcc rId="8313" sId="12" numFmtId="34">
    <nc r="D61">
      <v>16.561</v>
    </nc>
  </rcc>
  <rcc rId="8314" sId="12" numFmtId="34">
    <oc r="D65">
      <v>84.568089999999998</v>
    </oc>
    <nc r="D65">
      <v>96.332329999999999</v>
    </nc>
  </rcc>
  <rcc rId="8315" sId="12" numFmtId="34">
    <oc r="D76">
      <v>52.262</v>
    </oc>
    <nc r="D76">
      <v>68.753</v>
    </nc>
  </rcc>
  <rcc rId="8316" sId="12" numFmtId="34">
    <oc r="D80">
      <v>201.29768000000001</v>
    </oc>
    <nc r="D80">
      <v>207.49538000000001</v>
    </nc>
  </rcc>
  <rcc rId="8317" sId="12" numFmtId="34">
    <oc r="D82">
      <v>701.46</v>
    </oc>
    <nc r="D82">
      <v>791.46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104.xml><?xml version="1.0" encoding="utf-8"?>
<revisions xmlns="http://schemas.openxmlformats.org/spreadsheetml/2006/main" xmlns:r="http://schemas.openxmlformats.org/officeDocument/2006/relationships">
  <rfmt sheetId="13" sqref="D38">
    <dxf>
      <numFmt numFmtId="2" formatCode="0.00"/>
    </dxf>
  </rfmt>
  <rfmt sheetId="13" sqref="D38">
    <dxf>
      <numFmt numFmtId="187" formatCode="0.000"/>
    </dxf>
  </rfmt>
  <rfmt sheetId="13" sqref="D38">
    <dxf>
      <numFmt numFmtId="175" formatCode="0.0000"/>
    </dxf>
  </rfmt>
  <rcc rId="8679" sId="13" numFmtId="4">
    <oc r="D15">
      <v>10.85896</v>
    </oc>
    <nc r="D15">
      <v>10.967599999999999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8468" sId="3" numFmtId="4">
    <oc r="D6">
      <v>56715.744480000001</v>
    </oc>
    <nc r="D6">
      <v>65486.838640000002</v>
    </nc>
  </rcc>
  <rcc rId="8469" sId="3" numFmtId="4">
    <oc r="D8">
      <v>1096.8348599999999</v>
    </oc>
    <nc r="D8">
      <v>1288.7347400000001</v>
    </nc>
  </rcc>
  <rcc rId="8470" sId="3" numFmtId="4">
    <oc r="D9">
      <v>8.9954199999999993</v>
    </oc>
    <nc r="D9">
      <v>11.042120000000001</v>
    </nc>
  </rcc>
  <rcc rId="8471" sId="3" numFmtId="4">
    <oc r="D10">
      <v>1671.2058199999999</v>
    </oc>
    <nc r="D10">
      <v>1953.69397</v>
    </nc>
  </rcc>
  <rcc rId="8472" sId="3" numFmtId="4">
    <oc r="D11">
      <v>-230.84014999999999</v>
    </oc>
    <nc r="D11">
      <v>-300.44594999999998</v>
    </nc>
  </rcc>
  <rcc rId="8473" sId="3" numFmtId="4">
    <oc r="D13">
      <v>7570.7759299999998</v>
    </oc>
    <nc r="D13">
      <v>8421.6352299999999</v>
    </nc>
  </rcc>
  <rcc rId="8474" sId="3" numFmtId="4">
    <oc r="D14">
      <v>955.49938999999995</v>
    </oc>
    <nc r="D14">
      <v>955.75645999999995</v>
    </nc>
  </rcc>
  <rcc rId="8475" sId="3" numFmtId="4">
    <oc r="D15">
      <v>100.37770999999999</v>
    </oc>
    <nc r="D15">
      <v>113.33671</v>
    </nc>
  </rcc>
  <rcc rId="8476" sId="3" numFmtId="4">
    <oc r="D19">
      <v>402.44268</v>
    </oc>
    <nc r="D19">
      <v>697.14878999999996</v>
    </nc>
  </rcc>
  <rcc rId="8477" sId="3" numFmtId="4">
    <oc r="D24">
      <v>1220.48585</v>
    </oc>
    <nc r="D24">
      <v>1383.3982000000001</v>
    </nc>
  </rcc>
  <rcc rId="8478" sId="3" numFmtId="4">
    <oc r="D26">
      <v>378.02417000000003</v>
    </oc>
    <nc r="D26">
      <v>436.19166999999999</v>
    </nc>
  </rcc>
  <rcc rId="8479" sId="3" numFmtId="4">
    <oc r="D36">
      <v>6101.5873799999999</v>
    </oc>
    <nc r="D36">
      <v>6684.4186099999997</v>
    </nc>
  </rcc>
  <rcc rId="8480" sId="3" numFmtId="4">
    <oc r="D37">
      <v>241.25297</v>
    </oc>
    <nc r="D37">
      <v>260.84667000000002</v>
    </nc>
  </rcc>
  <rcc rId="8481" sId="3" numFmtId="4">
    <oc r="D40">
      <v>265.16532000000001</v>
    </oc>
    <nc r="D40">
      <v>365.33246000000003</v>
    </nc>
  </rcc>
  <rcc rId="8482" sId="3" numFmtId="4">
    <oc r="D42">
      <v>580.12419999999997</v>
    </oc>
    <nc r="D42">
      <v>581.26819999999998</v>
    </nc>
  </rcc>
  <rcc rId="8483" sId="3" numFmtId="4">
    <oc r="D48">
      <v>1209.78988</v>
    </oc>
    <nc r="D48">
      <v>1442.6496999999999</v>
    </nc>
  </rcc>
  <rcc rId="8484" sId="3" numFmtId="4">
    <oc r="D52">
      <v>4.0875000000000004</v>
    </oc>
    <nc r="D52">
      <v>7.319</v>
    </nc>
  </rcc>
  <rcc rId="8485" sId="3" numFmtId="4">
    <oc r="D53">
      <v>9.3000000000000007</v>
    </oc>
    <nc r="D53">
      <v>4.5444500000000003</v>
    </nc>
  </rcc>
  <rcc rId="8486" sId="3" numFmtId="4">
    <oc r="D55">
      <v>80</v>
    </oc>
    <nc r="D55">
      <v>160</v>
    </nc>
  </rcc>
  <rcc rId="8487" sId="3" numFmtId="4">
    <oc r="D57">
      <v>75.900000000000006</v>
    </oc>
    <nc r="D57">
      <v>147.9</v>
    </nc>
  </rcc>
  <rcc rId="8488" sId="3" numFmtId="4">
    <oc r="D60">
      <v>60</v>
    </oc>
    <nc r="D60">
      <v>60.060459999999999</v>
    </nc>
  </rcc>
  <rcc rId="8489" sId="3" numFmtId="4">
    <oc r="D62">
      <v>211.92401000000001</v>
    </oc>
    <nc r="D62">
      <v>299.01344999999998</v>
    </nc>
  </rcc>
  <rcc rId="8490" sId="3" numFmtId="4">
    <oc r="D63">
      <v>147</v>
    </oc>
    <nc r="D63">
      <v>167</v>
    </nc>
  </rcc>
  <rcc rId="8491" sId="3" numFmtId="4">
    <oc r="D64">
      <v>189.83174</v>
    </oc>
    <nc r="D64">
      <v>211.22174000000001</v>
    </nc>
  </rcc>
  <rcc rId="8492" sId="3" numFmtId="4">
    <oc r="D67">
      <v>1641.98936</v>
    </oc>
    <nc r="D67">
      <v>1843.52827</v>
    </nc>
  </rcc>
  <rcc rId="8493" sId="3" numFmtId="4">
    <oc r="D73">
      <v>5148.8</v>
    </oc>
    <nc r="D73">
      <v>6618.4</v>
    </nc>
  </rcc>
  <rcc rId="8494" sId="3" numFmtId="4">
    <oc r="D75">
      <v>10255</v>
    </oc>
    <nc r="D75">
      <v>11720</v>
    </nc>
  </rcc>
  <rcc rId="8495" sId="3" numFmtId="4">
    <oc r="C76">
      <v>205924.41232999999</v>
    </oc>
    <nc r="C76">
      <v>211329.31232999999</v>
    </nc>
  </rcc>
  <rcc rId="8496" sId="3" numFmtId="4">
    <oc r="D76">
      <v>42248.324630000003</v>
    </oc>
    <nc r="D76">
      <v>105125.73656</v>
    </nc>
  </rcc>
  <rcc rId="8497" sId="3" numFmtId="4">
    <oc r="D77">
      <v>205769.34338000001</v>
    </oc>
    <nc r="D77">
      <v>216723.55282000001</v>
    </nc>
  </rcc>
  <rcc rId="8498" sId="3" numFmtId="4">
    <oc r="C78">
      <v>20342.650000000001</v>
    </oc>
    <nc r="C78">
      <v>20502.650000000001</v>
    </nc>
  </rcc>
  <rcc rId="8499" sId="3" numFmtId="4">
    <oc r="D78">
      <v>10978.178</v>
    </oc>
    <nc r="D78">
      <v>12656.912</v>
    </nc>
  </rcc>
  <rfmt sheetId="3" sqref="C80:F80" start="0" length="2147483647">
    <dxf>
      <font>
        <b val="0"/>
      </font>
    </dxf>
  </rfmt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3336" sId="6" numFmtId="34">
    <oc r="D59">
      <v>668.58770000000004</v>
    </oc>
    <nc r="D59">
      <v>738.87225999999998</v>
    </nc>
  </rcc>
  <rcc rId="3337" sId="6" numFmtId="34">
    <oc r="C64">
      <v>17.382999999999999</v>
    </oc>
    <nc r="C64">
      <f>22.083+6.6</f>
    </nc>
  </rcc>
  <rcc rId="3338" sId="6" numFmtId="34">
    <oc r="D64">
      <v>10.4785</v>
    </oc>
    <nc r="D64">
      <f>3.878+6.6</f>
    </nc>
  </rcc>
  <rcc rId="3339" sId="6" numFmtId="34">
    <oc r="D66">
      <v>67.66</v>
    </oc>
    <nc r="D66">
      <v>82.195999999999998</v>
    </nc>
  </rcc>
  <rcc rId="3340" sId="6" numFmtId="34">
    <oc r="C73">
      <v>9.7089999999999996</v>
    </oc>
    <nc r="C73">
      <f>3.359+6.35</f>
    </nc>
  </rcc>
  <rcc rId="3341" sId="6" numFmtId="34">
    <oc r="C74">
      <v>254.50200000000001</v>
    </oc>
    <nc r="C74">
      <v>251.899</v>
    </nc>
  </rcc>
  <rcc rId="3342" sId="6" numFmtId="34">
    <oc r="D76">
      <v>89.3</v>
    </oc>
    <nc r="D76">
      <f>33+56.3</f>
    </nc>
  </rcc>
  <rcc rId="3343" sId="6" numFmtId="34">
    <oc r="C82">
      <v>804.22299999999996</v>
    </oc>
    <nc r="C82">
      <v>800.72400000000005</v>
    </nc>
  </rcc>
  <rcc rId="3344" sId="6" numFmtId="34">
    <oc r="D82">
      <v>133.44979000000001</v>
    </oc>
    <nc r="D82">
      <v>133.81156999999999</v>
    </nc>
  </rcc>
  <rcc rId="3345" sId="6" numFmtId="34">
    <oc r="C84">
      <f>1362.5</f>
    </oc>
    <nc r="C84">
      <v>1357.4</v>
    </nc>
  </rcc>
  <rcc rId="3346" sId="6" numFmtId="34">
    <oc r="D84">
      <v>464.90154000000001</v>
    </oc>
    <nc r="D84">
      <v>564.90153999999995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111.xml><?xml version="1.0" encoding="utf-8"?>
<revisions xmlns="http://schemas.openxmlformats.org/spreadsheetml/2006/main" xmlns:r="http://schemas.openxmlformats.org/officeDocument/2006/relationships">
  <rcc rId="3297" sId="6" numFmtId="4">
    <oc r="D6">
      <v>46.109610000000004</v>
    </oc>
    <nc r="D6">
      <v>53.870159999999998</v>
    </nc>
  </rcc>
  <rcc rId="3298" sId="6" numFmtId="4">
    <oc r="D8">
      <v>125.20987</v>
    </oc>
    <nc r="D8">
      <v>150.10446999999999</v>
    </nc>
  </rcc>
  <rcc rId="3299" sId="6" numFmtId="4">
    <oc r="D9">
      <v>0.94918999999999998</v>
    </oc>
    <nc r="D9">
      <v>1.23106</v>
    </nc>
  </rcc>
  <rcc rId="3300" sId="6" numFmtId="4">
    <oc r="D10">
      <v>188.77139</v>
    </oc>
    <nc r="D10">
      <v>228.70854</v>
    </nc>
  </rcc>
  <rcc rId="3301" sId="6" numFmtId="4">
    <oc r="D11">
      <v>-26.014900000000001</v>
    </oc>
    <nc r="D11">
      <v>-31.591049999999999</v>
    </nc>
  </rcc>
  <rcc rId="3302" sId="6" numFmtId="4">
    <oc r="D15">
      <f>21.55781+0.57835</f>
    </oc>
    <nc r="D15">
      <v>24.188929999999999</v>
    </nc>
  </rcc>
  <rcc rId="3303" sId="6" numFmtId="4">
    <oc r="D16">
      <v>77.670609999999996</v>
    </oc>
    <nc r="D16">
      <v>107.68822</v>
    </nc>
  </rcc>
  <rcc rId="3304" sId="6" numFmtId="4">
    <oc r="D28">
      <v>0.98</v>
    </oc>
    <nc r="D28">
      <v>12.19796</v>
    </nc>
  </rcc>
  <rcc rId="3305" sId="6" numFmtId="4">
    <oc r="D29">
      <v>15.3009</v>
    </oc>
    <nc r="D29">
      <v>17.851050000000001</v>
    </nc>
  </rcc>
  <rcc rId="3306" sId="6" numFmtId="4">
    <oc r="D42">
      <v>1223.952</v>
    </oc>
    <nc r="D42">
      <v>1344.4549999999999</v>
    </nc>
  </rcc>
  <rcc rId="3307" sId="6" numFmtId="4">
    <oc r="D46">
      <v>74.344999999999999</v>
    </oc>
    <nc r="D46">
      <v>99.724999999999994</v>
    </nc>
  </rcc>
  <rcc rId="3308" sId="6" numFmtId="4">
    <oc r="D51">
      <v>63.323</v>
    </oc>
    <nc r="D51">
      <v>113.32299999999999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11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12.xml><?xml version="1.0" encoding="utf-8"?>
<revisions xmlns="http://schemas.openxmlformats.org/spreadsheetml/2006/main" xmlns:r="http://schemas.openxmlformats.org/officeDocument/2006/relationships">
  <rfmt sheetId="14" sqref="D41">
    <dxf>
      <numFmt numFmtId="2" formatCode="0.00"/>
    </dxf>
  </rfmt>
  <rfmt sheetId="14" sqref="D41">
    <dxf>
      <numFmt numFmtId="187" formatCode="0.000"/>
    </dxf>
  </rfmt>
  <rfmt sheetId="14" sqref="D41">
    <dxf>
      <numFmt numFmtId="175" formatCode="0.0000"/>
    </dxf>
  </rfmt>
  <rfmt sheetId="14" sqref="D41">
    <dxf>
      <numFmt numFmtId="168" formatCode="0.00000"/>
    </dxf>
  </rfmt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121.xml><?xml version="1.0" encoding="utf-8"?>
<revisions xmlns="http://schemas.openxmlformats.org/spreadsheetml/2006/main" xmlns:r="http://schemas.openxmlformats.org/officeDocument/2006/relationships">
  <rcc rId="7811" sId="15" numFmtId="34">
    <nc r="D99">
      <v>2012.6383499999999</v>
    </nc>
  </rcc>
  <rcc rId="7812" sId="15" odxf="1" dxf="1">
    <nc r="E99">
      <f>D97-D99</f>
    </nc>
    <odxf>
      <numFmt numFmtId="0" formatCode="General"/>
    </odxf>
    <ndxf>
      <numFmt numFmtId="171" formatCode="_-* #,##0.00000_р_._-;\-* #,##0.00000_р_._-;_-* &quot;-&quot;?????_р_._-;_-@_-"/>
    </ndxf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1211.xml><?xml version="1.0" encoding="utf-8"?>
<revisions xmlns="http://schemas.openxmlformats.org/spreadsheetml/2006/main" xmlns:r="http://schemas.openxmlformats.org/officeDocument/2006/relationships">
  <rfmt sheetId="16" sqref="D40">
    <dxf>
      <numFmt numFmtId="2" formatCode="0.00"/>
    </dxf>
  </rfmt>
  <rfmt sheetId="16" sqref="D40">
    <dxf>
      <numFmt numFmtId="187" formatCode="0.000"/>
    </dxf>
  </rfmt>
  <rfmt sheetId="16" sqref="D40">
    <dxf>
      <numFmt numFmtId="175" formatCode="0.0000"/>
    </dxf>
  </rfmt>
  <rfmt sheetId="16" sqref="D40">
    <dxf>
      <numFmt numFmtId="168" formatCode="0.00000"/>
    </dxf>
  </rfmt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12111.xml><?xml version="1.0" encoding="utf-8"?>
<revisions xmlns="http://schemas.openxmlformats.org/spreadsheetml/2006/main" xmlns:r="http://schemas.openxmlformats.org/officeDocument/2006/relationships">
  <rcc rId="1805" sId="2">
    <oc r="AA34">
      <v>2750</v>
    </oc>
    <nc r="AA34">
      <v>2833.4</v>
    </nc>
  </rcc>
  <rcc rId="1806" sId="2">
    <oc r="AY34">
      <v>350</v>
    </oc>
    <nc r="AY34">
      <v>560</v>
    </nc>
  </rcc>
  <rcc rId="1807" sId="2" numFmtId="4">
    <oc r="BR34">
      <v>65.207610000000003</v>
    </oc>
    <nc r="BR34">
      <v>-65.207610000000003</v>
    </nc>
  </rcc>
  <rcc rId="1808" sId="2" numFmtId="4">
    <oc r="I34">
      <v>5105.8999999999996</v>
    </oc>
    <nc r="I34">
      <v>5106.8999999999996</v>
    </nc>
  </rcc>
  <rcc rId="1809" sId="2" numFmtId="4">
    <oc r="J34">
      <v>2327.2864</v>
    </oc>
    <nc r="J34">
      <v>2355.0550600000001</v>
    </nc>
  </rcc>
  <rcc rId="1810" sId="2">
    <oc r="CF34">
      <v>4509.97</v>
    </oc>
    <nc r="CF34">
      <v>4979.5749999999998</v>
    </nc>
  </rcc>
  <rcc rId="1811" sId="2">
    <oc r="CC34">
      <v>28497.423999999999</v>
    </oc>
    <nc r="CC34">
      <v>28718.624</v>
    </nc>
  </rcc>
  <rcc rId="1812" sId="2">
    <oc r="CD34">
      <v>13692</v>
    </oc>
    <nc r="CD34">
      <v>17742.400000000001</v>
    </nc>
  </rcc>
  <rcc rId="1813" sId="2" numFmtId="4">
    <oc r="CI34">
      <v>26388.126390000001</v>
    </oc>
    <nc r="CI34">
      <v>23769.017390000001</v>
    </nc>
  </rcc>
  <rcc rId="1814" sId="2">
    <oc r="CJ34">
      <v>1594.2270000000001</v>
    </oc>
    <nc r="CJ34">
      <v>1657.6769999999999</v>
    </nc>
  </rcc>
  <rfmt sheetId="2" sqref="BO14:BO28">
    <dxf>
      <numFmt numFmtId="4" formatCode="#,##0.00"/>
    </dxf>
  </rfmt>
  <rfmt sheetId="2" sqref="BO14:BO28">
    <dxf>
      <numFmt numFmtId="173" formatCode="#,##0.000"/>
    </dxf>
  </rfmt>
  <rfmt sheetId="2" sqref="BO14:BO28">
    <dxf>
      <numFmt numFmtId="185" formatCode="#,##0.0000"/>
    </dxf>
  </rfmt>
  <rfmt sheetId="2" sqref="BO14:BO28">
    <dxf>
      <numFmt numFmtId="172" formatCode="#,##0.00000"/>
    </dxf>
  </rfmt>
  <rcc rId="1815" sId="2">
    <oc r="CL34">
      <v>1835.3</v>
    </oc>
    <nc r="CL34">
      <v>1856.8</v>
    </nc>
  </rcc>
  <rcc rId="1816" sId="2">
    <oc r="CM34">
      <v>732.47</v>
    </oc>
    <nc r="CM34">
      <v>882.37</v>
    </nc>
  </rcc>
  <rcc rId="1817" sId="2">
    <oc r="CC35">
      <f>CC34-CC31</f>
    </oc>
    <nc r="CC35">
      <f>CC34-CC31</f>
    </nc>
  </rcc>
  <rcc rId="1818" sId="2">
    <oc r="CR34">
      <v>2310.0030000000002</v>
    </oc>
    <nc r="CR34">
      <v>3187.7710000000002</v>
    </nc>
  </rcc>
  <rcc rId="1819" sId="2">
    <oc r="CS34">
      <v>2447.28532</v>
    </oc>
    <nc r="CS34">
      <v>2898.5408900000002</v>
    </nc>
  </rcc>
  <rcc rId="1820" sId="2" numFmtId="4">
    <oc r="DG34">
      <v>105762.18186</v>
    </oc>
    <nc r="DG34">
      <v>106862.44586000001</v>
    </nc>
  </rcc>
  <rcc rId="1821" sId="2" numFmtId="4">
    <oc r="DH34">
      <v>28920.349139999998</v>
    </oc>
    <nc r="DH34">
      <v>35174.580860000002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Справка!$A$1:$EY$33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Справка!$AV:$AX,Справка!$BB:$BD,Справка!$BH:$BP,Справка!$BT:$BY,Справка!$CX:$DF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1212.xml><?xml version="1.0" encoding="utf-8"?>
<revisions xmlns="http://schemas.openxmlformats.org/spreadsheetml/2006/main" xmlns:r="http://schemas.openxmlformats.org/officeDocument/2006/relationships">
  <rcc rId="1849" sId="2">
    <oc r="AG34">
      <v>150</v>
    </oc>
    <nc r="AG34">
      <v>150.00200000000001</v>
    </nc>
  </rcc>
  <rfmt sheetId="2" sqref="AG31">
    <dxf>
      <numFmt numFmtId="4" formatCode="#,##0.00"/>
    </dxf>
  </rfmt>
  <rfmt sheetId="2" sqref="AG31">
    <dxf>
      <numFmt numFmtId="173" formatCode="#,##0.000"/>
    </dxf>
  </rfmt>
  <rfmt sheetId="2" sqref="D14:D29">
    <dxf>
      <numFmt numFmtId="4" formatCode="#,##0.00"/>
    </dxf>
  </rfmt>
  <rfmt sheetId="2" sqref="D14:D29">
    <dxf>
      <numFmt numFmtId="173" formatCode="#,##0.000"/>
    </dxf>
  </rfmt>
  <rfmt sheetId="2" sqref="D14:D29">
    <dxf>
      <numFmt numFmtId="185" formatCode="#,##0.0000"/>
    </dxf>
  </rfmt>
  <rfmt sheetId="2" sqref="D14:D29">
    <dxf>
      <numFmt numFmtId="172" formatCode="#,##0.00000"/>
    </dxf>
  </rfmt>
  <rfmt sheetId="2" sqref="DH14:DH29">
    <dxf>
      <numFmt numFmtId="4" formatCode="#,##0.00"/>
    </dxf>
  </rfmt>
  <rfmt sheetId="2" sqref="DH14:DH29">
    <dxf>
      <numFmt numFmtId="173" formatCode="#,##0.000"/>
    </dxf>
  </rfmt>
  <rfmt sheetId="2" sqref="DH14:DH29">
    <dxf>
      <numFmt numFmtId="185" formatCode="#,##0.0000"/>
    </dxf>
  </rfmt>
  <rfmt sheetId="2" sqref="DH14:DH29">
    <dxf>
      <numFmt numFmtId="172" formatCode="#,##0.00000"/>
    </dxf>
  </rfmt>
  <rfmt sheetId="2" sqref="DH14:DH29">
    <dxf>
      <numFmt numFmtId="180" formatCode="#,##0.000000"/>
    </dxf>
  </rfmt>
  <rm rId="1850" sheetId="18" source="D29" destination="D28" sourceSheetId="18">
    <undo index="0" exp="ref" ref3D="1" v="1" dr="D28" r="AT28" sId="2"/>
    <undo index="0" exp="ref" v="1" dr="D28" r="F28" sId="18"/>
    <undo index="0" exp="ref" v="1" dr="D28" r="E28" sId="18"/>
    <undo index="1" exp="ref" v="1" dr="D28" r="D26" sId="18"/>
    <rcc rId="0" sId="18" s="1" dxf="1" numFmtId="4">
      <nc r="D28">
        <v>0</v>
      </nc>
      <ndxf>
        <font>
          <sz val="12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m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122.xml><?xml version="1.0" encoding="utf-8"?>
<revisions xmlns="http://schemas.openxmlformats.org/spreadsheetml/2006/main" xmlns:r="http://schemas.openxmlformats.org/officeDocument/2006/relationships">
  <rcc rId="1878" sId="18">
    <oc r="D26">
      <f>D27+#REF!+D28</f>
    </oc>
    <nc r="D26">
      <f>D27+D28</f>
    </nc>
  </rcc>
  <rcc rId="1879" sId="18">
    <oc r="D25">
      <f>D30+D37+D26</f>
    </oc>
    <nc r="D25">
      <f>D30+D37+D26</f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13.xml><?xml version="1.0" encoding="utf-8"?>
<revisions xmlns="http://schemas.openxmlformats.org/spreadsheetml/2006/main" xmlns:r="http://schemas.openxmlformats.org/officeDocument/2006/relationships">
  <rcc rId="1611" sId="19" numFmtId="34">
    <oc r="C76">
      <f>110+153.976+4.9</f>
    </oc>
    <nc r="C76">
      <v>262.37599999999998</v>
    </nc>
  </rcc>
  <rcc rId="1612" sId="19" numFmtId="34">
    <oc r="D76">
      <f>7.82419+16.5+4.9</f>
    </oc>
    <nc r="D76">
      <v>74.672439999999995</v>
    </nc>
  </rcc>
  <rcc rId="1613" sId="19" numFmtId="34">
    <oc r="C78">
      <f>1044.5+500+3800</f>
    </oc>
    <nc r="C78">
      <v>1544.5</v>
    </nc>
  </rcc>
  <rcc rId="1614" sId="19" numFmtId="34">
    <oc r="D78">
      <v>348</v>
    </oc>
    <nc r="D78">
      <v>435</v>
    </nc>
  </rcc>
  <rfmt sheetId="19" sqref="C94:D94">
    <dxf>
      <numFmt numFmtId="4" formatCode="#,##0.00"/>
    </dxf>
  </rfmt>
  <rfmt sheetId="19" sqref="C94:D94">
    <dxf>
      <numFmt numFmtId="173" formatCode="#,##0.000"/>
    </dxf>
  </rfmt>
  <rfmt sheetId="19" sqref="C94:D94">
    <dxf>
      <numFmt numFmtId="183" formatCode="#,##0.0000"/>
    </dxf>
  </rfmt>
  <rfmt sheetId="19" sqref="C94:D94">
    <dxf>
      <numFmt numFmtId="172" formatCode="#,##0.00000"/>
    </dxf>
  </rfmt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Яро!$19:$24,Яро!$28:$36,Яро!$43:$44,Яро!$46:$47,Яро!$54:$54,Яро!$56:$58,Яро!$64:$65,Яро!$74:$74,Яро!$79:$83,Яро!$86:$93</formula>
    <oldFormula>Яро!$19:$24,Яро!$28:$36,Яро!$43:$44,Яро!$46:$47,Яро!$54:$54,Яро!$56:$58,Яро!$64:$65,Яро!$74:$74,Яро!$79:$83,Яро!$86:$93</oldFormula>
  </rdn>
  <rcv guid="{A54C432C-6C68-4B53-A75C-446EB3A61B2B}" action="add"/>
</revisions>
</file>

<file path=xl/revisions/revisionLog1113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14.xml><?xml version="1.0" encoding="utf-8"?>
<revisions xmlns="http://schemas.openxmlformats.org/spreadsheetml/2006/main" xmlns:r="http://schemas.openxmlformats.org/officeDocument/2006/relationships"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141.xml><?xml version="1.0" encoding="utf-8"?>
<revisions xmlns="http://schemas.openxmlformats.org/spreadsheetml/2006/main" xmlns:r="http://schemas.openxmlformats.org/officeDocument/2006/relationships"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1411.xml><?xml version="1.0" encoding="utf-8"?>
<revisions xmlns="http://schemas.openxmlformats.org/spreadsheetml/2006/main" xmlns:r="http://schemas.openxmlformats.org/officeDocument/2006/relationships">
  <rcc rId="3496" sId="19" numFmtId="34">
    <oc r="D55">
      <v>567.77886999999998</v>
    </oc>
    <nc r="D55">
      <v>699.62774000000002</v>
    </nc>
  </rcc>
  <rcc rId="3497" sId="19" numFmtId="34">
    <oc r="D62">
      <v>31.651309999999999</v>
    </oc>
    <nc r="D62">
      <v>38.918430000000001</v>
    </nc>
  </rcc>
  <rcc rId="3498" sId="19" numFmtId="34">
    <oc r="D66">
      <v>0</v>
    </oc>
    <nc r="D66">
      <v>13.106</v>
    </nc>
  </rcc>
  <rcc rId="3499" sId="19" numFmtId="34">
    <oc r="D67">
      <v>3.6059999999999999</v>
    </oc>
    <nc r="D67">
      <v>13.106</v>
    </nc>
  </rcc>
  <rcc rId="3500" sId="19" numFmtId="34">
    <oc r="C71">
      <v>1947.7388699999999</v>
    </oc>
    <nc r="C71">
      <f>723.79987+1223.939</f>
    </nc>
  </rcc>
  <rcc rId="3501" sId="19" numFmtId="34">
    <oc r="D71">
      <v>319.18583999999998</v>
    </oc>
    <nc r="D71">
      <f>219.00002+315.46284</f>
    </nc>
  </rcc>
  <rcc rId="3502" sId="19" numFmtId="34">
    <oc r="D75">
      <v>0</v>
    </oc>
    <nc r="D75">
      <v>198</v>
    </nc>
  </rcc>
  <rcc rId="3503" sId="19" numFmtId="34">
    <oc r="D76">
      <v>74.672439999999995</v>
    </oc>
    <nc r="D76">
      <f>13.13831+59.50675+4.9</f>
    </nc>
  </rcc>
  <rcc rId="3504" sId="19" numFmtId="34">
    <oc r="C78">
      <v>1544.5</v>
    </oc>
    <nc r="C78">
      <f>1043.7+500+3800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c rId="1699" sId="19" numFmtId="4">
    <oc r="D45">
      <v>247</v>
    </oc>
    <nc r="D45">
      <v>247.922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Яро!$19:$24,Яро!$28:$36,Яро!$43:$44,Яро!$46:$47,Яро!$54:$54,Яро!$56:$58,Яро!$64:$65,Яро!$74:$74,Яро!$79:$83,Яро!$86:$93</oldFormula>
  </rdn>
  <rcv guid="{A54C432C-6C68-4B53-A75C-446EB3A61B2B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cc rId="1530" sId="19" numFmtId="4">
    <oc r="D6">
      <v>39.549340000000001</v>
    </oc>
    <nc r="D6">
      <v>54.864519999999999</v>
    </nc>
  </rcc>
  <rcc rId="1531" sId="19" numFmtId="4">
    <oc r="D8">
      <v>72.791600000000003</v>
    </oc>
    <nc r="D8">
      <v>88.094080000000005</v>
    </nc>
  </rcc>
  <rcc rId="1532" sId="19" numFmtId="4">
    <oc r="D9">
      <v>0.54227000000000003</v>
    </oc>
    <nc r="D9">
      <v>0.66781999999999997</v>
    </nc>
  </rcc>
  <rcc rId="1533" sId="19" numFmtId="4">
    <oc r="D10">
      <v>110.33562999999999</v>
    </oc>
    <nc r="D10">
      <v>132.81415000000001</v>
    </nc>
  </rcc>
  <rcc rId="1534" sId="19" numFmtId="4">
    <oc r="D11">
      <v>-15.07178</v>
    </oc>
    <nc r="D11">
      <v>-18.303239999999999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1212.xml><?xml version="1.0" encoding="utf-8"?>
<revisions xmlns="http://schemas.openxmlformats.org/spreadsheetml/2006/main" xmlns:r="http://schemas.openxmlformats.org/officeDocument/2006/relationships">
  <rcc rId="1562" sId="19" numFmtId="4">
    <oc r="D15">
      <v>13.78815</v>
    </oc>
    <nc r="D15">
      <v>14.23786</v>
    </nc>
  </rcc>
  <rcc rId="1563" sId="19" numFmtId="4">
    <oc r="D16">
      <v>90.772409999999994</v>
    </oc>
    <nc r="D16">
      <v>100.59296999999999</v>
    </nc>
  </rcc>
  <rcc rId="1564" sId="19" numFmtId="4">
    <oc r="D18">
      <v>2.7</v>
    </oc>
    <nc r="D18">
      <v>3.1309999999999998</v>
    </nc>
  </rcc>
  <rcc rId="1565" sId="19" numFmtId="4">
    <oc r="C39">
      <f>940.2+18.94</f>
    </oc>
    <nc r="C39">
      <v>975.07100000000003</v>
    </nc>
  </rcc>
  <rcc rId="1566" sId="19" numFmtId="4">
    <oc r="D39">
      <v>452.98099999999999</v>
    </oc>
    <nc r="D39">
      <v>592.18700000000001</v>
    </nc>
  </rcc>
  <rcc rId="1567" sId="19" numFmtId="4">
    <oc r="C41">
      <v>4832.88</v>
    </oc>
    <nc r="C41">
      <v>1703.097</v>
    </nc>
  </rcc>
  <rcc rId="1568" sId="19" numFmtId="4">
    <oc r="C42">
      <v>73.096000000000004</v>
    </oc>
    <nc r="C42">
      <v>74.096000000000004</v>
    </nc>
  </rcc>
  <rcc rId="1569" sId="19" numFmtId="4">
    <oc r="D42">
      <v>29.602</v>
    </oc>
    <nc r="D42">
      <v>35.542000000000002</v>
    </nc>
  </rcc>
  <rcc rId="1570" sId="19" numFmtId="4">
    <oc r="C45">
      <v>80</v>
    </oc>
    <nc r="C45">
      <v>254.922</v>
    </nc>
  </rcc>
  <rcc rId="1571" sId="19" numFmtId="4">
    <oc r="D45">
      <v>73</v>
    </oc>
    <nc r="D45">
      <v>247</v>
    </nc>
  </rcc>
  <rcc rId="1572" sId="19" numFmtId="4">
    <oc r="E45">
      <f>SUM(D45/C45*100)</f>
    </oc>
    <nc r="E45">
      <v>922</v>
    </nc>
  </rcc>
  <rfmt sheetId="19" sqref="C48:D49">
    <dxf>
      <numFmt numFmtId="4" formatCode="#,##0.00"/>
    </dxf>
  </rfmt>
  <rfmt sheetId="19" sqref="C48:D49">
    <dxf>
      <numFmt numFmtId="173" formatCode="#,##0.000"/>
    </dxf>
  </rfmt>
  <rfmt sheetId="19" sqref="C48:D49">
    <dxf>
      <numFmt numFmtId="183" formatCode="#,##0.0000"/>
    </dxf>
  </rfmt>
  <rfmt sheetId="19" sqref="C48:D49">
    <dxf>
      <numFmt numFmtId="172" formatCode="#,##0.00000"/>
    </dxf>
  </rfmt>
  <rcc rId="1573" sId="19" numFmtId="34">
    <oc r="C55">
      <v>1242.04</v>
    </oc>
    <nc r="C55">
      <v>1257.971</v>
    </nc>
  </rcc>
  <rcc rId="1574" sId="19" numFmtId="34">
    <oc r="D55">
      <v>454.81328999999999</v>
    </oc>
    <nc r="D55">
      <v>567.77886999999998</v>
    </nc>
  </rcc>
  <rcc rId="1575" sId="19" numFmtId="34">
    <oc r="D60">
      <v>2.214</v>
    </oc>
    <nc r="D60">
      <v>3.214</v>
    </nc>
  </rcc>
  <rcc rId="1576" sId="19" numFmtId="34">
    <oc r="D62">
      <v>23.972370000000002</v>
    </oc>
    <nc r="D62">
      <v>31.651309999999999</v>
    </nc>
  </rcc>
  <rcc rId="1577" sId="19" numFmtId="34">
    <oc r="C67">
      <v>9.1999999999999993</v>
    </oc>
    <nc r="C67">
      <v>15.7</v>
    </nc>
  </rcc>
  <rcc rId="1578" sId="19" numFmtId="34">
    <oc r="C69">
      <f>2.5+7.5</f>
    </oc>
    <nc r="C69">
      <v>11</v>
    </nc>
  </rcc>
  <rcc rId="1579" sId="19" numFmtId="34">
    <oc r="C71">
      <f>723.79987+378.8</f>
    </oc>
    <nc r="C71">
      <v>1947.7388699999999</v>
    </nc>
  </rcc>
  <rcc rId="1580" sId="19" numFmtId="34">
    <oc r="D71">
      <f>193</f>
    </oc>
    <nc r="D71">
      <v>319.18583999999998</v>
    </nc>
  </rcc>
  <rcc rId="1581" sId="19" numFmtId="34">
    <oc r="D72">
      <v>27.81</v>
    </oc>
    <nc r="D72">
      <v>33.81</v>
    </nc>
  </rcc>
  <rcc rId="1582" sId="19" numFmtId="34">
    <nc r="C75">
      <v>198</v>
    </nc>
  </rcc>
  <rcc rId="1583" sId="19" numFmtId="34">
    <nc r="D75">
      <v>0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Яро!$19:$24,Яро!$28:$36,Яро!$43:$44,Яро!$46:$47,Яро!$54:$54,Яро!$56:$58,Яро!$64:$65,Яро!$74:$74,Яро!$79:$83,Яро!$86:$93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cc rId="8346" sId="14" numFmtId="34">
    <oc r="D72">
      <v>3.75</v>
    </oc>
    <nc r="D72">
      <v>3.7490000000000001</v>
    </nc>
  </rcc>
  <rcc rId="8347" sId="14" numFmtId="34">
    <oc r="D73">
      <v>66.377120000000005</v>
    </oc>
    <nc r="D73">
      <v>73.958060000000003</v>
    </nc>
  </rcc>
  <rcc rId="8348" sId="14" numFmtId="34">
    <oc r="D79">
      <v>274.29826000000003</v>
    </oc>
    <nc r="D79">
      <v>287.41807999999997</v>
    </nc>
  </rcc>
  <rcc rId="8349" sId="14" numFmtId="34">
    <oc r="D81">
      <v>509.13799999999998</v>
    </oc>
    <nc r="D81">
      <v>581.87199999999996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311.xml><?xml version="1.0" encoding="utf-8"?>
<revisions xmlns="http://schemas.openxmlformats.org/spreadsheetml/2006/main" xmlns:r="http://schemas.openxmlformats.org/officeDocument/2006/relationships"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3111.xml><?xml version="1.0" encoding="utf-8"?>
<revisions xmlns="http://schemas.openxmlformats.org/spreadsheetml/2006/main" xmlns:r="http://schemas.openxmlformats.org/officeDocument/2006/relationships">
  <rcc rId="2104" sId="9" numFmtId="34">
    <oc r="C61">
      <v>16.698</v>
    </oc>
    <nc r="C61">
      <v>0</v>
    </nc>
  </rcc>
  <rcc rId="2105" sId="9" numFmtId="34">
    <oc r="D61">
      <v>16.698</v>
    </oc>
    <nc r="D61">
      <v>0</v>
    </nc>
  </rcc>
  <rcc rId="2106" sId="11" numFmtId="34">
    <oc r="C61">
      <v>19.635999999999999</v>
    </oc>
    <nc r="C61">
      <v>0</v>
    </nc>
  </rcc>
  <rcc rId="2107" sId="11" numFmtId="34">
    <oc r="D61">
      <v>19.635999999999999</v>
    </oc>
    <nc r="D61">
      <v>0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31111.xml><?xml version="1.0" encoding="utf-8"?>
<revisions xmlns="http://schemas.openxmlformats.org/spreadsheetml/2006/main" xmlns:r="http://schemas.openxmlformats.org/officeDocument/2006/relationships">
  <rcc rId="167" sId="14" numFmtId="4">
    <oc r="D30">
      <v>16.19961</v>
    </oc>
    <nc r="D30">
      <v>16.198450000000001</v>
    </nc>
  </rcc>
  <rcc rId="168" sId="14" numFmtId="4">
    <oc r="D42">
      <v>914.16399999999999</v>
    </oc>
    <nc r="D42">
      <v>1195.106</v>
    </nc>
  </rcc>
  <rcc rId="169" sId="14" numFmtId="4">
    <oc r="C42">
      <v>1904.029</v>
    </oc>
    <nc r="C42" t="inlineStr">
      <is>
        <t>1,906,663</t>
      </is>
    </nc>
  </rcc>
  <rcc rId="170" sId="14" numFmtId="4">
    <oc r="C44">
      <v>333.54</v>
    </oc>
    <nc r="C44">
      <v>573.79</v>
    </nc>
  </rcc>
  <rcc rId="171" sId="14" numFmtId="4">
    <oc r="D44">
      <v>78.587999999999994</v>
    </oc>
    <nc r="D44">
      <v>142.03800000000001</v>
    </nc>
  </rcc>
  <rcc rId="172" sId="14" numFmtId="4">
    <oc r="C45">
      <v>72.995000000000005</v>
    </oc>
    <nc r="C45">
      <v>73.953999999999994</v>
    </nc>
  </rcc>
  <rcc rId="173" sId="14" numFmtId="4">
    <oc r="D45">
      <v>29.605</v>
    </oc>
    <nc r="D45">
      <v>35.545999999999999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Чум!$19:$24,Чум!$31:$39,Чум!$46:$49,Чум!$57:$57,Чум!$59:$61,Чум!$67:$68,Чум!$77:$78,Чум!$82:$86,Чум!$89:$96,Чум!$141:$141</formula>
    <oldFormula>Чум!$19:$24,Чум!$31:$39,Чум!$46:$49,Чум!$57:$57,Чум!$59:$61,Чум!$67:$68,Чум!$77:$78,Чум!$82:$86,Чум!$89:$96,Чум!$141:$141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Шать!$19:$19,Шать!$22:$25,Шать!$46:$49,Шать!$57:$57,Шать!$59:$61,Шать!$67:$68,Шать!$77:$78,Шать!$82:$86,Шать!$89:$96,Шать!$141:$141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1312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Яро!$19:$24,Яро!$28:$36,Яро!$43:$44,Яро!$46:$47,Яро!$54:$54,Яро!$56:$58,Яро!$64:$65,Яро!$74:$74,Яро!$79:$83,Яро!$86:$93</formula>
    <oldFormula>Яро!$19:$24,Яро!$28:$36,Яро!$43:$44,Яро!$46:$47,Яро!$54:$54,Яро!$56:$58,Яро!$64:$65,Яро!$74:$74,Яро!$79:$83,Яро!$86:$93</oldFormula>
  </rdn>
  <rcv guid="{A54C432C-6C68-4B53-A75C-446EB3A61B2B}" action="add"/>
</revisions>
</file>

<file path=xl/revisions/revisionLog1132.xml><?xml version="1.0" encoding="utf-8"?>
<revisions xmlns="http://schemas.openxmlformats.org/spreadsheetml/2006/main" xmlns:r="http://schemas.openxmlformats.org/officeDocument/2006/relationships"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321.xml><?xml version="1.0" encoding="utf-8"?>
<revisions xmlns="http://schemas.openxmlformats.org/spreadsheetml/2006/main" xmlns:r="http://schemas.openxmlformats.org/officeDocument/2006/relationships">
  <rcc rId="7694" sId="15" numFmtId="34">
    <oc r="D58">
      <v>583.33378000000005</v>
    </oc>
    <nc r="D58">
      <v>676.06257000000005</v>
    </nc>
  </rcc>
  <rcc rId="7695" sId="15" numFmtId="34">
    <oc r="D65">
      <v>40.899059999999999</v>
    </oc>
    <nc r="D65">
      <v>48.679569999999998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3211.xml><?xml version="1.0" encoding="utf-8"?>
<revisions xmlns="http://schemas.openxmlformats.org/spreadsheetml/2006/main" xmlns:r="http://schemas.openxmlformats.org/officeDocument/2006/relationships">
  <rcc rId="7527" sId="16" numFmtId="4">
    <oc r="D15">
      <v>87.232789999999994</v>
    </oc>
    <nc r="D15">
      <v>90.049270000000007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32111.xml><?xml version="1.0" encoding="utf-8"?>
<revisions xmlns="http://schemas.openxmlformats.org/spreadsheetml/2006/main" xmlns:r="http://schemas.openxmlformats.org/officeDocument/2006/relationships"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321111.xml><?xml version="1.0" encoding="utf-8"?>
<revisions xmlns="http://schemas.openxmlformats.org/spreadsheetml/2006/main" xmlns:r="http://schemas.openxmlformats.org/officeDocument/2006/relationships">
  <rcc rId="2772" sId="2" numFmtId="4">
    <oc r="DM34">
      <v>21560.098000000002</v>
    </oc>
    <nc r="DM34">
      <v>21781.297999999999</v>
    </nc>
  </rcc>
  <rcc rId="2773" sId="2" numFmtId="4">
    <oc r="DN34">
      <v>7698.4496600000002</v>
    </oc>
    <nc r="DN34">
      <v>9710.4737700000005</v>
    </nc>
  </rcc>
  <rcc rId="2774" sId="2" numFmtId="4">
    <oc r="DS34">
      <v>110.01</v>
    </oc>
    <nc r="DS34">
      <v>101.01</v>
    </nc>
  </rcc>
  <rfmt sheetId="2" sqref="DV31">
    <dxf>
      <numFmt numFmtId="4" formatCode="#,##0.00"/>
    </dxf>
  </rfmt>
  <rfmt sheetId="2" sqref="DV31">
    <dxf>
      <numFmt numFmtId="173" formatCode="#,##0.000"/>
    </dxf>
  </rfmt>
  <rfmt sheetId="2" sqref="DV31">
    <dxf>
      <numFmt numFmtId="183" formatCode="#,##0.0000"/>
    </dxf>
  </rfmt>
  <rcc rId="2775" sId="2" numFmtId="4">
    <oc r="DV34">
      <v>114.6995</v>
    </oc>
    <nc r="DV34">
      <v>118.65349999999999</v>
    </nc>
  </rcc>
  <rcc rId="2776" sId="2" numFmtId="4">
    <oc r="DW34">
      <v>87.731459999999998</v>
    </oc>
    <nc r="DW34">
      <v>107.73146</v>
    </nc>
  </rcc>
  <rcc rId="2777" sId="2" numFmtId="4">
    <oc r="DZ34">
      <v>596.70727999999997</v>
    </oc>
    <nc r="DZ34">
      <v>786.36878999999999</v>
    </nc>
  </rcc>
  <rcc rId="2778" sId="2" numFmtId="4">
    <oc r="EB34">
      <v>170.2655</v>
    </oc>
    <nc r="EB34">
      <v>226.7655</v>
    </nc>
  </rcc>
  <rcc rId="2779" sId="2" numFmtId="4">
    <oc r="EC34">
      <v>20.800999999999998</v>
    </oc>
    <nc r="EC34">
      <v>21.401</v>
    </nc>
  </rcc>
  <rcc rId="2780" sId="2" numFmtId="4">
    <oc r="EE34">
      <v>31072.510470000001</v>
    </oc>
    <nc r="EE34">
      <v>34917.544470000001</v>
    </nc>
  </rcc>
  <rcc rId="2781" sId="2" numFmtId="4">
    <oc r="EF34">
      <v>6219.0158600000004</v>
    </oc>
    <nc r="EF34">
      <v>7142.7572200000004</v>
    </nc>
  </rcc>
  <rcc rId="2782" sId="2" numFmtId="4">
    <oc r="EH34">
      <v>18019.72939</v>
    </oc>
    <nc r="EH34">
      <v>18602.026389999999</v>
    </nc>
  </rcc>
  <rcc rId="2783" sId="2" numFmtId="4">
    <oc r="EI34">
      <v>3568.0493499999998</v>
    </oc>
    <nc r="EI34">
      <v>4708.5914700000003</v>
    </nc>
  </rcc>
  <rcc rId="2784" sId="2" numFmtId="4">
    <oc r="EK34">
      <v>32696.368999999999</v>
    </oc>
    <nc r="EK34">
      <v>28924.545999999998</v>
    </nc>
  </rcc>
  <rcc rId="2785" sId="2" numFmtId="4">
    <oc r="EL34">
      <v>10641.62053</v>
    </oc>
    <nc r="EL34">
      <v>12597.908149999999</v>
    </nc>
  </rcc>
  <rcc rId="2786" sId="2" numFmtId="4">
    <oc r="EQ34">
      <v>237</v>
    </oc>
    <nc r="EQ34">
      <v>230.30199999999999</v>
    </nc>
  </rcc>
  <rcc rId="2787" sId="2" numFmtId="4">
    <oc r="ER34">
      <v>87.974000000000004</v>
    </oc>
    <nc r="ER34">
      <v>89.349000000000004</v>
    </nc>
  </rcc>
  <rcc rId="2788" sId="2">
    <oc r="EW34">
      <v>-5511.1164699999999</v>
    </oc>
    <nc r="EW34">
      <v>-5562.1164699999999</v>
    </nc>
  </rcc>
  <rcc rId="2789" sId="2">
    <oc r="EX34">
      <v>605.64768000000004</v>
    </oc>
    <nc r="EX34">
      <v>597.54853000000003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c rId="9220" sId="8" numFmtId="34">
    <oc r="D61">
      <v>68.039000000000001</v>
    </oc>
    <nc r="D61">
      <v>0</v>
    </nc>
  </rcc>
  <rcc rId="9221" sId="9" numFmtId="34">
    <oc r="D61">
      <v>16.698</v>
    </oc>
    <nc r="D61">
      <v>0</v>
    </nc>
  </rcc>
  <rcc rId="9222" sId="11" numFmtId="34">
    <oc r="D61">
      <v>19.635999999999999</v>
    </oc>
    <nc r="D61"/>
  </rcc>
  <rcc rId="9223" sId="12" numFmtId="34">
    <oc r="D61">
      <v>16.561</v>
    </oc>
    <nc r="D61">
      <v>0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141.xml><?xml version="1.0" encoding="utf-8"?>
<revisions xmlns="http://schemas.openxmlformats.org/spreadsheetml/2006/main" xmlns:r="http://schemas.openxmlformats.org/officeDocument/2006/relationships">
  <rfmt sheetId="4" sqref="C38:D38">
    <dxf>
      <numFmt numFmtId="165" formatCode="_(* #,##0.00_);_(* \(#,##0.00\);_(* &quot;-&quot;??_);_(@_)"/>
    </dxf>
  </rfmt>
  <rfmt sheetId="4" sqref="C38:D38">
    <dxf>
      <numFmt numFmtId="184" formatCode="_(* #,##0.000_);_(* \(#,##0.000\);_(* &quot;-&quot;??_);_(@_)"/>
    </dxf>
  </rfmt>
  <rfmt sheetId="4" sqref="C38:D38">
    <dxf>
      <numFmt numFmtId="176" formatCode="_(* #,##0.0000_);_(* \(#,##0.0000\);_(* &quot;-&quot;??_);_(@_)"/>
    </dxf>
  </rfmt>
  <rcc rId="6101" sId="4" numFmtId="34">
    <oc r="C39">
      <v>1154.0999999999999</v>
    </oc>
    <nc r="C39">
      <v>1200.0540000000001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1411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4111.xml><?xml version="1.0" encoding="utf-8"?>
<revisions xmlns="http://schemas.openxmlformats.org/spreadsheetml/2006/main" xmlns:r="http://schemas.openxmlformats.org/officeDocument/2006/relationships">
  <rcc rId="1642" sId="19" odxf="1" dxf="1">
    <nc r="G45">
      <f>C48-5391.348</f>
    </nc>
    <odxf>
      <numFmt numFmtId="0" formatCode="General"/>
    </odxf>
    <ndxf>
      <numFmt numFmtId="172" formatCode="#,##0.00000"/>
    </ndxf>
  </rcc>
  <rcc rId="1643" sId="19" odxf="1" dxf="1">
    <nc r="H45">
      <f>D48-1594.92908</f>
    </nc>
    <odxf>
      <numFmt numFmtId="0" formatCode="General"/>
    </odxf>
    <ndxf>
      <numFmt numFmtId="172" formatCode="#,##0.00000"/>
    </ndxf>
  </rcc>
  <rcc rId="1644" sId="19" numFmtId="4">
    <oc r="C40">
      <v>386</v>
    </oc>
    <nc r="C40">
      <v>584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Яро!$19:$24,Яро!$28:$36,Яро!$43:$44,Яро!$46:$47,Яро!$54:$54,Яро!$56:$58,Яро!$64:$65,Яро!$74:$74,Яро!$79:$83,Яро!$86:$93</formula>
    <oldFormula>Яро!$19:$24,Яро!$28:$36,Яро!$43:$44,Яро!$46:$47,Яро!$54:$54,Яро!$56:$58,Яро!$64:$65,Яро!$74:$74,Яро!$79:$83,Яро!$86:$93</oldFormula>
  </rdn>
  <rcv guid="{A54C432C-6C68-4B53-A75C-446EB3A61B2B}" action="add"/>
</revisions>
</file>

<file path=xl/revisions/revisionLog11412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4121.xml><?xml version="1.0" encoding="utf-8"?>
<revisions xmlns="http://schemas.openxmlformats.org/spreadsheetml/2006/main" xmlns:r="http://schemas.openxmlformats.org/officeDocument/2006/relationships">
  <rcc rId="4472" sId="10" numFmtId="4">
    <oc r="D6">
      <v>102.97087000000001</v>
    </oc>
    <nc r="D6">
      <v>120.92672</v>
    </nc>
  </rcc>
  <rcc rId="4473" sId="10" numFmtId="4">
    <oc r="D8">
      <v>88.541259999999994</v>
    </oc>
    <nc r="D8">
      <v>106.14530999999999</v>
    </nc>
  </rcc>
  <rcc rId="4474" sId="10" numFmtId="4">
    <oc r="D9">
      <v>0.67122000000000004</v>
    </oc>
    <nc r="D9">
      <v>0.87053999999999998</v>
    </nc>
  </rcc>
  <rcc rId="4475" sId="10" numFmtId="4">
    <oc r="D10">
      <v>133.48831999999999</v>
    </oc>
    <nc r="D10">
      <v>161.72958</v>
    </nc>
  </rcc>
  <rcc rId="4476" sId="10" numFmtId="4">
    <oc r="D11">
      <v>-18.396249999999998</v>
    </oc>
    <nc r="D11">
      <v>-22.339390000000002</v>
    </nc>
  </rcc>
  <rcc rId="4477" sId="10" numFmtId="4">
    <oc r="D15">
      <v>7.8320999999999996</v>
    </oc>
    <nc r="D15">
      <v>17.93777</v>
    </nc>
  </rcc>
  <rcc rId="4478" sId="10" numFmtId="4">
    <oc r="D16">
      <v>136.66795999999999</v>
    </oc>
    <nc r="D16">
      <v>205.96367000000001</v>
    </nc>
  </rcc>
  <rcc rId="4479" sId="10" numFmtId="4">
    <oc r="D18">
      <v>2.77</v>
    </oc>
    <nc r="D18">
      <v>2.97</v>
    </nc>
  </rcc>
  <rcc rId="4480" sId="10" numFmtId="4">
    <oc r="D28">
      <v>27</v>
    </oc>
    <nc r="D28">
      <v>31.5</v>
    </nc>
  </rcc>
  <rcc rId="4481" sId="10" numFmtId="4">
    <oc r="D41">
      <v>826.21400000000006</v>
    </oc>
    <nc r="D41">
      <v>907.55799999999999</v>
    </nc>
  </rcc>
  <rcc rId="4482" sId="10" numFmtId="4">
    <oc r="D43">
      <v>180</v>
    </oc>
    <nc r="D43">
      <v>912.74599999999998</v>
    </nc>
  </rcc>
  <rcc rId="4483" sId="10" numFmtId="4">
    <oc r="D45">
      <v>74.343999999999994</v>
    </oc>
    <nc r="D45">
      <v>99.724000000000004</v>
    </nc>
  </rcc>
  <rcc rId="4484" sId="10" numFmtId="4">
    <oc r="C43">
      <v>1047.69</v>
    </oc>
    <nc r="C43">
      <v>1047.7360000000001</v>
    </nc>
  </rcc>
  <rcc rId="4485" sId="10" numFmtId="34">
    <oc r="D58">
      <v>517.54546000000005</v>
    </oc>
    <nc r="D58">
      <v>611.30350999999996</v>
    </nc>
  </rcc>
  <rcc rId="4486" sId="10" numFmtId="34">
    <oc r="D65">
      <v>54.724780000000003</v>
    </oc>
    <nc r="D65">
      <v>69.434780000000003</v>
    </nc>
  </rcc>
  <rcc rId="4487" sId="10" numFmtId="34">
    <oc r="D73">
      <v>42.866</v>
    </oc>
    <nc r="D73">
      <v>48.737200000000001</v>
    </nc>
  </rcc>
  <rcc rId="4488" sId="10" numFmtId="34">
    <oc r="C74">
      <v>1829.1735100000001</v>
    </oc>
    <nc r="C74">
      <v>1829.2195099999999</v>
    </nc>
  </rcc>
  <rcc rId="4489" sId="10" numFmtId="34">
    <oc r="D74">
      <v>300</v>
    </oc>
    <nc r="D74">
      <v>1394.345</v>
    </nc>
  </rcc>
  <rcc rId="4490" sId="10" numFmtId="34">
    <oc r="D79">
      <v>507.09224</v>
    </oc>
    <nc r="D79">
      <v>601.57722000000001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412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412111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413.xml><?xml version="1.0" encoding="utf-8"?>
<revisions xmlns="http://schemas.openxmlformats.org/spreadsheetml/2006/main" xmlns:r="http://schemas.openxmlformats.org/officeDocument/2006/relationships">
  <rfmt sheetId="5" sqref="C41">
    <dxf>
      <numFmt numFmtId="2" formatCode="0.00"/>
    </dxf>
  </rfmt>
  <rfmt sheetId="5" sqref="C41">
    <dxf>
      <numFmt numFmtId="187" formatCode="0.000"/>
    </dxf>
  </rfmt>
  <rfmt sheetId="5" sqref="C41">
    <dxf>
      <numFmt numFmtId="175" formatCode="0.0000"/>
    </dxf>
  </rfmt>
  <rfmt sheetId="5" sqref="C41">
    <dxf>
      <numFmt numFmtId="168" formatCode="0.00000"/>
    </dxf>
  </rfmt>
  <rfmt sheetId="5" sqref="C42">
    <dxf>
      <numFmt numFmtId="2" formatCode="0.00"/>
    </dxf>
  </rfmt>
  <rfmt sheetId="5" sqref="C42">
    <dxf>
      <numFmt numFmtId="187" formatCode="0.000"/>
    </dxf>
  </rfmt>
  <rfmt sheetId="5" sqref="C42">
    <dxf>
      <numFmt numFmtId="175" formatCode="0.0000"/>
    </dxf>
  </rfmt>
  <rfmt sheetId="5" sqref="C46">
    <dxf>
      <numFmt numFmtId="2" formatCode="0.00"/>
    </dxf>
  </rfmt>
  <rfmt sheetId="5" sqref="C46">
    <dxf>
      <numFmt numFmtId="187" formatCode="0.000"/>
    </dxf>
  </rfmt>
  <rfmt sheetId="5" sqref="C46">
    <dxf>
      <numFmt numFmtId="175" formatCode="0.0000"/>
    </dxf>
  </rfmt>
  <rfmt sheetId="5" sqref="C46">
    <dxf>
      <numFmt numFmtId="168" formatCode="0.00000"/>
    </dxf>
  </rfmt>
  <rfmt sheetId="5" sqref="C48">
    <dxf>
      <numFmt numFmtId="2" formatCode="0.00"/>
    </dxf>
  </rfmt>
  <rfmt sheetId="5" sqref="C48">
    <dxf>
      <numFmt numFmtId="187" formatCode="0.000"/>
    </dxf>
  </rfmt>
  <rfmt sheetId="5" sqref="C48">
    <dxf>
      <numFmt numFmtId="175" formatCode="0.0000"/>
    </dxf>
  </rfmt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4131.xml><?xml version="1.0" encoding="utf-8"?>
<revisions xmlns="http://schemas.openxmlformats.org/spreadsheetml/2006/main" xmlns:r="http://schemas.openxmlformats.org/officeDocument/2006/relationships">
  <rcc rId="2884" sId="4" numFmtId="4">
    <oc r="C41">
      <v>512.54</v>
    </oc>
    <nc r="C41">
      <v>512.58699999999999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414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42.xml><?xml version="1.0" encoding="utf-8"?>
<revisions xmlns="http://schemas.openxmlformats.org/spreadsheetml/2006/main" xmlns:r="http://schemas.openxmlformats.org/officeDocument/2006/relationships">
  <rcc rId="8528" sId="13" numFmtId="4">
    <oc r="D6">
      <v>46.898260000000001</v>
    </oc>
    <nc r="D6">
      <v>47.846409999999999</v>
    </nc>
  </rcc>
  <rcc rId="8529" sId="13" numFmtId="4">
    <oc r="D8">
      <v>83.093549999999993</v>
    </oc>
    <nc r="D8">
      <v>97.631410000000002</v>
    </nc>
  </rcc>
  <rcc rId="8530" sId="13" numFmtId="4">
    <oc r="D9">
      <v>0.68144000000000005</v>
    </oc>
    <nc r="D9">
      <v>0.83648</v>
    </nc>
  </rcc>
  <rcc rId="8531" sId="13" numFmtId="4">
    <oc r="D10">
      <v>126.60648</v>
    </oc>
    <nc r="D10">
      <v>148.00711999999999</v>
    </nc>
  </rcc>
  <rcc rId="8532" sId="13" numFmtId="4">
    <oc r="D11">
      <v>-17.487860000000001</v>
    </oc>
    <nc r="D11">
      <v>-22.761019999999998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421.xml><?xml version="1.0" encoding="utf-8"?>
<revisions xmlns="http://schemas.openxmlformats.org/spreadsheetml/2006/main" xmlns:r="http://schemas.openxmlformats.org/officeDocument/2006/relationships">
  <rcc rId="8129" sId="14" numFmtId="4">
    <oc r="D6">
      <v>46.679470000000002</v>
    </oc>
    <nc r="D6">
      <v>52.120100000000001</v>
    </nc>
  </rcc>
  <rcc rId="8130" sId="14" numFmtId="4">
    <oc r="D8">
      <v>78.80489</v>
    </oc>
    <nc r="D8">
      <v>92.592410000000001</v>
    </nc>
  </rcc>
  <rcc rId="8131" sId="14" numFmtId="4">
    <oc r="D9">
      <v>0.64632000000000001</v>
    </oc>
    <nc r="D9">
      <v>0.79335</v>
    </nc>
  </rcc>
  <rcc rId="8132" sId="14" numFmtId="4">
    <oc r="D10">
      <v>120.07195</v>
    </oc>
    <nc r="D10">
      <v>140.36803</v>
    </nc>
  </rcc>
  <rcc rId="8133" sId="14" numFmtId="4">
    <oc r="D11">
      <v>-16.585280000000001</v>
    </oc>
    <nc r="D11">
      <v>-21.586279999999999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4211.xml><?xml version="1.0" encoding="utf-8"?>
<revisions xmlns="http://schemas.openxmlformats.org/spreadsheetml/2006/main" xmlns:r="http://schemas.openxmlformats.org/officeDocument/2006/relationships"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42111.xml><?xml version="1.0" encoding="utf-8"?>
<revisions xmlns="http://schemas.openxmlformats.org/spreadsheetml/2006/main" xmlns:r="http://schemas.openxmlformats.org/officeDocument/2006/relationships">
  <rcc rId="7556" sId="16" numFmtId="34">
    <oc r="D57">
      <v>762.43084999999996</v>
    </oc>
    <nc r="D57">
      <v>877.44051000000002</v>
    </nc>
  </rcc>
  <rcc rId="7557" sId="16" numFmtId="34">
    <oc r="D64">
      <v>41.47</v>
    </oc>
    <nc r="D64">
      <v>45.599620000000002</v>
    </nc>
  </rcc>
  <rcc rId="7558" sId="16" numFmtId="34">
    <oc r="D69">
      <v>5.7</v>
    </oc>
    <nc r="D69">
      <v>12.650740000000001</v>
    </nc>
  </rcc>
  <rcc rId="7559" sId="16" numFmtId="34">
    <oc r="D72">
      <v>176.19782000000001</v>
    </oc>
    <nc r="D72">
      <v>218.19782000000001</v>
    </nc>
  </rcc>
  <rcc rId="7560" sId="16" numFmtId="34">
    <oc r="D73">
      <v>384.07621</v>
    </oc>
    <nc r="D73">
      <v>671.28821000000005</v>
    </nc>
  </rcc>
  <rcc rId="7561" sId="16" numFmtId="34">
    <oc r="D74">
      <v>23</v>
    </oc>
    <nc r="D74">
      <v>25</v>
    </nc>
  </rcc>
  <rcc rId="7562" sId="16" numFmtId="34">
    <oc r="D78">
      <v>106.15376000000001</v>
    </oc>
    <nc r="D78">
      <v>143.98253</v>
    </nc>
  </rcc>
  <rcc rId="7563" sId="16" numFmtId="34">
    <oc r="D80">
      <v>287.46026000000001</v>
    </oc>
    <nc r="D80">
      <v>379.68196999999998</v>
    </nc>
  </rcc>
  <rcc rId="7564" sId="16" numFmtId="34">
    <nc r="D98">
      <v>2437.0479</v>
    </nc>
  </rcc>
  <rcc rId="7565" sId="16" odxf="1" dxf="1">
    <nc r="E98">
      <f>D96-D98</f>
    </nc>
    <odxf>
      <numFmt numFmtId="0" formatCode="General"/>
    </odxf>
    <ndxf>
      <numFmt numFmtId="171" formatCode="_-* #,##0.00000_р_._-;\-* #,##0.00000_р_._-;_-* &quot;-&quot;?????_р_._-;_-@_-"/>
    </ndxf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4211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cc rId="2486" sId="8" numFmtId="34">
    <oc r="C61">
      <v>0</v>
    </oc>
    <nc r="C61">
      <v>68.039000000000001</v>
    </nc>
  </rcc>
  <rcc rId="2487" sId="8" numFmtId="34">
    <oc r="D61">
      <v>0</v>
    </oc>
    <nc r="D61">
      <v>68.039000000000001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5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512.xml><?xml version="1.0" encoding="utf-8"?>
<revisions xmlns="http://schemas.openxmlformats.org/spreadsheetml/2006/main" xmlns:r="http://schemas.openxmlformats.org/officeDocument/2006/relationships">
  <rcc rId="2075" sId="8" numFmtId="34">
    <oc r="C61">
      <v>68.039000000000001</v>
    </oc>
    <nc r="C61">
      <v>0</v>
    </nc>
  </rcc>
  <rcc rId="2076" sId="8" numFmtId="34">
    <oc r="D61">
      <v>68.039000000000001</v>
    </oc>
    <nc r="D61">
      <v>0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Кад!$19:$24,Кад!$44:$44,Кад!$56:$56,Кад!$58:$59,Кад!$66:$67,Кад!$88:$95</formula>
    <oldFormula>Кад!$19:$24,Кад!$44:$44,Кад!$56:$56,Кад!$58:$59,Кад!$66:$67,Кад!$88:$95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6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6111.xml><?xml version="1.0" encoding="utf-8"?>
<revisions xmlns="http://schemas.openxmlformats.org/spreadsheetml/2006/main" xmlns:r="http://schemas.openxmlformats.org/officeDocument/2006/relationships">
  <rcc rId="2135" sId="12" numFmtId="34">
    <oc r="C61">
      <v>16.561</v>
    </oc>
    <nc r="C61">
      <v>0</v>
    </nc>
  </rcc>
  <rcc rId="2136" sId="12" numFmtId="34">
    <oc r="D61">
      <v>16.561</v>
    </oc>
    <nc r="D61">
      <v>0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612.xml><?xml version="1.0" encoding="utf-8"?>
<revisions xmlns="http://schemas.openxmlformats.org/spreadsheetml/2006/main" xmlns:r="http://schemas.openxmlformats.org/officeDocument/2006/relationships">
  <rcc rId="4892" sId="2">
    <oc r="C34">
      <v>99695.429390000005</v>
    </oc>
    <nc r="C34">
      <v>105220.32939</v>
    </nc>
  </rcc>
  <rcc rId="4893" sId="2" numFmtId="4">
    <oc r="D34">
      <v>35772.129390000002</v>
    </oc>
    <nc r="D34">
      <v>42981.5766</v>
    </nc>
  </rcc>
  <rcc rId="4894" sId="2">
    <oc r="G34">
      <v>11224.61074</v>
    </oc>
    <nc r="G34">
      <v>14381.29061</v>
    </nc>
  </rcc>
  <rcc rId="4895" sId="2" numFmtId="4">
    <oc r="J34">
      <v>2355.0550600000001</v>
    </oc>
    <nc r="J34">
      <v>2762.4214000000002</v>
    </nc>
  </rcc>
  <rcc rId="4896" sId="2">
    <oc r="M34">
      <v>1687.65022</v>
    </oc>
    <nc r="M34">
      <v>2023.19391</v>
    </nc>
  </rcc>
  <rcc rId="4897" sId="2">
    <oc r="P34">
      <v>12.79397</v>
    </oc>
    <nc r="P34">
      <v>16.59271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6121.xml><?xml version="1.0" encoding="utf-8"?>
<revisions xmlns="http://schemas.openxmlformats.org/spreadsheetml/2006/main" xmlns:r="http://schemas.openxmlformats.org/officeDocument/2006/relationships">
  <rcc rId="4182" sId="13" numFmtId="4">
    <oc r="D6">
      <v>43.949330000000003</v>
    </oc>
    <nc r="D6">
      <v>46.898260000000001</v>
    </nc>
  </rcc>
  <rcc rId="4183" sId="13" numFmtId="4">
    <oc r="D8">
      <v>69.312600000000003</v>
    </oc>
    <nc r="D8">
      <v>83.093549999999993</v>
    </nc>
  </rcc>
  <rcc rId="4184" sId="13" numFmtId="4">
    <oc r="D9">
      <v>0.52544000000000002</v>
    </oc>
    <nc r="D9">
      <v>0.68144000000000005</v>
    </nc>
  </rcc>
  <rcc rId="4185" sId="13" numFmtId="4">
    <oc r="D10">
      <v>104.49842</v>
    </oc>
    <nc r="D10">
      <v>126.60648</v>
    </nc>
  </rcc>
  <rcc rId="4186" sId="13" numFmtId="4">
    <oc r="D11">
      <v>-14.4011</v>
    </oc>
    <nc r="D11">
      <v>-17.487860000000001</v>
    </nc>
  </rcc>
  <rcc rId="4187" sId="13" numFmtId="4">
    <oc r="D15">
      <v>1.37137</v>
    </oc>
    <nc r="D15">
      <v>2.9229599999999998</v>
    </nc>
  </rcc>
  <rcc rId="4188" sId="13" numFmtId="4">
    <oc r="D16">
      <v>43.329410000000003</v>
    </oc>
    <nc r="D16">
      <v>74.252979999999994</v>
    </nc>
  </rcc>
  <rcc rId="4189" sId="13" numFmtId="4">
    <oc r="D18">
      <v>18.8</v>
    </oc>
    <nc r="D18">
      <v>19</v>
    </nc>
  </rcc>
  <rcc rId="4190" sId="13" numFmtId="4">
    <oc r="D39">
      <v>769.33900000000006</v>
    </oc>
    <nc r="D39">
      <v>845.08399999999995</v>
    </nc>
  </rcc>
  <rcc rId="4191" sId="13" numFmtId="4">
    <oc r="D43">
      <v>35.545999999999999</v>
    </oc>
    <nc r="D43">
      <v>47.426000000000002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61211.xml><?xml version="1.0" encoding="utf-8"?>
<revisions xmlns="http://schemas.openxmlformats.org/spreadsheetml/2006/main" xmlns:r="http://schemas.openxmlformats.org/officeDocument/2006/relationships">
  <rcc rId="2301" sId="2">
    <oc r="H28">
      <f>G28/F28*100</f>
    </oc>
    <nc r="H28">
      <f>G28/F28*100</f>
    </nc>
  </rcc>
  <rcc rId="2302" sId="2">
    <oc r="D28">
      <f>G28+CA28+CY28</f>
    </oc>
    <nc r="D28">
      <f>G28+CA28+CY28</f>
    </nc>
  </rcc>
  <rcc rId="2303" sId="2">
    <oc r="E28">
      <f>D28/C28*100</f>
    </oc>
    <nc r="E28">
      <f>D28/C28*100</f>
    </nc>
  </rcc>
  <rcc rId="2304" sId="2">
    <oc r="D31">
      <f>SUM(D14:D29)</f>
    </oc>
    <nc r="D31">
      <f>SUM(D14:D29)</f>
    </nc>
  </rcc>
  <rcc rId="2305" sId="2">
    <oc r="E31">
      <f>D31/C31*100</f>
    </oc>
    <nc r="E31">
      <f>D31/C31*100</f>
    </nc>
  </rcc>
  <rcc rId="2306" sId="1" numFmtId="4">
    <oc r="C29">
      <v>60738.55762</v>
    </oc>
    <nc r="C29">
      <v>60958.662620000003</v>
    </nc>
  </rcc>
  <rcc rId="2307" sId="1" numFmtId="4">
    <oc r="D29">
      <v>21513.956289999998</v>
    </oc>
    <nc r="D29">
      <v>27332.69313</v>
    </nc>
  </rcc>
  <rcc rId="2308" sId="1" numFmtId="4">
    <oc r="C31">
      <v>4448.7484999999997</v>
    </oc>
    <nc r="C31">
      <v>4884.8485000000001</v>
    </nc>
  </rcc>
  <rcc rId="2309" sId="1" numFmtId="4">
    <oc r="D31">
      <v>1384.7828</v>
    </oc>
    <nc r="D31">
      <v>2404.9962300000002</v>
    </nc>
  </rcc>
  <rcc rId="2310" sId="1" numFmtId="4">
    <oc r="C36">
      <v>52104.419430000002</v>
    </oc>
    <nc r="C36">
      <v>51065.796430000002</v>
    </nc>
  </rcc>
  <rcc rId="2311" sId="1" numFmtId="4">
    <oc r="D36">
      <v>19555.018169999999</v>
    </oc>
    <nc r="D36">
      <v>23363.11781</v>
    </nc>
  </rcc>
  <rcc rId="2312" sId="1" numFmtId="4">
    <oc r="C37">
      <v>30984.825000000001</v>
    </oc>
    <nc r="C37">
      <v>31610.215459999999</v>
    </nc>
  </rcc>
  <rcc rId="2313" sId="1" numFmtId="4">
    <oc r="D37">
      <v>3346.4604100000001</v>
    </oc>
    <nc r="D37">
      <v>5397.9820200000004</v>
    </nc>
  </rcc>
  <rcc rId="2314" sId="1" numFmtId="4">
    <oc r="C38">
      <v>9048.2000000000007</v>
    </oc>
    <nc r="C38">
      <v>5990.6446100000003</v>
    </nc>
  </rcc>
  <rcc rId="2315" sId="1" numFmtId="4">
    <oc r="D38">
      <v>3170.489</v>
    </oc>
    <nc r="D38">
      <v>3577.1689000000001</v>
    </nc>
  </rcc>
  <rcc rId="2316" sId="1" numFmtId="4">
    <oc r="C32">
      <v>196456.11047000001</v>
    </oc>
    <nc r="C32">
      <v>182296.58246999999</v>
    </nc>
  </rcc>
  <rcc rId="2317" sId="1" numFmtId="4">
    <oc r="D32">
      <v>15740.454299999999</v>
    </oc>
    <nc r="D32">
      <v>19191.317470000002</v>
    </nc>
  </rcc>
  <rcc rId="2318" sId="1" numFmtId="4">
    <oc r="C33">
      <v>19596.831150000002</v>
    </oc>
    <nc r="C33">
      <v>22279.12815</v>
    </nc>
  </rcc>
  <rcc rId="2319" sId="1" numFmtId="4">
    <oc r="D33">
      <v>3620.9673899999998</v>
    </oc>
    <nc r="D33">
      <v>4928.9943599999997</v>
    </nc>
  </rcc>
  <rfmt sheetId="1" sqref="D28">
    <dxf>
      <numFmt numFmtId="2" formatCode="0.00"/>
    </dxf>
  </rfmt>
  <rfmt sheetId="1" sqref="D28">
    <dxf>
      <numFmt numFmtId="183" formatCode="0.000"/>
    </dxf>
  </rfmt>
  <rfmt sheetId="1" sqref="D28">
    <dxf>
      <numFmt numFmtId="175" formatCode="0.0000"/>
    </dxf>
  </rfmt>
  <rfmt sheetId="1" sqref="D28">
    <dxf>
      <numFmt numFmtId="168" formatCode="0.00000"/>
    </dxf>
  </rfmt>
  <rfmt sheetId="1" sqref="C28">
    <dxf>
      <numFmt numFmtId="2" formatCode="0.00"/>
    </dxf>
  </rfmt>
  <rfmt sheetId="1" sqref="C28">
    <dxf>
      <numFmt numFmtId="183" formatCode="0.000"/>
    </dxf>
  </rfmt>
  <rfmt sheetId="1" sqref="C28">
    <dxf>
      <numFmt numFmtId="175" formatCode="0.0000"/>
    </dxf>
  </rfmt>
  <rfmt sheetId="1" sqref="C28">
    <dxf>
      <numFmt numFmtId="168" formatCode="0.00000"/>
    </dxf>
  </rfmt>
  <rfmt sheetId="1" sqref="C28:D28">
    <dxf>
      <numFmt numFmtId="175" formatCode="0.0000"/>
    </dxf>
  </rfmt>
  <rfmt sheetId="1" sqref="C28:D28">
    <dxf>
      <numFmt numFmtId="183" formatCode="0.000"/>
    </dxf>
  </rfmt>
  <rfmt sheetId="1" sqref="C28:D28">
    <dxf>
      <numFmt numFmtId="2" formatCode="0.00"/>
    </dxf>
  </rfmt>
  <rfmt sheetId="1" sqref="C28:D28">
    <dxf>
      <numFmt numFmtId="166" formatCode="0.0"/>
    </dxf>
  </rfmt>
  <rcc rId="2320" sId="1" numFmtId="4">
    <oc r="C24">
      <v>574415.4057</v>
    </oc>
    <nc r="C24">
      <v>567173.59115999995</v>
    </nc>
  </rcc>
  <rcc rId="2321" sId="1" numFmtId="4">
    <oc r="D24">
      <v>169231.65061000001</v>
    </oc>
    <nc r="D24">
      <v>217384.21599999999</v>
    </nc>
  </rcc>
  <rcc rId="2322" sId="1">
    <oc r="C27">
      <f>C24+C23+C26</f>
    </oc>
    <nc r="C27">
      <f>C24+C23+C26+C25</f>
    </nc>
  </rcc>
  <rcc rId="2323" sId="1">
    <oc r="D27">
      <f>D24+D23+D26+D25</f>
    </oc>
    <nc r="D27">
      <f>D24+D23+D26+D25</f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613.xml><?xml version="1.0" encoding="utf-8"?>
<revisions xmlns="http://schemas.openxmlformats.org/spreadsheetml/2006/main" xmlns:r="http://schemas.openxmlformats.org/officeDocument/2006/relationships">
  <rcc rId="4081" sId="15">
    <oc r="A1" t="inlineStr">
      <is>
        <t xml:space="preserve">                     Анализ исполнения бюджета Шатьмапосинского сельского поселения на 01.07.2018 г.</t>
      </is>
    </oc>
    <nc r="A1" t="inlineStr">
      <is>
        <t xml:space="preserve">                     Анализ исполнения бюджета Шатьмапосинского сельского поселения на 01.08.2018 г.</t>
      </is>
    </nc>
  </rcc>
  <rcc rId="4082" sId="15">
    <oc r="D3" t="inlineStr">
      <is>
        <t>исполнен на 01.07.2018 г.</t>
      </is>
    </oc>
    <nc r="D3" t="inlineStr">
      <is>
        <t>исполнен на 01.08.2018 г.</t>
      </is>
    </nc>
  </rcc>
  <rcc rId="4083" sId="15">
    <oc r="D54" t="inlineStr">
      <is>
        <t>исполнено на 01.07.2018 г.</t>
      </is>
    </oc>
    <nc r="D54" t="inlineStr">
      <is>
        <t>исполнено на 01.08.2018 г.</t>
      </is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6131.xml><?xml version="1.0" encoding="utf-8"?>
<revisions xmlns="http://schemas.openxmlformats.org/spreadsheetml/2006/main" xmlns:r="http://schemas.openxmlformats.org/officeDocument/2006/relationships">
  <rcc rId="2712" sId="2">
    <oc r="EB35">
      <f>EB34-EB31</f>
    </oc>
    <nc r="EB35">
      <f>EB34-EB31</f>
    </nc>
  </rcc>
  <rcc rId="2713" sId="2">
    <oc r="EC35">
      <f>EC34-EC31</f>
    </oc>
    <nc r="EC35">
      <f>EC34-EC31</f>
    </nc>
  </rcc>
  <rcc rId="2714" sId="2">
    <oc r="EE35">
      <f>EE34-EE31</f>
    </oc>
    <nc r="EE35">
      <f>EE34-EE31</f>
    </nc>
  </rcc>
  <rcc rId="2715" sId="2">
    <oc r="EF35">
      <f>EF34-EF31</f>
    </oc>
    <nc r="EF35">
      <f>EF34-EF31</f>
    </nc>
  </rcc>
  <rcc rId="2716" sId="2">
    <oc r="EH35">
      <f>EH34-EH31</f>
    </oc>
    <nc r="EH35">
      <f>EH34-EH31</f>
    </nc>
  </rcc>
  <rcc rId="2717" sId="2">
    <oc r="EI35">
      <f>EI34-EI31</f>
    </oc>
    <nc r="EI35">
      <f>EI34-EI31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61311.xml><?xml version="1.0" encoding="utf-8"?>
<revisions xmlns="http://schemas.openxmlformats.org/spreadsheetml/2006/main" xmlns:r="http://schemas.openxmlformats.org/officeDocument/2006/relationships">
  <rcc rId="2571" sId="11" numFmtId="34">
    <oc r="C61">
      <v>0</v>
    </oc>
    <nc r="C61">
      <v>19.635999999999999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614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62.xml><?xml version="1.0" encoding="utf-8"?>
<revisions xmlns="http://schemas.openxmlformats.org/spreadsheetml/2006/main" xmlns:r="http://schemas.openxmlformats.org/officeDocument/2006/relationships">
  <rcc rId="8708" sId="13" numFmtId="34">
    <oc r="D56">
      <v>487.38490000000002</v>
    </oc>
    <nc r="D56">
      <v>576.25149999999996</v>
    </nc>
  </rcc>
  <rcc rId="8709" sId="13" numFmtId="34">
    <oc r="D63">
      <v>35.294739999999997</v>
    </oc>
    <nc r="D63">
      <v>40.802509999999998</v>
    </nc>
  </rcc>
  <rcc rId="8710" sId="13" numFmtId="34">
    <oc r="D67">
      <v>0</v>
    </oc>
    <nc r="D67">
      <v>2</v>
    </nc>
  </rcc>
  <rcc rId="8711" sId="13" numFmtId="34">
    <oc r="D72">
      <v>407.35527000000002</v>
    </oc>
    <nc r="D72">
      <v>757.28727000000003</v>
    </nc>
  </rcc>
  <rcc rId="8712" sId="13" numFmtId="34">
    <oc r="D77">
      <v>106.90447</v>
    </oc>
    <nc r="D77">
      <v>122.06634</v>
    </nc>
  </rcc>
  <rcc rId="8713" sId="13" numFmtId="34">
    <oc r="D79">
      <v>465</v>
    </oc>
    <nc r="D79">
      <v>585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621.xml><?xml version="1.0" encoding="utf-8"?>
<revisions xmlns="http://schemas.openxmlformats.org/spreadsheetml/2006/main" xmlns:r="http://schemas.openxmlformats.org/officeDocument/2006/relationships"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6211.xml><?xml version="1.0" encoding="utf-8"?>
<revisions xmlns="http://schemas.openxmlformats.org/spreadsheetml/2006/main" xmlns:r="http://schemas.openxmlformats.org/officeDocument/2006/relationships">
  <rcc rId="4617" sId="8" numFmtId="34">
    <oc r="C74">
      <v>1303.2341699999999</v>
    </oc>
    <nc r="C74">
      <v>1073.92517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622.xml><?xml version="1.0" encoding="utf-8"?>
<revisions xmlns="http://schemas.openxmlformats.org/spreadsheetml/2006/main" xmlns:r="http://schemas.openxmlformats.org/officeDocument/2006/relationships">
  <rcc rId="8011" sId="14" numFmtId="4">
    <oc r="D15">
      <v>6.7780100000000001</v>
    </oc>
    <nc r="D15">
      <v>22.861139999999999</v>
    </nc>
  </rcc>
  <rcc rId="8012" sId="14" numFmtId="4">
    <oc r="D16">
      <v>109.15412000000001</v>
    </oc>
    <nc r="D16">
      <v>214.11055999999999</v>
    </nc>
  </rcc>
  <rcc rId="8013" sId="14" numFmtId="4">
    <oc r="D18">
      <v>7</v>
    </oc>
    <nc r="D18">
      <v>7.5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6221.xml><?xml version="1.0" encoding="utf-8"?>
<revisions xmlns="http://schemas.openxmlformats.org/spreadsheetml/2006/main" xmlns:r="http://schemas.openxmlformats.org/officeDocument/2006/relationships">
  <rcc rId="7724" sId="15" numFmtId="34">
    <oc r="D74">
      <v>385.42703999999998</v>
    </oc>
    <nc r="D74">
      <v>675.07704000000001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62211.xml><?xml version="1.0" encoding="utf-8"?>
<revisions xmlns="http://schemas.openxmlformats.org/spreadsheetml/2006/main" xmlns:r="http://schemas.openxmlformats.org/officeDocument/2006/relationships">
  <rcc rId="4837" sId="7" numFmtId="34">
    <oc r="D73">
      <v>3619.55845</v>
    </oc>
    <nc r="D73">
      <v>319.55844999999999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63.xml><?xml version="1.0" encoding="utf-8"?>
<revisions xmlns="http://schemas.openxmlformats.org/spreadsheetml/2006/main" xmlns:r="http://schemas.openxmlformats.org/officeDocument/2006/relationships"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171.xml><?xml version="1.0" encoding="utf-8"?>
<revisions xmlns="http://schemas.openxmlformats.org/spreadsheetml/2006/main" xmlns:r="http://schemas.openxmlformats.org/officeDocument/2006/relationships">
  <rcc rId="8378" sId="14" numFmtId="34">
    <nc r="D99">
      <v>1992.59654</v>
    </nc>
  </rcc>
  <rcc rId="8379" sId="14" odxf="1" dxf="1">
    <nc r="E99">
      <f>D97-D99</f>
    </nc>
    <odxf>
      <numFmt numFmtId="0" formatCode="General"/>
    </odxf>
    <ndxf>
      <numFmt numFmtId="172" formatCode="#,##0.00000"/>
    </ndxf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711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7111.xml><?xml version="1.0" encoding="utf-8"?>
<revisions xmlns="http://schemas.openxmlformats.org/spreadsheetml/2006/main" xmlns:r="http://schemas.openxmlformats.org/officeDocument/2006/relationships">
  <rcc rId="2272" sId="2">
    <oc r="G28">
      <f>J28+Y28+AB28+AE28+AH28+AN28+AT28+BF28+AK28+BR28+BO28+AZ28+M28+S28+P28+V28+AQ28</f>
    </oc>
    <nc r="G28">
      <f>J28+Y28+AB28+AE28+AH28+AN28+AT28+BF28+AK28+BR28+BO28+AZ28+M28+S28+P28+V28+AQ28</f>
    </nc>
  </rcc>
  <rcc rId="2273" sId="2">
    <oc r="AT28">
      <f>Яра!#REF!</f>
    </oc>
    <nc r="AT28">
      <f>Яра!D28</f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71111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72.xml><?xml version="1.0" encoding="utf-8"?>
<revisions xmlns="http://schemas.openxmlformats.org/spreadsheetml/2006/main" xmlns:r="http://schemas.openxmlformats.org/officeDocument/2006/relationships">
  <rcc rId="2656" sId="2">
    <oc r="DM35">
      <f>DM34-DM31</f>
    </oc>
    <nc r="DM35">
      <f>DM34-DM31</f>
    </nc>
  </rcc>
  <rcc rId="2657" sId="2">
    <oc r="DN35">
      <f>DN34-DN31</f>
    </oc>
    <nc r="DN35">
      <f>DN34-DN31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721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73.xml><?xml version="1.0" encoding="utf-8"?>
<revisions xmlns="http://schemas.openxmlformats.org/spreadsheetml/2006/main" xmlns:r="http://schemas.openxmlformats.org/officeDocument/2006/relationships">
  <rcc rId="8190" sId="14" numFmtId="34">
    <oc r="D58">
      <v>700.36365000000001</v>
    </oc>
    <nc r="D58">
      <v>764.09163000000001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731.xml><?xml version="1.0" encoding="utf-8"?>
<revisions xmlns="http://schemas.openxmlformats.org/spreadsheetml/2006/main" xmlns:r="http://schemas.openxmlformats.org/officeDocument/2006/relationships"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7311.xml><?xml version="1.0" encoding="utf-8"?>
<revisions xmlns="http://schemas.openxmlformats.org/spreadsheetml/2006/main" xmlns:r="http://schemas.openxmlformats.org/officeDocument/2006/relationships">
  <rcc rId="7897" sId="15" numFmtId="34">
    <oc r="D99">
      <v>2012.6383499999999</v>
    </oc>
    <nc r="D99"/>
  </rcc>
  <rcc rId="7898" sId="15">
    <oc r="E99">
      <f>D97-D99</f>
    </oc>
    <nc r="E99"/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73111.xml><?xml version="1.0" encoding="utf-8"?>
<revisions xmlns="http://schemas.openxmlformats.org/spreadsheetml/2006/main" xmlns:r="http://schemas.openxmlformats.org/officeDocument/2006/relationships">
  <rcc rId="2817" sId="2" numFmtId="4">
    <oc r="DP34">
      <v>0</v>
    </oc>
    <nc r="DP34">
      <v>168.8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cc rId="2974" sId="5" numFmtId="4">
    <oc r="D6">
      <v>185.57818</v>
    </oc>
    <nc r="D6">
      <v>222.73853</v>
    </nc>
  </rcc>
  <rcc rId="2975" sId="5" numFmtId="4">
    <oc r="D8">
      <v>117.16065999999999</v>
    </oc>
    <nc r="D8">
      <v>140.45489000000001</v>
    </nc>
  </rcc>
  <rcc rId="2976" sId="5" numFmtId="4">
    <oc r="D9">
      <v>0.88817000000000002</v>
    </oc>
    <nc r="D9">
      <v>1.15191</v>
    </nc>
  </rcc>
  <rcc rId="2977" sId="5" numFmtId="4">
    <oc r="D10">
      <v>176.63603000000001</v>
    </oc>
    <nc r="D10">
      <v>214.00582</v>
    </nc>
  </rcc>
  <rcc rId="2978" sId="5" numFmtId="4">
    <oc r="D11">
      <v>-24.342510000000001</v>
    </oc>
    <nc r="D11">
      <v>-29.560199999999998</v>
    </nc>
  </rcc>
  <rcc rId="2979" sId="5" numFmtId="4">
    <oc r="D15">
      <f>26.78063+0.71544</f>
    </oc>
    <nc r="D15">
      <v>49.1175</v>
    </nc>
  </rcc>
  <rcc rId="2980" sId="5" numFmtId="4">
    <oc r="D16">
      <f>97.639+0.62814+60.64329+4.79089</f>
    </oc>
    <nc r="D16">
      <v>239.05992000000001</v>
    </nc>
  </rcc>
  <rcc rId="2981" sId="5" numFmtId="4">
    <oc r="D18">
      <v>6.8</v>
    </oc>
    <nc r="D18">
      <v>9.0749999999999993</v>
    </nc>
  </rcc>
  <rcc rId="2982" sId="5" numFmtId="4">
    <oc r="D31">
      <v>123.34488</v>
    </oc>
    <nc r="D31">
      <v>148.54501999999999</v>
    </nc>
  </rcc>
  <rcc rId="2983" sId="5" numFmtId="4">
    <oc r="D33">
      <v>591.20000000000005</v>
    </oc>
    <nc r="D33">
      <v>586</v>
    </nc>
  </rcc>
  <rcc rId="2984" sId="5" numFmtId="4">
    <oc r="D46">
      <v>74.344999999999999</v>
    </oc>
    <nc r="D46">
      <v>99.724999999999994</v>
    </nc>
  </rcc>
  <rcc rId="2985" sId="5" numFmtId="4">
    <oc r="D42">
      <v>2223.431</v>
    </oc>
    <nc r="D42">
      <v>2442.337</v>
    </nc>
  </rcc>
  <rfmt sheetId="5" sqref="D41">
    <dxf>
      <numFmt numFmtId="2" formatCode="0.00"/>
    </dxf>
  </rfmt>
  <rfmt sheetId="5" sqref="D41">
    <dxf>
      <numFmt numFmtId="187" formatCode="0.000"/>
    </dxf>
  </rfmt>
  <rfmt sheetId="5" sqref="D41">
    <dxf>
      <numFmt numFmtId="175" formatCode="0.0000"/>
    </dxf>
  </rfmt>
  <rfmt sheetId="5" sqref="D41">
    <dxf>
      <numFmt numFmtId="168" formatCode="0.00000"/>
    </dxf>
  </rfmt>
  <rfmt sheetId="5" sqref="D42:D48">
    <dxf>
      <numFmt numFmtId="2" formatCode="0.00"/>
    </dxf>
  </rfmt>
  <rfmt sheetId="5" sqref="D42:D48">
    <dxf>
      <numFmt numFmtId="187" formatCode="0.000"/>
    </dxf>
  </rfmt>
  <rfmt sheetId="5" sqref="D42:D48">
    <dxf>
      <numFmt numFmtId="175" formatCode="0.0000"/>
    </dxf>
  </rfmt>
  <rfmt sheetId="5" sqref="D42:D48">
    <dxf>
      <numFmt numFmtId="168" formatCode="0.00000"/>
    </dxf>
  </rfmt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81.xml><?xml version="1.0" encoding="utf-8"?>
<revisions xmlns="http://schemas.openxmlformats.org/spreadsheetml/2006/main" xmlns:r="http://schemas.openxmlformats.org/officeDocument/2006/relationships">
  <rcc rId="2515" sId="8" numFmtId="34">
    <oc r="D61">
      <v>68.039000000000001</v>
    </oc>
    <nc r="D61">
      <v>0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8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82.xml><?xml version="1.0" encoding="utf-8"?>
<revisions xmlns="http://schemas.openxmlformats.org/spreadsheetml/2006/main" xmlns:r="http://schemas.openxmlformats.org/officeDocument/2006/relationships">
  <rfmt sheetId="4" sqref="D38">
    <dxf>
      <numFmt numFmtId="2" formatCode="0.00"/>
    </dxf>
  </rfmt>
  <rfmt sheetId="4" sqref="D38">
    <dxf>
      <numFmt numFmtId="187" formatCode="0.000"/>
    </dxf>
  </rfmt>
  <rfmt sheetId="4" sqref="D38">
    <dxf>
      <numFmt numFmtId="175" formatCode="0.0000"/>
    </dxf>
  </rfmt>
  <rfmt sheetId="4" sqref="D38">
    <dxf>
      <numFmt numFmtId="168" formatCode="0.00000"/>
    </dxf>
  </rfmt>
  <rfmt sheetId="4" sqref="D38">
    <dxf>
      <numFmt numFmtId="174" formatCode="0.000000"/>
    </dxf>
  </rfmt>
  <rcc rId="2912" sId="4" numFmtId="34">
    <oc r="D54">
      <v>516.98374999999999</v>
    </oc>
    <nc r="D54">
      <v>615.05649000000005</v>
    </nc>
  </rcc>
  <rcc rId="2913" sId="4" numFmtId="34">
    <oc r="D61">
      <v>33.984499999999997</v>
    </oc>
    <nc r="D61">
      <v>41.253</v>
    </nc>
  </rcc>
  <rcc rId="2914" sId="4" numFmtId="34">
    <oc r="D70">
      <v>140.22257999999999</v>
    </oc>
    <nc r="D70">
      <v>283.22212000000002</v>
    </nc>
  </rcc>
  <rcc rId="2915" sId="4" numFmtId="34">
    <oc r="D77">
      <v>689.48599999999999</v>
    </oc>
    <nc r="D77">
      <v>719.48599999999999</v>
    </nc>
  </rcc>
  <rfmt sheetId="4" sqref="C52:C72">
    <dxf>
      <numFmt numFmtId="185" formatCode="_(* #,##0.000_);_(* \(#,##0.000\);_(* &quot;-&quot;??_);_(@_)"/>
    </dxf>
  </rfmt>
  <rfmt sheetId="4" sqref="C52:C72">
    <dxf>
      <numFmt numFmtId="176" formatCode="_(* #,##0.0000_);_(* \(#,##0.0000\);_(* &quot;-&quot;??_);_(@_)"/>
    </dxf>
  </rfmt>
  <rfmt sheetId="4" sqref="C52:C72">
    <dxf>
      <numFmt numFmtId="177" formatCode="_(* #,##0.00000_);_(* \(#,##0.00000\);_(* &quot;-&quot;??_);_(@_)"/>
    </dxf>
  </rfmt>
  <rcc rId="2916" sId="4" numFmtId="34">
    <oc r="C70">
      <v>923.36554000000001</v>
    </oc>
    <nc r="C70">
      <v>923.41254000000004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82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8211.xml><?xml version="1.0" encoding="utf-8"?>
<revisions xmlns="http://schemas.openxmlformats.org/spreadsheetml/2006/main" xmlns:r="http://schemas.openxmlformats.org/officeDocument/2006/relationships">
  <rcc rId="2543" sId="9" numFmtId="34">
    <oc r="C61">
      <v>0</v>
    </oc>
    <nc r="C61">
      <v>16.698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9.xml><?xml version="1.0" encoding="utf-8"?>
<revisions xmlns="http://schemas.openxmlformats.org/spreadsheetml/2006/main" xmlns:r="http://schemas.openxmlformats.org/officeDocument/2006/relationships">
  <rcc rId="9252" sId="15" numFmtId="34">
    <oc r="D61">
      <v>32.152000000000001</v>
    </oc>
    <nc r="D61">
      <v>0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19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1911.xml><?xml version="1.0" encoding="utf-8"?>
<revisions xmlns="http://schemas.openxmlformats.org/spreadsheetml/2006/main" xmlns:r="http://schemas.openxmlformats.org/officeDocument/2006/relationships">
  <rcc rId="8589" sId="13" numFmtId="4">
    <oc r="D15">
      <v>3.0311699999999999</v>
    </oc>
    <nc r="D15">
      <v>10.85896</v>
    </nc>
  </rcc>
  <rcc rId="8590" sId="13" numFmtId="4">
    <oc r="D16">
      <v>74.252979999999994</v>
    </oc>
    <nc r="D16">
      <v>150.21691000000001</v>
    </nc>
  </rcc>
  <rcc rId="8591" sId="13" numFmtId="4">
    <oc r="D18">
      <v>19</v>
    </oc>
    <nc r="D18">
      <v>19.8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9111.xml><?xml version="1.0" encoding="utf-8"?>
<revisions xmlns="http://schemas.openxmlformats.org/spreadsheetml/2006/main" xmlns:r="http://schemas.openxmlformats.org/officeDocument/2006/relationships">
  <rcc rId="2599" sId="12" numFmtId="34">
    <oc r="C61">
      <v>0</v>
    </oc>
    <nc r="C61">
      <v>16.561</v>
    </nc>
  </rcc>
  <rcc rId="2600" sId="15" numFmtId="34">
    <oc r="C61">
      <v>0</v>
    </oc>
    <nc r="C61">
      <v>32.152000000000001</v>
    </nc>
  </rcc>
  <rcc rId="2601" sId="17" numFmtId="34">
    <oc r="C62">
      <v>0</v>
    </oc>
    <nc r="C62">
      <v>15.714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912.xml><?xml version="1.0" encoding="utf-8"?>
<revisions xmlns="http://schemas.openxmlformats.org/spreadsheetml/2006/main" xmlns:r="http://schemas.openxmlformats.org/officeDocument/2006/relationships">
  <rcc rId="8408" sId="14" numFmtId="34">
    <oc r="D72">
      <v>3.7490000000000001</v>
    </oc>
    <nc r="D72">
      <v>3.75</v>
    </nc>
  </rcc>
  <rcc rId="8409" sId="14" numFmtId="34">
    <oc r="D75">
      <v>31.861999999999998</v>
    </oc>
    <nc r="D75">
      <v>39.561999999999998</v>
    </nc>
  </rcc>
  <rcc rId="8410" sId="14" numFmtId="34">
    <oc r="D99">
      <v>1992.59654</v>
    </oc>
    <nc r="D99"/>
  </rcc>
  <rcc rId="8411" sId="14">
    <oc r="E99">
      <f>D97-D99</f>
    </oc>
    <nc r="E99"/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9121.xml><?xml version="1.0" encoding="utf-8"?>
<revisions xmlns="http://schemas.openxmlformats.org/spreadsheetml/2006/main" xmlns:r="http://schemas.openxmlformats.org/officeDocument/2006/relationships">
  <rcc rId="8219" sId="14" numFmtId="34">
    <oc r="D65">
      <v>43.778379999999999</v>
    </oc>
    <nc r="D65">
      <v>48.432270000000003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91211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Кад!$19:$24,Кад!$44:$44,Кад!$56:$56,Кад!$58:$59,Кад!$66:$67,Кад!$88:$95</formula>
    <oldFormula>Кад!$19:$24,Кад!$44:$44,Кад!$56:$56,Кад!$58:$59,Кад!$66:$67,Кад!$88:$95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92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Кад!$19:$24,Кад!$44:$44,Кад!$56:$56,Кад!$58:$59,Кад!$66:$67,Кад!$88:$95</formula>
    <oldFormula>Кад!$19:$24,Кад!$44:$44,Кад!$56:$56,Кад!$58:$59,Кад!$66:$67,Кад!$88:$95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921.xml><?xml version="1.0" encoding="utf-8"?>
<revisions xmlns="http://schemas.openxmlformats.org/spreadsheetml/2006/main" xmlns:r="http://schemas.openxmlformats.org/officeDocument/2006/relationships">
  <rcc rId="4925" sId="2">
    <oc r="S34">
      <v>2544.3684400000002</v>
    </oc>
    <nc r="S34">
      <v>3082.6641100000002</v>
    </nc>
  </rcc>
  <rcc rId="4926" sId="2">
    <oc r="V34">
      <v>-350.64350000000002</v>
    </oc>
    <nc r="V34">
      <v>-425.80167</v>
    </nc>
  </rcc>
  <rcc rId="4927" sId="2" numFmtId="4">
    <oc r="Y34">
      <v>380.20848999999998</v>
    </oc>
    <nc r="Y34">
      <v>409.50015000000002</v>
    </nc>
  </rcc>
  <rcc rId="4928" sId="2">
    <oc r="AB34">
      <v>212.96162000000001</v>
    </oc>
    <nc r="AB34">
      <v>332.43540999999999</v>
    </nc>
  </rcc>
  <rcc rId="4929" sId="2">
    <oc r="AE34">
      <v>3015.3979300000001</v>
    </oc>
    <nc r="AE34">
      <v>4618.2175800000005</v>
    </nc>
  </rcc>
  <rcc rId="4930" sId="2">
    <oc r="AH34">
      <v>87.833209999999994</v>
    </oc>
    <nc r="AH34">
      <v>97.60821</v>
    </nc>
  </rcc>
  <rcc rId="4931" sId="2">
    <oc r="AQ34">
      <v>26.8856</v>
    </oc>
    <nc r="AQ34">
      <v>129.90133</v>
    </nc>
  </rcc>
  <rcc rId="4932" sId="2">
    <oc r="AT34">
      <v>147.59639999999999</v>
    </oc>
    <nc r="AT34">
      <v>161.27672999999999</v>
    </nc>
  </rcc>
  <rcc rId="4933" sId="2">
    <oc r="AZ34">
      <v>525.49865999999997</v>
    </oc>
    <nc r="AZ34">
      <v>594.85609999999997</v>
    </nc>
  </rcc>
  <rcc rId="4934" sId="2">
    <oc r="BO34">
      <v>0</v>
    </oc>
    <nc r="BO34">
      <v>8.7899999999999992E-3</v>
    </nc>
  </rcc>
  <rcc rId="4935" sId="2" numFmtId="4">
    <oc r="BR34">
      <v>-65.207610000000003</v>
    </oc>
    <nc r="BR34">
      <v>-65.787610000000001</v>
    </nc>
  </rcc>
  <rcc rId="4936" sId="2">
    <oc r="BZ34">
      <v>62511.787389999998</v>
    </oc>
    <nc r="BZ34">
      <v>68036.687390000006</v>
    </nc>
  </rcc>
  <rcc rId="4937" sId="2">
    <oc r="CA34">
      <v>24547.518650000002</v>
    </oc>
    <nc r="CA34">
      <v>28600.28599</v>
    </nc>
  </rcc>
  <rcc rId="4938" sId="2">
    <oc r="CD34">
      <v>17742.400000000001</v>
    </oc>
    <nc r="CD34">
      <v>19489.2</v>
    </nc>
  </rcc>
  <rcc rId="4939" sId="2">
    <oc r="CG34">
      <v>1733.5</v>
    </oc>
    <nc r="CG34">
      <v>1931.5</v>
    </nc>
  </rcc>
  <rcc rId="4940" sId="2">
    <oc r="CJ34">
      <v>1657.6769999999999</v>
    </oc>
    <nc r="CJ34">
      <v>3181.7246500000001</v>
    </nc>
  </rcc>
  <rcc rId="4941" sId="2">
    <oc r="CM34">
      <v>882.37</v>
    </oc>
    <nc r="CM34">
      <v>1192.441</v>
    </nc>
  </rcc>
  <rcc rId="4942" sId="2">
    <oc r="CO34">
      <v>0</v>
    </oc>
    <nc r="CO34">
      <v>120</v>
    </nc>
  </rcc>
  <rcc rId="4943" sId="2">
    <oc r="CS34">
      <v>2898.5408900000002</v>
    </oc>
    <nc r="CS34">
      <v>3172.38958</v>
    </nc>
  </rcc>
  <rcc rId="4944" sId="2" numFmtId="4">
    <oc r="DG34">
      <v>106862.44586000001</v>
    </oc>
    <nc r="DG34">
      <v>110782.44586000001</v>
    </nc>
  </rcc>
  <rcc rId="4945" sId="2" numFmtId="4">
    <oc r="DH34">
      <v>35174.580860000002</v>
    </oc>
    <nc r="DH34">
      <v>42746.823559999997</v>
    </nc>
  </rcc>
  <rcc rId="4946" sId="2" numFmtId="4">
    <oc r="DJ34">
      <v>21784.807499999999</v>
    </oc>
    <nc r="DJ34">
      <v>22186.0615</v>
    </nc>
  </rcc>
  <rcc rId="4947" sId="2" numFmtId="4">
    <oc r="DK34">
      <v>7786.1811200000002</v>
    </oc>
    <nc r="DK34">
      <v>11693.79364</v>
    </nc>
  </rcc>
  <rcc rId="4948" sId="2" numFmtId="4">
    <oc r="DN34">
      <v>9710.4737700000005</v>
    </oc>
    <nc r="DN34">
      <v>11586.062180000001</v>
    </nc>
  </rcc>
  <rcc rId="4949" sId="2" numFmtId="4">
    <oc r="DS34">
      <v>101.01</v>
    </oc>
    <nc r="DS34">
      <v>106.01</v>
    </nc>
  </rcc>
  <rcc rId="4950" sId="2" numFmtId="4">
    <oc r="DZ34">
      <v>786.36878999999999</v>
    </oc>
    <nc r="DZ34">
      <v>963.95861000000002</v>
    </nc>
  </rcc>
  <rcc rId="4951" sId="2" numFmtId="4">
    <oc r="EC34">
      <v>21.401</v>
    </oc>
    <nc r="EC34">
      <v>35.000999999999998</v>
    </nc>
  </rcc>
  <rcc rId="4952" sId="2" numFmtId="4">
    <oc r="EE34">
      <v>34917.544470000001</v>
    </oc>
    <nc r="EE34">
      <v>34927.941469999998</v>
    </nc>
  </rcc>
  <rcc rId="4953" sId="2" numFmtId="4">
    <oc r="EF34">
      <v>7142.7572200000004</v>
    </oc>
    <nc r="EF34">
      <v>10389.833199999999</v>
    </nc>
  </rcc>
  <rcc rId="4954" sId="2" numFmtId="4">
    <oc r="EH34">
      <v>18602.026389999999</v>
    </oc>
    <nc r="EH34">
      <v>18705.429390000001</v>
    </nc>
  </rcc>
  <rcc rId="4955" sId="2" numFmtId="4">
    <oc r="EI34">
      <v>4708.5914700000003</v>
    </oc>
    <nc r="EI34">
      <v>5822.8146699999998</v>
    </nc>
  </rcc>
  <rcc rId="4956" sId="2" numFmtId="4">
    <oc r="EK34">
      <v>28924.545999999998</v>
    </oc>
    <nc r="EK34">
      <v>32714.446</v>
    </nc>
  </rcc>
  <rcc rId="4957" sId="2" numFmtId="4">
    <oc r="EL34">
      <v>12597.908149999999</v>
    </oc>
    <nc r="EL34">
      <v>13725.802439999999</v>
    </nc>
  </rcc>
  <rcc rId="4958" sId="2" numFmtId="4">
    <oc r="EN34">
      <v>0</v>
    </oc>
    <nc r="EN34">
      <v>10</v>
    </nc>
  </rcc>
  <rcc rId="4959" sId="2" numFmtId="4">
    <oc r="EO34">
      <v>0</v>
    </oc>
    <nc r="EO34">
      <v>10</v>
    </nc>
  </rcc>
  <rcc rId="4960" sId="2" numFmtId="4">
    <oc r="ER34">
      <v>89.349000000000004</v>
    </oc>
    <nc r="ER34">
      <v>105.62</v>
    </nc>
  </rcc>
  <ris rId="4961" sheetId="20" name="[анализ на 01.08.2018 - .xlsx]Лист1" sheetPosition="19"/>
  <rcc rId="4962" sId="20">
    <nc r="B1" t="inlineStr">
      <is>
        <t xml:space="preserve">Группа по обслуживанию учреждени образования </t>
      </is>
    </nc>
  </rcc>
  <rcc rId="4963" sId="20">
    <nc r="G1" t="inlineStr">
      <is>
        <t>Количество штатных единиц</t>
      </is>
    </nc>
  </rcc>
  <rcc rId="4964" sId="20">
    <nc r="K1" t="inlineStr">
      <is>
        <t>Оклад</t>
      </is>
    </nc>
  </rcc>
  <rcc rId="4965" sId="20">
    <nc r="M1" t="inlineStr">
      <is>
        <t>Повышающий коэффициент к окладу</t>
      </is>
    </nc>
  </rcc>
  <rcc rId="4966" sId="20">
    <nc r="S1" t="inlineStr">
      <is>
        <t>Стимулирующие выплаты</t>
      </is>
    </nc>
  </rcc>
  <rcc rId="4967" sId="20">
    <nc r="AJ1" t="inlineStr">
      <is>
        <t>Компенсационная выплата</t>
      </is>
    </nc>
  </rcc>
  <rcc rId="4968" sId="20">
    <nc r="AO1" t="inlineStr">
      <is>
        <t>Материальная помощь</t>
      </is>
    </nc>
  </rcc>
  <rcc rId="4969" sId="20">
    <nc r="AP1" t="inlineStr">
      <is>
        <t>Всего, руб.</t>
      </is>
    </nc>
  </rcc>
  <rcc rId="4970" sId="20">
    <nc r="AS1" t="inlineStr">
      <is>
        <t>Примечание</t>
      </is>
    </nc>
  </rcc>
  <rcc rId="4971" sId="20">
    <nc r="AW1">
      <v>187.4</v>
    </nc>
  </rcc>
  <rcc rId="4972" sId="20">
    <nc r="AX1" t="inlineStr">
      <is>
        <t xml:space="preserve"> стало без ФО адм (10ед)</t>
      </is>
    </nc>
  </rcc>
  <rcc rId="4973" sId="20">
    <nc r="AY1" t="inlineStr">
      <is>
        <t>было без ФО и адм (10 ед.)</t>
      </is>
    </nc>
  </rcc>
  <rcc rId="4974" sId="20">
    <nc r="S2" t="inlineStr">
      <is>
        <t>надбавка  за интенсивность и высокое качество выполняемых работ</t>
      </is>
    </nc>
  </rcc>
  <rcc rId="4975" sId="20">
    <nc r="Y2" t="inlineStr">
      <is>
        <t>выслуга лет</t>
      </is>
    </nc>
  </rcc>
  <rcc rId="4976" sId="20">
    <nc r="AF2" t="inlineStr">
      <is>
        <t>премирование</t>
      </is>
    </nc>
  </rcc>
  <rcc rId="4977" sId="20">
    <nc r="AJ2" t="inlineStr">
      <is>
        <t>за расширение зоны обслуживания</t>
      </is>
    </nc>
  </rcc>
  <rcc rId="4978" sId="20">
    <nc r="B3" t="inlineStr">
      <is>
        <t>Должность</t>
      </is>
    </nc>
  </rcc>
  <rcc rId="4979" sId="20">
    <nc r="K3" t="inlineStr">
      <is>
        <t>сумма</t>
      </is>
    </nc>
  </rcc>
  <rcc rId="4980" sId="20">
    <nc r="M3" t="inlineStr">
      <is>
        <t>%</t>
      </is>
    </nc>
  </rcc>
  <rcc rId="4981" sId="20">
    <nc r="P3" t="inlineStr">
      <is>
        <t>сумма</t>
      </is>
    </nc>
  </rcc>
  <rcc rId="4982" sId="20">
    <nc r="S3" t="inlineStr">
      <is>
        <t>%</t>
      </is>
    </nc>
  </rcc>
  <rcc rId="4983" sId="20">
    <nc r="V3" t="inlineStr">
      <is>
        <t>сумма</t>
      </is>
    </nc>
  </rcc>
  <rcc rId="4984" sId="20">
    <nc r="Y3" t="inlineStr">
      <is>
        <t>%</t>
      </is>
    </nc>
  </rcc>
  <rcc rId="4985" sId="20">
    <nc r="AC3" t="inlineStr">
      <is>
        <t>сумма</t>
      </is>
    </nc>
  </rcc>
  <rcc rId="4986" sId="20">
    <nc r="AF3" t="inlineStr">
      <is>
        <t>%</t>
      </is>
    </nc>
  </rcc>
  <rcc rId="4987" sId="20">
    <nc r="AH3" t="inlineStr">
      <is>
        <t>сумма</t>
      </is>
    </nc>
  </rcc>
  <rcc rId="4988" sId="20">
    <nc r="AJ3" t="inlineStr">
      <is>
        <t>%</t>
      </is>
    </nc>
  </rcc>
  <rcc rId="4989" sId="20">
    <nc r="AN3" t="inlineStr">
      <is>
        <t>сумма</t>
      </is>
    </nc>
  </rcc>
  <rcc rId="4990" sId="20">
    <nc r="AO3" t="inlineStr">
      <is>
        <t>сумма</t>
      </is>
    </nc>
  </rcc>
  <rcc rId="4991" sId="20">
    <nc r="AP3" t="inlineStr">
      <is>
        <t>сумма</t>
      </is>
    </nc>
  </rcc>
  <rcc rId="4992" sId="20">
    <nc r="AS3" t="inlineStr">
      <is>
        <t>Начисление за месяц</t>
      </is>
    </nc>
  </rcc>
  <rcc rId="4993" sId="20">
    <nc r="AT3" t="inlineStr">
      <is>
        <t>ФИО</t>
      </is>
    </nc>
  </rcc>
  <rcc rId="4994" sId="20">
    <nc r="AU3" t="inlineStr">
      <is>
        <t>Образование</t>
      </is>
    </nc>
  </rcc>
  <rcc rId="4995" sId="20">
    <nc r="A4">
      <v>1</v>
    </nc>
  </rcc>
  <rcc rId="4996" sId="20">
    <nc r="B4" t="inlineStr">
      <is>
        <t>Заместитель главного бухгалтера</t>
      </is>
    </nc>
  </rcc>
  <rcc rId="4997" sId="20">
    <nc r="G4">
      <v>1</v>
    </nc>
  </rcc>
  <rcc rId="4998" sId="20">
    <nc r="K4">
      <v>6532</v>
    </nc>
  </rcc>
  <rcc rId="4999" sId="20">
    <nc r="M4">
      <v>215</v>
    </nc>
  </rcc>
  <rcc rId="5000" sId="20">
    <nc r="P4">
      <v>14043.8</v>
    </nc>
  </rcc>
  <rcc rId="5001" sId="20">
    <nc r="S4">
      <v>80</v>
    </nc>
  </rcc>
  <rcc rId="5002" sId="20">
    <nc r="V4">
      <v>5225.6000000000004</v>
    </nc>
  </rcc>
  <rcc rId="5003" sId="20">
    <nc r="Y4">
      <v>20</v>
    </nc>
  </rcc>
  <rcc rId="5004" sId="20">
    <nc r="AC4">
      <v>1306.4000000000001</v>
    </nc>
  </rcc>
  <rcc rId="5005" sId="20">
    <nc r="AH4">
      <v>0</v>
    </nc>
  </rcc>
  <rcc rId="5006" sId="20">
    <nc r="AN4">
      <v>0</v>
    </nc>
  </rcc>
  <rcc rId="5007" sId="20">
    <nc r="AO4">
      <v>1088.6666666666667</v>
    </nc>
  </rcc>
  <rcc rId="5008" sId="20">
    <nc r="AP4">
      <v>28196.466666666671</v>
    </nc>
  </rcc>
  <rcc rId="5009" sId="20">
    <nc r="AS4">
      <v>27107.800000000003</v>
    </nc>
  </rcc>
  <rcc rId="5010" sId="20">
    <nc r="AT4" t="inlineStr">
      <is>
        <t>Степанова Ю.С.</t>
      </is>
    </nc>
  </rcc>
  <rcc rId="5011" sId="20">
    <nc r="AU4" t="inlineStr">
      <is>
        <t>высшее</t>
      </is>
    </nc>
  </rcc>
  <rcc rId="5012" sId="20">
    <nc r="AV4" t="inlineStr">
      <is>
        <t>16 лет (декрет)</t>
      </is>
    </nc>
  </rcc>
  <rcc rId="5013" sId="20">
    <nc r="A5">
      <v>2</v>
    </nc>
  </rcc>
  <rcc rId="5014" sId="20">
    <nc r="B5" t="inlineStr">
      <is>
        <t>Главный экономист</t>
      </is>
    </nc>
  </rcc>
  <rcc rId="5015" sId="20">
    <nc r="G5">
      <v>1</v>
    </nc>
  </rcc>
  <rcc rId="5016" sId="20">
    <nc r="K5">
      <v>6532</v>
    </nc>
  </rcc>
  <rcc rId="5017" sId="20">
    <nc r="M5">
      <v>165</v>
    </nc>
  </rcc>
  <rcc rId="5018" sId="20">
    <nc r="P5">
      <v>10777.8</v>
    </nc>
  </rcc>
  <rcc rId="5019" sId="20">
    <nc r="S5">
      <v>60</v>
    </nc>
  </rcc>
  <rcc rId="5020" sId="20">
    <nc r="V5">
      <v>3919.2</v>
    </nc>
  </rcc>
  <rcc rId="5021" sId="20">
    <nc r="Y5">
      <v>15</v>
    </nc>
  </rcc>
  <rcc rId="5022" sId="20">
    <nc r="AC5">
      <v>979.8</v>
    </nc>
  </rcc>
  <rcc rId="5023" sId="20">
    <nc r="AH5">
      <v>0</v>
    </nc>
  </rcc>
  <rcc rId="5024" sId="20">
    <nc r="AN5">
      <v>0</v>
    </nc>
  </rcc>
  <rcc rId="5025" sId="20">
    <nc r="AO5">
      <v>1088.6666666666667</v>
    </nc>
  </rcc>
  <rcc rId="5026" sId="20">
    <nc r="AP5">
      <v>23297.466666666667</v>
    </nc>
  </rcc>
  <rcc rId="5027" sId="20">
    <nc r="AS5">
      <v>22208.799999999999</v>
    </nc>
  </rcc>
  <rcc rId="5028" sId="20">
    <nc r="AT5" t="inlineStr">
      <is>
        <t>Котельникова Н.Р.</t>
      </is>
    </nc>
  </rcc>
  <rcc rId="5029" sId="20">
    <nc r="AU5" t="inlineStr">
      <is>
        <t>высшее</t>
      </is>
    </nc>
  </rcc>
  <rcc rId="5030" sId="20">
    <nc r="AV5" t="inlineStr">
      <is>
        <t>10 лет</t>
      </is>
    </nc>
  </rcc>
  <rcc rId="5031" sId="20">
    <nc r="A6">
      <v>3</v>
    </nc>
  </rcc>
  <rcc rId="5032" sId="20">
    <nc r="B6" t="inlineStr">
      <is>
        <t xml:space="preserve">Бухгалтер 1 категории </t>
      </is>
    </nc>
  </rcc>
  <rcc rId="5033" sId="20">
    <nc r="G6">
      <v>1</v>
    </nc>
  </rcc>
  <rcc rId="5034" sId="20">
    <nc r="K6">
      <v>5321</v>
    </nc>
  </rcc>
  <rcc rId="5035" sId="20">
    <nc r="M6">
      <v>150</v>
    </nc>
  </rcc>
  <rcc rId="5036" sId="20">
    <nc r="P6">
      <v>7981.5</v>
    </nc>
  </rcc>
  <rcc rId="5037" sId="20">
    <nc r="S6">
      <v>50</v>
    </nc>
  </rcc>
  <rcc rId="5038" sId="20">
    <nc r="V6">
      <v>2660.5</v>
    </nc>
  </rcc>
  <rcc rId="5039" sId="20">
    <nc r="Y6">
      <v>15</v>
    </nc>
  </rcc>
  <rcc rId="5040" sId="20">
    <nc r="AC6">
      <v>798.15</v>
    </nc>
  </rcc>
  <rcc rId="5041" sId="20">
    <nc r="AH6">
      <v>0</v>
    </nc>
  </rcc>
  <rcc rId="5042" sId="20">
    <nc r="AN6">
      <v>0</v>
    </nc>
  </rcc>
  <rcc rId="5043" sId="20">
    <nc r="AO6">
      <v>886.83333333333337</v>
    </nc>
  </rcc>
  <rcc rId="5044" sId="20">
    <nc r="AP6">
      <v>17647.983333333334</v>
    </nc>
  </rcc>
  <rcc rId="5045" sId="20">
    <nc r="AS6">
      <v>16761.150000000001</v>
    </nc>
  </rcc>
  <rcc rId="5046" sId="20">
    <nc r="AT6" t="inlineStr">
      <is>
        <t>Семенова В.В.</t>
      </is>
    </nc>
  </rcc>
  <rcc rId="5047" sId="20">
    <nc r="AU6" t="inlineStr">
      <is>
        <t>высшее</t>
      </is>
    </nc>
  </rcc>
  <rcc rId="5048" sId="20">
    <nc r="AV6" t="inlineStr">
      <is>
        <t>10 лет</t>
      </is>
    </nc>
  </rcc>
  <rcc rId="5049" sId="20">
    <nc r="A7">
      <v>4</v>
    </nc>
  </rcc>
  <rcc rId="5050" sId="20">
    <nc r="B7" t="inlineStr">
      <is>
        <t>Бухгалтер 1 категории</t>
      </is>
    </nc>
  </rcc>
  <rcc rId="5051" sId="20">
    <nc r="G7">
      <v>1</v>
    </nc>
  </rcc>
  <rcc rId="5052" sId="20">
    <nc r="K7">
      <v>5321</v>
    </nc>
  </rcc>
  <rcc rId="5053" sId="20">
    <nc r="M7">
      <v>150</v>
    </nc>
  </rcc>
  <rcc rId="5054" sId="20">
    <nc r="P7">
      <v>7981.5</v>
    </nc>
  </rcc>
  <rcc rId="5055" sId="20">
    <nc r="S7">
      <v>40</v>
    </nc>
  </rcc>
  <rcc rId="5056" sId="20">
    <nc r="V7">
      <v>2128.4</v>
    </nc>
  </rcc>
  <rcc rId="5057" sId="20">
    <nc r="Y7">
      <v>15</v>
    </nc>
  </rcc>
  <rcc rId="5058" sId="20">
    <nc r="AC7">
      <v>798.15</v>
    </nc>
  </rcc>
  <rcc rId="5059" sId="20">
    <nc r="AH7">
      <v>0</v>
    </nc>
  </rcc>
  <rcc rId="5060" sId="20">
    <nc r="AN7">
      <v>0</v>
    </nc>
  </rcc>
  <rcc rId="5061" sId="20">
    <nc r="AO7">
      <v>886.83333333333337</v>
    </nc>
  </rcc>
  <rcc rId="5062" sId="20">
    <nc r="AP7">
      <v>17115.883333333331</v>
    </nc>
  </rcc>
  <rcc rId="5063" sId="20">
    <nc r="AS7">
      <v>16229.049999999997</v>
    </nc>
  </rcc>
  <rcc rId="5064" sId="20">
    <nc r="AT7" t="inlineStr">
      <is>
        <t>Бабушкина О.Н.</t>
      </is>
    </nc>
  </rcc>
  <rcc rId="5065" sId="20">
    <nc r="AU7" t="inlineStr">
      <is>
        <t>высшее</t>
      </is>
    </nc>
  </rcc>
  <rcc rId="5066" sId="20">
    <nc r="AV7" t="inlineStr">
      <is>
        <t>11 лет</t>
      </is>
    </nc>
  </rcc>
  <rcc rId="5067" sId="20">
    <nc r="AX7">
      <v>0.5</v>
    </nc>
  </rcc>
  <rcc rId="5068" sId="20">
    <nc r="A8">
      <v>5</v>
    </nc>
  </rcc>
  <rcc rId="5069" sId="20">
    <nc r="B8" t="inlineStr">
      <is>
        <t>Бухгалтер 1 категории</t>
      </is>
    </nc>
  </rcc>
  <rcc rId="5070" sId="20">
    <nc r="G8">
      <v>1</v>
    </nc>
  </rcc>
  <rcc rId="5071" sId="20">
    <nc r="K8">
      <v>5321</v>
    </nc>
  </rcc>
  <rcc rId="5072" sId="20">
    <nc r="M8">
      <v>150</v>
    </nc>
  </rcc>
  <rcc rId="5073" sId="20">
    <nc r="P8">
      <v>7981.5</v>
    </nc>
  </rcc>
  <rcc rId="5074" sId="20">
    <nc r="S8">
      <v>40</v>
    </nc>
  </rcc>
  <rcc rId="5075" sId="20">
    <nc r="V8">
      <v>2128.4</v>
    </nc>
  </rcc>
  <rcc rId="5076" sId="20">
    <nc r="Y8">
      <v>20</v>
    </nc>
  </rcc>
  <rcc rId="5077" sId="20">
    <nc r="AC8">
      <v>1064.2</v>
    </nc>
  </rcc>
  <rcc rId="5078" sId="20">
    <nc r="AH8">
      <v>0</v>
    </nc>
  </rcc>
  <rcc rId="5079" sId="20">
    <nc r="AN8">
      <v>0</v>
    </nc>
  </rcc>
  <rcc rId="5080" sId="20">
    <nc r="AO8">
      <v>886.83333333333337</v>
    </nc>
  </rcc>
  <rcc rId="5081" sId="20">
    <nc r="AP8">
      <v>17381.933333333331</v>
    </nc>
  </rcc>
  <rcc rId="5082" sId="20">
    <nc r="AS8">
      <v>16495.099999999999</v>
    </nc>
  </rcc>
  <rcc rId="5083" sId="20">
    <nc r="AT8" t="inlineStr">
      <is>
        <t>Максимова Е.П./ Еропанова</t>
      </is>
    </nc>
  </rcc>
  <rcc rId="5084" sId="20">
    <nc r="AU8" t="inlineStr">
      <is>
        <t>высшее</t>
      </is>
    </nc>
  </rcc>
  <rcc rId="5085" sId="20">
    <nc r="AV8" t="inlineStr">
      <is>
        <t>24 лет</t>
      </is>
    </nc>
  </rcc>
  <rcc rId="5086" sId="20">
    <nc r="A9">
      <v>6</v>
    </nc>
  </rcc>
  <rcc rId="5087" sId="20">
    <nc r="B9" t="inlineStr">
      <is>
        <t>Ведущий бухгалтер</t>
      </is>
    </nc>
  </rcc>
  <rcc rId="5088" sId="20">
    <nc r="G9">
      <v>1</v>
    </nc>
  </rcc>
  <rcc rId="5089" sId="20">
    <nc r="K9">
      <v>6391</v>
    </nc>
  </rcc>
  <rcc rId="5090" sId="20">
    <nc r="M9">
      <v>150</v>
    </nc>
  </rcc>
  <rcc rId="5091" sId="20">
    <nc r="P9">
      <v>9586.5</v>
    </nc>
  </rcc>
  <rcc rId="5092" sId="20">
    <nc r="S9">
      <v>60</v>
    </nc>
  </rcc>
  <rcc rId="5093" sId="20">
    <nc r="V9">
      <v>3834.6</v>
    </nc>
  </rcc>
  <rcc rId="5094" sId="20">
    <nc r="Y9">
      <v>15</v>
    </nc>
  </rcc>
  <rcc rId="5095" sId="20">
    <nc r="AC9">
      <v>958.65</v>
    </nc>
  </rcc>
  <rcc rId="5096" sId="20">
    <nc r="AH9">
      <v>0</v>
    </nc>
  </rcc>
  <rcc rId="5097" sId="20">
    <nc r="AN9">
      <v>0</v>
    </nc>
  </rcc>
  <rcc rId="5098" sId="20">
    <nc r="AO9">
      <v>1065.1666666666667</v>
    </nc>
  </rcc>
  <rcc rId="5099" sId="20">
    <nc r="AP9">
      <v>21835.916666666668</v>
    </nc>
  </rcc>
  <rcc rId="5100" sId="20">
    <nc r="AS9">
      <v>20770.75</v>
    </nc>
  </rcc>
  <rcc rId="5101" sId="20">
    <nc r="AT9" t="inlineStr">
      <is>
        <t>Попугаева Н.В.</t>
      </is>
    </nc>
  </rcc>
  <rcc rId="5102" sId="20">
    <nc r="AU9" t="inlineStr">
      <is>
        <t>высшее</t>
      </is>
    </nc>
  </rcc>
  <rcc rId="5103" sId="20">
    <nc r="AV9" t="inlineStr">
      <is>
        <t>13 лет</t>
      </is>
    </nc>
  </rcc>
  <rcc rId="5104" sId="20">
    <nc r="AW9" t="inlineStr">
      <is>
        <t>5 учреждений</t>
      </is>
    </nc>
  </rcc>
  <rcc rId="5105" sId="20">
    <nc r="A10">
      <v>7</v>
    </nc>
  </rcc>
  <rcc rId="5106" sId="20">
    <nc r="B10" t="inlineStr">
      <is>
        <t>Бухгалтер 1 категории</t>
      </is>
    </nc>
  </rcc>
  <rcc rId="5107" sId="20">
    <nc r="G10">
      <v>1</v>
    </nc>
  </rcc>
  <rcc rId="5108" sId="20">
    <nc r="K10">
      <v>5321</v>
    </nc>
  </rcc>
  <rcc rId="5109" sId="20">
    <nc r="M10">
      <v>150</v>
    </nc>
  </rcc>
  <rcc rId="5110" sId="20">
    <nc r="P10">
      <v>7981.5</v>
    </nc>
  </rcc>
  <rcc rId="5111" sId="20">
    <nc r="S10">
      <v>50</v>
    </nc>
  </rcc>
  <rcc rId="5112" sId="20">
    <nc r="V10">
      <v>2660.5</v>
    </nc>
  </rcc>
  <rcc rId="5113" sId="20">
    <nc r="Y10">
      <v>20</v>
    </nc>
  </rcc>
  <rcc rId="5114" sId="20">
    <nc r="AC10">
      <v>1064.2</v>
    </nc>
  </rcc>
  <rcc rId="5115" sId="20">
    <nc r="AH10">
      <v>0</v>
    </nc>
  </rcc>
  <rcc rId="5116" sId="20">
    <nc r="AN10">
      <v>0</v>
    </nc>
  </rcc>
  <rcc rId="5117" sId="20">
    <nc r="AO10">
      <v>886.83333333333337</v>
    </nc>
  </rcc>
  <rcc rId="5118" sId="20">
    <nc r="AP10">
      <v>17914.033333333333</v>
    </nc>
  </rcc>
  <rcc rId="5119" sId="20">
    <nc r="AS10">
      <v>17027.2</v>
    </nc>
  </rcc>
  <rcc rId="5120" sId="20">
    <nc r="AT10" t="inlineStr">
      <is>
        <t>Рыбникова А.М.</t>
      </is>
    </nc>
  </rcc>
  <rcc rId="5121" sId="20">
    <nc r="AU10" t="inlineStr">
      <is>
        <t>высшее</t>
      </is>
    </nc>
  </rcc>
  <rcc rId="5122" sId="20">
    <nc r="AV10" t="inlineStr">
      <is>
        <t>20 лет</t>
      </is>
    </nc>
  </rcc>
  <rcc rId="5123" sId="20">
    <nc r="A11">
      <v>8</v>
    </nc>
  </rcc>
  <rcc rId="5124" sId="20">
    <nc r="B11" t="inlineStr">
      <is>
        <t>Ведущий бухгалтер</t>
      </is>
    </nc>
  </rcc>
  <rcc rId="5125" sId="20">
    <nc r="G11">
      <v>1</v>
    </nc>
  </rcc>
  <rcc rId="5126" sId="20">
    <nc r="K11">
      <v>6391</v>
    </nc>
  </rcc>
  <rcc rId="5127" sId="20">
    <nc r="M11">
      <v>150</v>
    </nc>
  </rcc>
  <rcc rId="5128" sId="20">
    <nc r="P11">
      <v>9586.5</v>
    </nc>
  </rcc>
  <rcc rId="5129" sId="20">
    <nc r="S11">
      <v>70</v>
    </nc>
  </rcc>
  <rcc rId="5130" sId="20">
    <nc r="V11">
      <v>4473.7</v>
    </nc>
  </rcc>
  <rcc rId="5131" sId="20">
    <nc r="Y11">
      <v>15</v>
    </nc>
  </rcc>
  <rcc rId="5132" sId="20">
    <nc r="AC11">
      <v>958.65</v>
    </nc>
  </rcc>
  <rcc rId="5133" sId="20">
    <nc r="AH11">
      <v>0</v>
    </nc>
  </rcc>
  <rcc rId="5134" sId="20">
    <nc r="AN11">
      <v>0</v>
    </nc>
  </rcc>
  <rcc rId="5135" sId="20">
    <nc r="AO11">
      <v>1065.1666666666667</v>
    </nc>
  </rcc>
  <rcc rId="5136" sId="20">
    <nc r="AP11">
      <v>22475.01666666667</v>
    </nc>
  </rcc>
  <rcc rId="5137" sId="20">
    <nc r="AS11">
      <v>21409.850000000002</v>
    </nc>
  </rcc>
  <rcc rId="5138" sId="20">
    <nc r="AT11" t="inlineStr">
      <is>
        <t>Колбасова И.Ю.</t>
      </is>
    </nc>
  </rcc>
  <rcc rId="5139" sId="20">
    <nc r="AU11" t="inlineStr">
      <is>
        <t>высшее</t>
      </is>
    </nc>
  </rcc>
  <rcc rId="5140" sId="20">
    <nc r="AV11" t="inlineStr">
      <is>
        <t>7 лет</t>
      </is>
    </nc>
  </rcc>
  <rcc rId="5141" sId="20">
    <nc r="AW11" t="inlineStr">
      <is>
        <t>5 учреждений</t>
      </is>
    </nc>
  </rcc>
  <rcc rId="5142" sId="20">
    <nc r="A12">
      <v>9</v>
    </nc>
  </rcc>
  <rcc rId="5143" sId="20">
    <nc r="B12" t="inlineStr">
      <is>
        <t>Бухгалтер 1 категории</t>
      </is>
    </nc>
  </rcc>
  <rcc rId="5144" sId="20">
    <nc r="G12">
      <v>1</v>
    </nc>
  </rcc>
  <rcc rId="5145" sId="20">
    <nc r="K12">
      <v>5321</v>
    </nc>
  </rcc>
  <rcc rId="5146" sId="20">
    <nc r="M12">
      <v>150</v>
    </nc>
  </rcc>
  <rcc rId="5147" sId="20">
    <nc r="P12">
      <v>7981.5</v>
    </nc>
  </rcc>
  <rcc rId="5148" sId="20">
    <nc r="S12">
      <v>60</v>
    </nc>
  </rcc>
  <rcc rId="5149" sId="20">
    <nc r="V12">
      <v>3192.6</v>
    </nc>
  </rcc>
  <rcc rId="5150" sId="20">
    <nc r="AC12">
      <v>0</v>
    </nc>
  </rcc>
  <rcc rId="5151" sId="20">
    <nc r="AH12">
      <v>0</v>
    </nc>
  </rcc>
  <rcc rId="5152" sId="20">
    <nc r="AN12">
      <v>0</v>
    </nc>
  </rcc>
  <rcc rId="5153" sId="20">
    <nc r="AO12">
      <v>886.83333333333337</v>
    </nc>
  </rcc>
  <rcc rId="5154" sId="20">
    <nc r="AP12">
      <v>17381.933333333331</v>
    </nc>
  </rcc>
  <rcc rId="5155" sId="20">
    <nc r="AS12">
      <v>16495.099999999999</v>
    </nc>
  </rcc>
  <rcc rId="5156" sId="20">
    <nc r="AT12" t="inlineStr">
      <is>
        <t>Максимова Н.М.</t>
      </is>
    </nc>
  </rcc>
  <rcc rId="5157" sId="20">
    <nc r="AU12" t="inlineStr">
      <is>
        <t>высшее</t>
      </is>
    </nc>
  </rcc>
  <rcc rId="5158" sId="20">
    <nc r="AV12" t="inlineStr">
      <is>
        <t>8 лет (декрет)</t>
      </is>
    </nc>
  </rcc>
  <rcc rId="5159" sId="20">
    <nc r="A13">
      <v>10</v>
    </nc>
  </rcc>
  <rcc rId="5160" sId="20">
    <nc r="B13" t="inlineStr">
      <is>
        <t>Бухгалтер 1 категории</t>
      </is>
    </nc>
  </rcc>
  <rcc rId="5161" sId="20">
    <nc r="G13">
      <v>1</v>
    </nc>
  </rcc>
  <rcc rId="5162" sId="20">
    <nc r="K13">
      <v>5321</v>
    </nc>
  </rcc>
  <rcc rId="5163" sId="20">
    <nc r="M13">
      <v>150</v>
    </nc>
  </rcc>
  <rcc rId="5164" sId="20">
    <nc r="P13">
      <v>7981.5</v>
    </nc>
  </rcc>
  <rcc rId="5165" sId="20">
    <nc r="S13">
      <v>30</v>
    </nc>
  </rcc>
  <rcc rId="5166" sId="20">
    <nc r="V13">
      <v>1596.3</v>
    </nc>
  </rcc>
  <rcc rId="5167" sId="20">
    <nc r="AC13">
      <v>0</v>
    </nc>
  </rcc>
  <rcc rId="5168" sId="20">
    <nc r="AH13">
      <v>0</v>
    </nc>
  </rcc>
  <rcc rId="5169" sId="20">
    <nc r="AN13">
      <v>0</v>
    </nc>
  </rcc>
  <rcc rId="5170" sId="20">
    <nc r="AO13">
      <v>886.83333333333337</v>
    </nc>
  </rcc>
  <rcc rId="5171" sId="20">
    <nc r="AP13">
      <v>15785.633333333333</v>
    </nc>
  </rcc>
  <rcc rId="5172" sId="20">
    <nc r="AS13">
      <v>14898.8</v>
    </nc>
  </rcc>
  <rcc rId="5173" sId="20">
    <nc r="AT13" t="inlineStr">
      <is>
        <t>Егорова И.Вячеславовна</t>
      </is>
    </nc>
  </rcc>
  <rcc rId="5174" sId="20">
    <nc r="AU13" t="inlineStr">
      <is>
        <t>высшее</t>
      </is>
    </nc>
  </rcc>
  <rcc rId="5175" sId="20">
    <nc r="AV13" t="inlineStr">
      <is>
        <t>2 года (декрет)</t>
      </is>
    </nc>
  </rcc>
  <rcc rId="5176" sId="20">
    <nc r="A14">
      <v>11</v>
    </nc>
  </rcc>
  <rcc rId="5177" sId="20">
    <nc r="B14" t="inlineStr">
      <is>
        <t>Бухгалтер 1 категории</t>
      </is>
    </nc>
  </rcc>
  <rcc rId="5178" sId="20">
    <nc r="G14">
      <v>1</v>
    </nc>
  </rcc>
  <rcc rId="5179" sId="20">
    <nc r="K14">
      <v>5321</v>
    </nc>
  </rcc>
  <rcc rId="5180" sId="20">
    <nc r="M14">
      <v>150</v>
    </nc>
  </rcc>
  <rcc rId="5181" sId="20">
    <nc r="P14">
      <v>7981.5</v>
    </nc>
  </rcc>
  <rcc rId="5182" sId="20">
    <nc r="S14">
      <v>30</v>
    </nc>
  </rcc>
  <rcc rId="5183" sId="20">
    <nc r="V14">
      <v>1596.3</v>
    </nc>
  </rcc>
  <rcc rId="5184" sId="20">
    <nc r="Y14">
      <v>15</v>
    </nc>
  </rcc>
  <rcc rId="5185" sId="20">
    <nc r="AC14">
      <v>798.15</v>
    </nc>
  </rcc>
  <rcc rId="5186" sId="20">
    <nc r="AH14">
      <v>0</v>
    </nc>
  </rcc>
  <rcc rId="5187" sId="20">
    <nc r="AN14">
      <v>0</v>
    </nc>
  </rcc>
  <rcc rId="5188" sId="20">
    <nc r="AO14">
      <v>886.83333333333337</v>
    </nc>
  </rcc>
  <rcc rId="5189" sId="20">
    <nc r="AP14">
      <v>16583.783333333333</v>
    </nc>
  </rcc>
  <rcc rId="5190" sId="20">
    <nc r="AS14">
      <v>15696.949999999999</v>
    </nc>
  </rcc>
  <rcc rId="5191" sId="20">
    <nc r="AT14" t="inlineStr">
      <is>
        <t>Карпова А.А.</t>
      </is>
    </nc>
  </rcc>
  <rcc rId="5192" sId="20">
    <nc r="AU14" t="inlineStr">
      <is>
        <t>высшее</t>
      </is>
    </nc>
  </rcc>
  <rcc rId="5193" sId="20">
    <nc r="AV14" t="inlineStr">
      <is>
        <t>11 лет</t>
      </is>
    </nc>
  </rcc>
  <rcc rId="5194" sId="20">
    <nc r="AX14">
      <v>0.35</v>
    </nc>
  </rcc>
  <rcc rId="5195" sId="20">
    <nc r="A15">
      <v>12</v>
    </nc>
  </rcc>
  <rcc rId="5196" sId="20">
    <nc r="B15" t="inlineStr">
      <is>
        <t xml:space="preserve">Ведущий бухгалтер </t>
      </is>
    </nc>
  </rcc>
  <rcc rId="5197" sId="20">
    <nc r="G15">
      <v>1</v>
    </nc>
  </rcc>
  <rcc rId="5198" sId="20">
    <nc r="K15">
      <v>6391</v>
    </nc>
  </rcc>
  <rcc rId="5199" sId="20">
    <nc r="M15">
      <v>150</v>
    </nc>
  </rcc>
  <rcc rId="5200" sId="20">
    <nc r="P15">
      <v>9586.5</v>
    </nc>
  </rcc>
  <rcc rId="5201" sId="20">
    <nc r="S15">
      <v>60</v>
    </nc>
  </rcc>
  <rcc rId="5202" sId="20">
    <nc r="V15">
      <v>3834.6</v>
    </nc>
  </rcc>
  <rcc rId="5203" sId="20">
    <nc r="Y15">
      <v>15</v>
    </nc>
  </rcc>
  <rcc rId="5204" sId="20">
    <nc r="AC15">
      <v>958.65</v>
    </nc>
  </rcc>
  <rcc rId="5205" sId="20">
    <nc r="AH15">
      <v>0</v>
    </nc>
  </rcc>
  <rcc rId="5206" sId="20">
    <nc r="AN15">
      <v>0</v>
    </nc>
  </rcc>
  <rcc rId="5207" sId="20">
    <nc r="AO15">
      <v>1065.1666666666667</v>
    </nc>
  </rcc>
  <rcc rId="5208" sId="20">
    <nc r="AP15">
      <v>21835.916666666668</v>
    </nc>
  </rcc>
  <rcc rId="5209" sId="20">
    <nc r="AS15">
      <v>20770.75</v>
    </nc>
  </rcc>
  <rcc rId="5210" sId="20">
    <nc r="AT15" t="inlineStr">
      <is>
        <t>Егорова И.Валерьевна</t>
      </is>
    </nc>
  </rcc>
  <rcc rId="5211" sId="20">
    <nc r="AU15" t="inlineStr">
      <is>
        <t>высшее</t>
      </is>
    </nc>
  </rcc>
  <rcc rId="5212" sId="20">
    <nc r="AV15" t="inlineStr">
      <is>
        <t>15 лет</t>
      </is>
    </nc>
  </rcc>
  <rcc rId="5213" sId="20">
    <nc r="AW15" t="inlineStr">
      <is>
        <t>4 учреждения</t>
      </is>
    </nc>
  </rcc>
  <rcc rId="5214" sId="20">
    <nc r="A16">
      <v>13</v>
    </nc>
  </rcc>
  <rcc rId="5215" sId="20">
    <nc r="B16" t="inlineStr">
      <is>
        <t>Бухгалтер 1 категории</t>
      </is>
    </nc>
  </rcc>
  <rcc rId="5216" sId="20">
    <nc r="G16">
      <v>1</v>
    </nc>
  </rcc>
  <rcc rId="5217" sId="20">
    <nc r="K16">
      <v>5321</v>
    </nc>
  </rcc>
  <rcc rId="5218" sId="20">
    <nc r="M16">
      <v>150</v>
    </nc>
  </rcc>
  <rcc rId="5219" sId="20">
    <nc r="P16">
      <v>7981.5</v>
    </nc>
  </rcc>
  <rcc rId="5220" sId="20">
    <nc r="S16">
      <v>60</v>
    </nc>
  </rcc>
  <rcc rId="5221" sId="20">
    <nc r="V16">
      <v>3192.6</v>
    </nc>
  </rcc>
  <rcc rId="5222" sId="20">
    <nc r="Y16">
      <v>15</v>
    </nc>
  </rcc>
  <rcc rId="5223" sId="20">
    <nc r="AC16">
      <v>798.15</v>
    </nc>
  </rcc>
  <rcc rId="5224" sId="20">
    <nc r="AF16">
      <v>40</v>
    </nc>
  </rcc>
  <rcc rId="5225" sId="20">
    <nc r="AH16">
      <v>2128.4</v>
    </nc>
  </rcc>
  <rcc rId="5226" sId="20">
    <nc r="AN16">
      <v>0</v>
    </nc>
  </rcc>
  <rcc rId="5227" sId="20">
    <nc r="AO16">
      <v>886.83333333333337</v>
    </nc>
  </rcc>
  <rcc rId="5228" sId="20">
    <nc r="AP16">
      <v>20308.483333333334</v>
    </nc>
  </rcc>
  <rcc rId="5229" sId="20">
    <nc r="AS16">
      <v>19421.650000000001</v>
    </nc>
  </rcc>
  <rcc rId="5230" sId="20">
    <nc r="AT16" t="inlineStr">
      <is>
        <t>Соловьева А.И.</t>
      </is>
    </nc>
  </rcc>
  <rcc rId="5231" sId="20">
    <nc r="AU16" t="inlineStr">
      <is>
        <t>высшее</t>
      </is>
    </nc>
  </rcc>
  <rcc rId="5232" sId="20">
    <nc r="AV16" t="inlineStr">
      <is>
        <t>10 лет</t>
      </is>
    </nc>
  </rcc>
  <rcc rId="5233" sId="20">
    <nc r="AW16" t="inlineStr">
      <is>
        <t xml:space="preserve">спр монит, пенс спр , архив ком </t>
      </is>
    </nc>
  </rcc>
  <rcc rId="5234" sId="20">
    <nc r="A17">
      <v>14</v>
    </nc>
  </rcc>
  <rcc rId="5235" sId="20">
    <nc r="B17" t="inlineStr">
      <is>
        <t>Бухгалтер 1 категории</t>
      </is>
    </nc>
  </rcc>
  <rcc rId="5236" sId="20">
    <nc r="G17">
      <v>1</v>
    </nc>
  </rcc>
  <rcc rId="5237" sId="20">
    <nc r="K17">
      <v>5321</v>
    </nc>
  </rcc>
  <rcc rId="5238" sId="20">
    <nc r="M17">
      <v>150</v>
    </nc>
  </rcc>
  <rcc rId="5239" sId="20">
    <nc r="P17">
      <v>7981.5</v>
    </nc>
  </rcc>
  <rcc rId="5240" sId="20">
    <nc r="S17">
      <v>30</v>
    </nc>
  </rcc>
  <rcc rId="5241" sId="20">
    <nc r="V17">
      <v>1596.3</v>
    </nc>
  </rcc>
  <rcc rId="5242" sId="20">
    <nc r="Y17">
      <v>15</v>
    </nc>
  </rcc>
  <rcc rId="5243" sId="20">
    <nc r="AC17">
      <v>798.15</v>
    </nc>
  </rcc>
  <rcc rId="5244" sId="20">
    <nc r="AH17">
      <v>0</v>
    </nc>
  </rcc>
  <rcc rId="5245" sId="20">
    <nc r="AN17">
      <v>0</v>
    </nc>
  </rcc>
  <rcc rId="5246" sId="20">
    <nc r="AO17">
      <v>886.83333333333337</v>
    </nc>
  </rcc>
  <rcc rId="5247" sId="20">
    <nc r="AP17">
      <v>16583.783333333333</v>
    </nc>
  </rcc>
  <rcc rId="5248" sId="20">
    <nc r="AS17">
      <v>15696.949999999999</v>
    </nc>
  </rcc>
  <rcc rId="5249" sId="20">
    <nc r="AT17" t="inlineStr">
      <is>
        <t>Васильева Р.Н.</t>
      </is>
    </nc>
  </rcc>
  <rcc rId="5250" sId="20">
    <nc r="AU17" t="inlineStr">
      <is>
        <t>высшее</t>
      </is>
    </nc>
  </rcc>
  <rcc rId="5251" sId="20">
    <nc r="AV17" t="inlineStr">
      <is>
        <t>12 лет</t>
      </is>
    </nc>
  </rcc>
  <rcc rId="5252" sId="20">
    <nc r="AX17">
      <v>0.35</v>
    </nc>
  </rcc>
  <rcc rId="5253" sId="20">
    <nc r="A18">
      <v>15</v>
    </nc>
  </rcc>
  <rcc rId="5254" sId="20">
    <nc r="B18" t="inlineStr">
      <is>
        <t>Бухгалтер 1 категории</t>
      </is>
    </nc>
  </rcc>
  <rcc rId="5255" sId="20">
    <nc r="G18">
      <v>1</v>
    </nc>
  </rcc>
  <rcc rId="5256" sId="20">
    <nc r="K18">
      <v>5321</v>
    </nc>
  </rcc>
  <rcc rId="5257" sId="20">
    <nc r="M18">
      <v>150</v>
    </nc>
  </rcc>
  <rcc rId="5258" sId="20">
    <nc r="P18">
      <v>7981.5</v>
    </nc>
  </rcc>
  <rcc rId="5259" sId="20">
    <nc r="S18">
      <v>50</v>
    </nc>
  </rcc>
  <rcc rId="5260" sId="20">
    <nc r="V18">
      <v>2660.5</v>
    </nc>
  </rcc>
  <rcc rId="5261" sId="20">
    <nc r="Y18">
      <v>15</v>
    </nc>
  </rcc>
  <rcc rId="5262" sId="20">
    <nc r="AC18">
      <v>798.15</v>
    </nc>
  </rcc>
  <rcc rId="5263" sId="20">
    <nc r="AH18">
      <v>0</v>
    </nc>
  </rcc>
  <rcc rId="5264" sId="20">
    <nc r="AN18">
      <v>0</v>
    </nc>
  </rcc>
  <rcc rId="5265" sId="20">
    <nc r="AO18">
      <v>886.83333333333337</v>
    </nc>
  </rcc>
  <rcc rId="5266" sId="20">
    <nc r="AP18">
      <v>17647.983333333334</v>
    </nc>
  </rcc>
  <rcc rId="5267" sId="20">
    <nc r="AS18">
      <v>16761.150000000001</v>
    </nc>
  </rcc>
  <rcc rId="5268" sId="20">
    <nc r="AT18" t="inlineStr">
      <is>
        <t>Ильина М.А.</t>
      </is>
    </nc>
  </rcc>
  <rcc rId="5269" sId="20">
    <nc r="AU18" t="inlineStr">
      <is>
        <t>высшее</t>
      </is>
    </nc>
  </rcc>
  <rcc rId="5270" sId="20">
    <nc r="AV18" t="inlineStr">
      <is>
        <t>10 лет</t>
      </is>
    </nc>
  </rcc>
  <rcc rId="5271" sId="20">
    <nc r="AX18">
      <v>0.35</v>
    </nc>
  </rcc>
  <rcc rId="5272" sId="20">
    <nc r="A19">
      <v>16</v>
    </nc>
  </rcc>
  <rcc rId="5273" sId="20">
    <nc r="B19" t="inlineStr">
      <is>
        <t>Бухгалтер 2 категории</t>
      </is>
    </nc>
  </rcc>
  <rcc rId="5274" sId="20">
    <nc r="G19">
      <v>1</v>
    </nc>
  </rcc>
  <rcc rId="5275" sId="20">
    <nc r="K19">
      <v>4850</v>
    </nc>
  </rcc>
  <rcc rId="5276" sId="20">
    <nc r="M19">
      <v>150</v>
    </nc>
  </rcc>
  <rcc rId="5277" sId="20">
    <nc r="P19">
      <v>7275</v>
    </nc>
  </rcc>
  <rcc rId="5278" sId="20">
    <nc r="S19">
      <v>60</v>
    </nc>
  </rcc>
  <rcc rId="5279" sId="20">
    <nc r="V19">
      <v>2910</v>
    </nc>
  </rcc>
  <rcc rId="5280" sId="20">
    <nc r="Y19">
      <v>15</v>
    </nc>
  </rcc>
  <rcc rId="5281" sId="20">
    <nc r="AC19">
      <v>727.5</v>
    </nc>
  </rcc>
  <rcc rId="5282" sId="20">
    <nc r="AH19">
      <v>0</v>
    </nc>
  </rcc>
  <rcc rId="5283" sId="20">
    <nc r="AN19">
      <v>0</v>
    </nc>
  </rcc>
  <rcc rId="5284" sId="20">
    <nc r="AO19">
      <v>808.33333333333337</v>
    </nc>
  </rcc>
  <rcc rId="5285" sId="20">
    <nc r="AP19">
      <v>16570.833333333332</v>
    </nc>
  </rcc>
  <rcc rId="5286" sId="20">
    <nc r="AS19">
      <v>15762.499999999998</v>
    </nc>
  </rcc>
  <rcc rId="5287" sId="20">
    <nc r="AT19" t="inlineStr">
      <is>
        <t>Романова В.В.</t>
      </is>
    </nc>
  </rcc>
  <rcc rId="5288" sId="20">
    <nc r="AU19" t="inlineStr">
      <is>
        <t>средне-специальное</t>
      </is>
    </nc>
  </rcc>
  <rcc rId="5289" sId="20">
    <nc r="AV19" t="inlineStr">
      <is>
        <t>20 лет</t>
      </is>
    </nc>
  </rcc>
  <rcc rId="5290" sId="20">
    <nc r="B20" t="inlineStr">
      <is>
        <t>Итого</t>
      </is>
    </nc>
  </rcc>
  <rcc rId="5291" sId="20">
    <nc r="G20">
      <v>16</v>
    </nc>
  </rcc>
  <rcc rId="5292" sId="20">
    <nc r="P20">
      <v>140671.1</v>
    </nc>
  </rcc>
  <rcc rId="5293" sId="20">
    <nc r="V20">
      <v>47610.1</v>
    </nc>
  </rcc>
  <rcc rId="5294" sId="20">
    <nc r="AC20">
      <v>12806.949999999997</v>
    </nc>
  </rcc>
  <rcc rId="5295" sId="20">
    <nc r="AH20">
      <v>2128.4</v>
    </nc>
  </rcc>
  <rcc rId="5296" sId="20">
    <nc r="AN20">
      <v>0</v>
    </nc>
  </rcc>
  <rcc rId="5297" sId="20">
    <nc r="AO20">
      <v>15049.500000000004</v>
    </nc>
  </rcc>
  <rcc rId="5298" sId="20">
    <nc r="AP20">
      <v>308563.05</v>
    </nc>
  </rcc>
  <rcc rId="5299" sId="20">
    <nc r="AS20">
      <v>293513.55</v>
    </nc>
  </rcc>
  <rcc rId="5300" sId="20">
    <nc r="AT20">
      <v>218266.05000000002</v>
    </nc>
  </rcc>
  <rcc rId="5301" sId="20">
    <nc r="AW20">
      <v>306.8</v>
    </nc>
  </rcc>
  <rcc rId="5302" sId="20">
    <nc r="AX20" t="inlineStr">
      <is>
        <t>308,6 стало</t>
      </is>
    </nc>
  </rcc>
  <rcc rId="5303" sId="20">
    <nc r="AY20" t="inlineStr">
      <is>
        <t>329,4 было</t>
      </is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9211.xml><?xml version="1.0" encoding="utf-8"?>
<revisions xmlns="http://schemas.openxmlformats.org/spreadsheetml/2006/main" xmlns:r="http://schemas.openxmlformats.org/officeDocument/2006/relationships">
  <rcc rId="3068" sId="5" numFmtId="4">
    <oc r="D59">
      <v>779.80925999999999</v>
    </oc>
    <nc r="D59">
      <v>907.99928</v>
    </nc>
  </rcc>
  <rcc rId="3069" sId="5" numFmtId="4">
    <oc r="D66">
      <v>74.326999999999998</v>
    </oc>
    <nc r="D66">
      <v>87.04</v>
    </nc>
  </rcc>
  <rcc rId="3070" sId="5" numFmtId="4">
    <oc r="D74">
      <v>373.15194000000002</v>
    </oc>
    <nc r="D74">
      <v>389.49344000000002</v>
    </nc>
  </rcc>
  <rcc rId="3071" sId="5" numFmtId="4">
    <oc r="C75">
      <v>2485.2155499999999</v>
    </oc>
    <nc r="C75">
      <v>2485.1755499999999</v>
    </nc>
  </rcc>
  <rcc rId="3072" sId="5" numFmtId="4">
    <oc r="D75">
      <v>335.60750000000002</v>
    </oc>
    <nc r="D75">
      <v>1033.3210999999999</v>
    </nc>
  </rcc>
  <rcc rId="3073" sId="5" numFmtId="4">
    <oc r="D76">
      <v>44.3</v>
    </oc>
    <nc r="D76">
      <v>101.39100000000001</v>
    </nc>
  </rcc>
  <rcc rId="3074" sId="5" numFmtId="4">
    <oc r="D80">
      <v>348.12322999999998</v>
    </oc>
    <nc r="D80">
      <v>360.91023000000001</v>
    </nc>
  </rcc>
  <rcc rId="3075" sId="5" numFmtId="4">
    <oc r="C83">
      <v>3667.768</v>
    </oc>
    <nc r="C83">
      <v>3662.768</v>
    </nc>
  </rcc>
  <rcc rId="3076" sId="5" numFmtId="4">
    <oc r="D83">
      <v>1666.98137</v>
    </oc>
    <nc r="D83">
      <v>1831.98137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93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Але!$19:$24,Але!$44:$44,Але!$46:$46,Але!$53:$53,Але!$55:$56,Але!$63:$64,Але!$73:$74,Але!$78:$92</formula>
    <oldFormula>Але!$19:$24,Але!$44:$44,Але!$46:$46,Але!$53:$53,Але!$55:$56,Але!$63:$64,Але!$73:$74,Але!$78:$92</oldFormula>
  </rdn>
  <rdn rId="0" localSheetId="5" customView="1" name="Z_5BFCA170_DEAE_4D2C_98A0_1E68B427AC01_.wvu.Rows" hidden="1" oldHidden="1">
    <formula>Сун!$19:$24,Сун!$49:$51,Сун!$58:$58,Сун!$60:$61,Сун!$68:$69,Сун!$78:$79,Сун!$81:$84,Сун!$87:$88,Сун!$92:$96</formula>
    <oldFormula>Сун!$19:$24,Сун!$49:$51,Сун!$58:$58,Сун!$60:$61,Сун!$68:$69,Сун!$78:$79,Сун!$81:$84,Сун!$87:$88,Сун!$92:$96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Иль!$19:$24,Иль!$30:$31,Иль!$33:$33,Иль!$45:$45,Иль!$50:$50,Иль!$60:$61,Иль!$68:$69,Иль!$77:$78,Иль!$80:$80,Иль!$82:$89,Иль!$92:$96</formula>
    <oldFormula>Иль!$19:$24,Иль!$30:$31,Иль!$33:$33,Иль!$45:$45,Иль!$50:$50,Иль!$60:$61,Иль!$68:$69,Иль!$77:$78,Иль!$80:$80,Иль!$82:$89,Иль!$92:$96</oldFormula>
  </rdn>
  <rdn rId="0" localSheetId="7" customView="1" name="Z_5BFCA170_DEAE_4D2C_98A0_1E68B427AC01_.wvu.Rows" hidden="1" oldHidden="1">
    <formula>Кад!$19:$24,Кад!$44:$44,Кад!$56:$56,Кад!$58:$59,Кад!$66:$67,Кад!$82:$84,Кад!$88:$95</formula>
    <oldFormula>Кад!$19:$24,Кад!$44:$44,Кад!$56:$56,Кад!$58:$59,Кад!$66:$67,Кад!$82:$84,Кад!$88:$95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Мос!$19:$24,Мос!$44:$44,Мос!$47:$49,Мос!$57:$57,Мос!$59:$60,Мос!$67:$68,Мос!$80:$80,Мос!$82:$88,Мос!$93:$98</formula>
    <oldFormula>Мос!$19:$24,Мос!$44:$44,Мос!$47:$49,Мос!$57:$57,Мос!$59:$60,Мос!$67:$68,Мос!$80:$80,Мос!$82:$88,Мос!$93:$98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Ори!$19:$24,Ори!$32:$32,Ори!$44:$44,Ори!$48:$50,Ори!$57:$57,Ори!$59:$60,Ори!$67:$68,Ори!$77:$78,Ори!$80:$80,Ори!$82:$86,Ори!$90:$97</formula>
    <oldFormula>Ори!$19:$24,Ори!$32:$32,Ори!$44:$44,Ори!$48:$50,Ори!$57:$57,Ори!$59:$60,Ори!$67:$68,Ори!$77:$78,Ори!$80:$80,Ори!$82:$86,Ори!$90:$97</oldFormula>
  </rdn>
  <rdn rId="0" localSheetId="11" customView="1" name="Z_5BFCA170_DEAE_4D2C_98A0_1E68B427AC01_.wvu.Rows" hidden="1" oldHidden="1">
    <formula>Сят!$19:$19,Сят!$45:$47,Сят!$57:$57,Сят!$59:$60,Сят!$67:$68,Сят!$82:$85,Сят!$89:$96</formula>
    <oldFormula>Сят!$19:$19,Сят!$45:$47,Сят!$57:$57,Сят!$59:$60,Сят!$67:$68,Сят!$82:$85,Сят!$89:$96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Тор!$19:$19,Тор!$50:$50,Тор!$57:$57,Тор!$59:$60,Тор!$67:$68,Тор!$74:$74,Тор!$78:$79,Тор!$82:$93</formula>
    <oldFormula>Тор!$19:$19,Тор!$50:$50,Тор!$57:$57,Тор!$59:$60,Тор!$67:$68,Тор!$74:$74,Тор!$78:$79,Тор!$82:$93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Юсь!$20:$24,Юсь!$40:$40,Юсь!$44:$49,Юсь!$58:$58,Юсь!$60:$61,Юсь!$68:$69,Юсь!$78:$79,Юсь!$82:$87,Юсь!$90:$97</formula>
    <oldFormula>Юсь!$20:$24,Юсь!$40:$40,Юсь!$44:$49,Юсь!$58:$58,Юсь!$60:$61,Юсь!$68:$69,Юсь!$78:$79,Юсь!$82:$87,Юсь!$90:$97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Яра!$19:$24,Яра!$46:$50,Яра!$58:$58,Яра!$60:$61,Яра!$68:$69,Яра!$79:$79,Яра!$82:$88,Яра!$91:$98</formula>
    <oldFormula>Яра!$19:$24,Яра!$46:$50,Яра!$58:$58,Яра!$60:$61,Яра!$68:$69,Яра!$79:$79,Яра!$82:$88,Яра!$91:$98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Яро!$19:$24,Яро!$29:$30,Яро!$32:$32,Яро!$43:$43,Яро!$54:$54,Яро!$56:$57,Яро!$64:$65,Яро!$74:$75,Яро!$79:$84,Яро!$86:$93</formula>
    <oldFormula>Яро!$19:$24,Яро!$29:$30,Яро!$32:$32,Яро!$43:$43,Яро!$54:$54,Яро!$56:$57,Яро!$64:$65,Яро!$74:$75,Яро!$79:$84,Яро!$86:$93</oldFormula>
  </rdn>
  <rdn rId="0" localSheetId="20" customView="1" name="Z_5BFCA170_DEAE_4D2C_98A0_1E68B427AC01_.wvu.Rows" hidden="1" oldHidden="1">
    <formula>Лист1!$82:$84</formula>
    <oldFormula>Лист1!$82:$84</oldFormula>
  </rdn>
  <rcv guid="{5BFCA170-DEAE-4D2C-98A0-1E68B427AC01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7095" sId="17" numFmtId="4">
    <oc r="D6">
      <v>68.872190000000003</v>
    </oc>
    <nc r="D6">
      <v>81.604619999999997</v>
    </nc>
  </rcc>
  <rcc rId="7096" sId="17" numFmtId="4">
    <oc r="D8">
      <v>168.33144999999999</v>
    </oc>
    <nc r="D8">
      <v>197.78236000000001</v>
    </nc>
  </rcc>
  <rcc rId="7097" sId="17" numFmtId="4">
    <oc r="D9">
      <v>1.38053</v>
    </oc>
    <nc r="D9">
      <v>1.69462</v>
    </nc>
  </rcc>
  <rcc rId="7098" sId="17" numFmtId="4">
    <oc r="D10">
      <v>256.48025000000001</v>
    </oc>
    <nc r="D10">
      <v>299.83377000000002</v>
    </nc>
  </rcc>
  <rcc rId="7099" sId="17" numFmtId="4">
    <oc r="D11">
      <v>-35.427109999999999</v>
    </oc>
    <nc r="D11">
      <v>-46.109520000000003</v>
    </nc>
  </rcc>
  <rcc rId="7100" sId="17" numFmtId="4">
    <oc r="D15">
      <v>19.509920000000001</v>
    </oc>
    <nc r="D15">
      <v>46.545529999999999</v>
    </nc>
  </rcc>
  <rcc rId="7101" sId="17" numFmtId="4">
    <oc r="D16">
      <v>47.754989999999999</v>
    </oc>
    <nc r="D16">
      <v>147.04281</v>
    </nc>
  </rcc>
  <rcc rId="7102" sId="17" numFmtId="4">
    <oc r="D18">
      <v>3.45</v>
    </oc>
    <nc r="D18">
      <v>3.65</v>
    </nc>
  </rcc>
  <rcc rId="7103" sId="17" numFmtId="4">
    <oc r="D28">
      <v>20</v>
    </oc>
    <nc r="D28">
      <v>22</v>
    </nc>
  </rcc>
  <rcc rId="7104" sId="17" numFmtId="4">
    <oc r="D30">
      <v>279.77256999999997</v>
    </oc>
    <nc r="D30">
      <v>300.24479000000002</v>
    </nc>
  </rcc>
  <rcc rId="7105" sId="17" numFmtId="4">
    <oc r="D39">
      <v>1909.0650000000001</v>
    </oc>
    <nc r="D39">
      <v>2080.174</v>
    </nc>
  </rcc>
  <rcc rId="7106" sId="17" numFmtId="4">
    <oc r="D42">
      <v>288.67399999999998</v>
    </oc>
    <nc r="D42">
      <v>635.33000000000004</v>
    </nc>
  </rcc>
  <rcc rId="7107" sId="17" numFmtId="4">
    <oc r="D43">
      <v>101.4525</v>
    </oc>
    <nc r="D43">
      <v>126.8325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20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0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011.xml><?xml version="1.0" encoding="utf-8"?>
<revisions xmlns="http://schemas.openxmlformats.org/spreadsheetml/2006/main" xmlns:r="http://schemas.openxmlformats.org/officeDocument/2006/relationships">
  <rcc rId="2845" sId="4">
    <oc r="A1" t="inlineStr">
      <is>
        <t xml:space="preserve">                     Анализ исполнения бюджета Александровского сельского поселения на 01.07.2018 г.</t>
      </is>
    </oc>
    <nc r="A1" t="inlineStr">
      <is>
        <t xml:space="preserve">                     Анализ исполнения бюджета Александровского сельского поселения на 01.08.2018 г.</t>
      </is>
    </nc>
  </rcc>
  <rcc rId="2846" sId="4">
    <oc r="D50" t="inlineStr">
      <is>
        <t>исполнено на 01.07.2018 г.</t>
      </is>
    </oc>
    <nc r="D50" t="inlineStr">
      <is>
        <t>исполнено на 01.08.2018 г.</t>
      </is>
    </nc>
  </rcc>
  <rcc rId="2847" sId="4" numFmtId="4">
    <oc r="D6">
      <v>27.875630000000001</v>
    </oc>
    <nc r="D6">
      <v>40.684122000000002</v>
    </nc>
  </rcc>
  <rcc rId="2848" sId="4" numFmtId="4">
    <oc r="D8">
      <v>46.059350000000002</v>
    </oc>
    <nc r="D8">
      <v>55.216990000000003</v>
    </nc>
  </rcc>
  <rcc rId="2849" sId="4" numFmtId="4">
    <oc r="D9">
      <v>0.34916999999999998</v>
    </oc>
    <nc r="D9">
      <v>0.45284999999999997</v>
    </nc>
  </rcc>
  <rcc rId="2850" sId="4" numFmtId="4">
    <oc r="D10">
      <v>69.440889999999996</v>
    </oc>
    <nc r="D10">
      <v>84.132069999999999</v>
    </nc>
  </rcc>
  <rcc rId="2851" sId="4" numFmtId="4">
    <oc r="D11">
      <v>-9.5697600000000005</v>
    </oc>
    <nc r="D11">
      <v>-11.62097</v>
    </nc>
  </rcc>
  <rcc rId="2852" sId="4" numFmtId="4">
    <oc r="D15">
      <f>1.19411+0.24176</f>
    </oc>
    <nc r="D15">
      <v>3.2138300000000002</v>
    </nc>
  </rcc>
  <rcc rId="2853" sId="4" numFmtId="4">
    <oc r="D16">
      <f>4.835+15.67971+0.45304</f>
    </oc>
    <nc r="D16">
      <v>28.8337</v>
    </nc>
  </rcc>
  <rcc rId="2854" sId="4" numFmtId="4">
    <oc r="D18">
      <v>2.9</v>
    </oc>
    <nc r="D18">
      <v>3.2</v>
    </nc>
  </rcc>
  <rcc rId="2855" sId="4" numFmtId="4">
    <oc r="D39">
      <v>726.97</v>
    </oc>
    <nc r="D39">
      <v>798.53599999999994</v>
    </nc>
  </rcc>
  <rcc rId="2856" sId="4" numFmtId="4">
    <oc r="D42">
      <v>35.545999999999999</v>
    </oc>
    <nc r="D42">
      <v>47.426000000000002</v>
    </nc>
  </rcc>
  <rfmt sheetId="4" sqref="C38">
    <dxf>
      <numFmt numFmtId="2" formatCode="0.00"/>
    </dxf>
  </rfmt>
  <rfmt sheetId="4" sqref="C38">
    <dxf>
      <numFmt numFmtId="165" formatCode="_(* #,##0.00_);_(* \(#,##0.00\);_(* &quot;-&quot;??_);_(@_)"/>
    </dxf>
  </rfmt>
  <rfmt sheetId="4" sqref="C38">
    <dxf>
      <numFmt numFmtId="165" formatCode="_(* #,##0.00_);_(* \(#,##0.00\);_(* &quot;-&quot;??_);_(@_)"/>
    </dxf>
  </rfmt>
  <rfmt sheetId="4" sqref="C38">
    <dxf>
      <numFmt numFmtId="185" formatCode="_(* #,##0.000_);_(* \(#,##0.000\);_(* &quot;-&quot;??_);_(@_)"/>
    </dxf>
  </rfmt>
  <rfmt sheetId="4" sqref="C38">
    <dxf>
      <numFmt numFmtId="176" formatCode="_(* #,##0.0000_);_(* \(#,##0.0000\);_(* &quot;-&quot;??_);_(@_)"/>
    </dxf>
  </rfmt>
  <rfmt sheetId="4" sqref="C38">
    <dxf>
      <numFmt numFmtId="177" formatCode="_(* #,##0.00000_);_(* \(#,##0.00000\);_(* &quot;-&quot;??_);_(@_)"/>
    </dxf>
  </rfmt>
  <rfmt sheetId="4" sqref="C39:C43">
    <dxf>
      <numFmt numFmtId="2" formatCode="0.00"/>
    </dxf>
  </rfmt>
  <rfmt sheetId="4" sqref="C39:C43">
    <dxf>
      <numFmt numFmtId="187" formatCode="0.000"/>
    </dxf>
  </rfmt>
  <rfmt sheetId="4" sqref="C39:C43">
    <dxf>
      <numFmt numFmtId="175" formatCode="0.0000"/>
    </dxf>
  </rfmt>
  <rfmt sheetId="4" sqref="C39:C43">
    <dxf>
      <numFmt numFmtId="168" formatCode="0.00000"/>
    </dxf>
  </rfmt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20111.xml><?xml version="1.0" encoding="utf-8"?>
<revisions xmlns="http://schemas.openxmlformats.org/spreadsheetml/2006/main" xmlns:r="http://schemas.openxmlformats.org/officeDocument/2006/relationships">
  <rfmt sheetId="2" sqref="DP18:DP29">
    <dxf>
      <numFmt numFmtId="3" formatCode="#,##0"/>
    </dxf>
  </rfmt>
  <rfmt sheetId="2" sqref="DP18:DP29">
    <dxf>
      <numFmt numFmtId="167" formatCode="#,##0.0"/>
    </dxf>
  </rfmt>
  <rfmt sheetId="2" sqref="DP18:DP29">
    <dxf>
      <numFmt numFmtId="4" formatCode="#,##0.00"/>
    </dxf>
  </rfmt>
  <rfmt sheetId="2" sqref="DP18:DP29">
    <dxf>
      <numFmt numFmtId="173" formatCode="#,##0.000"/>
    </dxf>
  </rfmt>
  <rfmt sheetId="2" sqref="DP18:DP29">
    <dxf>
      <numFmt numFmtId="183" formatCode="#,##0.0000"/>
    </dxf>
  </rfmt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02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Кад!$19:$24,Кад!$44:$44,Кад!$56:$56,Кад!$58:$59,Кад!$66:$67,Кад!$88:$95</formula>
    <oldFormula>Кад!$19:$24,Кад!$44:$44,Кад!$56:$56,Кад!$58:$59,Кад!$66:$67,Кад!$88:$95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2021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Кад!$19:$24,Кад!$44:$44,Кад!$56:$56,Кад!$58:$59,Кад!$66:$67,Кад!$88:$95</formula>
    <oldFormula>Кад!$19:$24,Кад!$44:$44,Кад!$56:$56,Кад!$58:$59,Кад!$66:$67,Кад!$88:$95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3958" sId="18" numFmtId="34">
    <oc r="C76">
      <v>5136.4613300000001</v>
    </oc>
    <nc r="C76">
      <v>5136.4826899999998</v>
    </nc>
  </rcc>
  <rcc rId="3959" sId="18" numFmtId="34">
    <oc r="D76">
      <v>248.22402</v>
    </oc>
    <nc r="D76">
      <v>292.78818999999999</v>
    </nc>
  </rcc>
  <rcc rId="3960" sId="18" numFmtId="34">
    <oc r="D81">
      <v>239.56307000000001</v>
    </oc>
    <nc r="D81">
      <v>266.12876</v>
    </nc>
  </rcc>
  <rcc rId="3961" sId="18" numFmtId="34">
    <oc r="D83">
      <v>1705.3824</v>
    </oc>
    <nc r="D83">
      <v>1939.0776900000001</v>
    </nc>
  </rcc>
  <rcc rId="3962" sId="18" numFmtId="34">
    <oc r="D90">
      <f>3.221+27.33</f>
    </oc>
    <nc r="D90">
      <v>36.822000000000003</v>
    </nc>
  </rcc>
  <rcc rId="3963" sId="18" numFmtId="34">
    <oc r="D77">
      <v>12.5</v>
    </oc>
    <nc r="D77">
      <v>44.357199999999999</v>
    </nc>
  </rcc>
  <rcc rId="3964" sId="19">
    <oc r="A1" t="inlineStr">
      <is>
        <t xml:space="preserve">                     Анализ исполнения бюджета Ярославского сельского поселения на 01.07.2018 г.</t>
      </is>
    </oc>
    <nc r="A1" t="inlineStr">
      <is>
        <t xml:space="preserve">                     Анализ исполнения бюджета Ярославского сельского поселения на 01.08.2018 г.</t>
      </is>
    </nc>
  </rcc>
  <rcc rId="3965" sId="19">
    <oc r="D3" t="inlineStr">
      <is>
        <t>исполнен на 01.07.2018 г.</t>
      </is>
    </oc>
    <nc r="D3" t="inlineStr">
      <is>
        <t>исполнен на 01.08.2018 г.</t>
      </is>
    </nc>
  </rcc>
  <rcc rId="3966" sId="19">
    <oc r="D51" t="inlineStr">
      <is>
        <t>исполнено на 01.07.2018 г.</t>
      </is>
    </oc>
    <nc r="D51" t="inlineStr">
      <is>
        <t>исполнено на 01.08.2018 г.</t>
      </is>
    </nc>
  </rcc>
  <rcc rId="3967" sId="18">
    <oc r="D55" t="inlineStr">
      <is>
        <t>исполнено на 01.07.2018 г.</t>
      </is>
    </oc>
    <nc r="D55" t="inlineStr">
      <is>
        <t>исполнено на 01.08.2018 г.</t>
      </is>
    </nc>
  </rcc>
  <rcc rId="3968" sId="18">
    <oc r="D3" t="inlineStr">
      <is>
        <t>исполнен на 01.07.2018 г.</t>
      </is>
    </oc>
    <nc r="D3" t="inlineStr">
      <is>
        <t>исполнен на 01.08.2018 г.</t>
      </is>
    </nc>
  </rcc>
  <rcc rId="3969" sId="18">
    <oc r="A1" t="inlineStr">
      <is>
        <t xml:space="preserve">                     Анализ исполнения бюджета Ярабайкасинского сельского поселения на 01.07.2018 г.</t>
      </is>
    </oc>
    <nc r="A1" t="inlineStr">
      <is>
        <t xml:space="preserve">                     Анализ исполнения бюджета Ярабайкасинского сельского поселения на 01.08.2018 г.</t>
      </is>
    </nc>
  </rcc>
  <rcc rId="3970" sId="4">
    <oc r="D3" t="inlineStr">
      <is>
        <t>исполнен на 01.07.2018 г.</t>
      </is>
    </oc>
    <nc r="D3" t="inlineStr">
      <is>
        <t>исполнен на 01.08.2018 г.</t>
      </is>
    </nc>
  </rcc>
  <rcc rId="3971" sId="6">
    <oc r="D55" t="inlineStr">
      <is>
        <t>исполнено на 01.07.2018 г.</t>
      </is>
    </oc>
    <nc r="D55" t="inlineStr">
      <is>
        <t>исполнено на 01.08.2018 г.</t>
      </is>
    </nc>
  </rcc>
  <rcc rId="3972" sId="6">
    <oc r="D3" t="inlineStr">
      <is>
        <t>исполнен на 01.07.2018 г.</t>
      </is>
    </oc>
    <nc r="D3" t="inlineStr">
      <is>
        <t>исполнен на 01.08.2018 г.</t>
      </is>
    </nc>
  </rcc>
  <rcc rId="3973" sId="6">
    <oc r="A1" t="inlineStr">
      <is>
        <t xml:space="preserve">                     Анализ исполнения бюджета Ильинского сельского поселения на 01.07.2018 г.</t>
      </is>
    </oc>
    <nc r="A1" t="inlineStr">
      <is>
        <t xml:space="preserve">                     Анализ исполнения бюджета Ильинского сельского поселения на 01.08.2018 г.</t>
      </is>
    </nc>
  </rcc>
  <rcc rId="3974" sId="17">
    <oc r="D55" t="inlineStr">
      <is>
        <t>исполнено на 01.07.2018г.</t>
      </is>
    </oc>
    <nc r="D55" t="inlineStr">
      <is>
        <t>исполнено на 01.08.2018г.</t>
      </is>
    </nc>
  </rcc>
  <rcc rId="3975" sId="17">
    <oc r="D3" t="inlineStr">
      <is>
        <t>исполнен на 01.07.2018 г.</t>
      </is>
    </oc>
    <nc r="D3" t="inlineStr">
      <is>
        <t>исполнен на 01.08.2018 г.</t>
      </is>
    </nc>
  </rcc>
  <rcc rId="3976" sId="17">
    <oc r="A1" t="inlineStr">
      <is>
        <t xml:space="preserve">                     Анализ исполнения бюджета Юськасинского сельского поселения на 01.07.2018 г.</t>
      </is>
    </oc>
    <nc r="A1" t="inlineStr">
      <is>
        <t xml:space="preserve">                     Анализ исполнения бюджета Юськасинского сельского поселения на 01.08.2018 г.</t>
      </is>
    </nc>
  </rcc>
  <rcc rId="3977" sId="17" numFmtId="4">
    <oc r="D6">
      <v>56.835360000000001</v>
    </oc>
    <nc r="D6">
      <v>68.872190000000003</v>
    </nc>
  </rcc>
  <rcc rId="3978" sId="17" numFmtId="4">
    <oc r="D8">
      <v>140.41391999999999</v>
    </oc>
    <nc r="D8">
      <v>168.33144999999999</v>
    </nc>
  </rcc>
  <rcc rId="3979" sId="17" numFmtId="4">
    <oc r="D9">
      <v>1.0645</v>
    </oc>
    <nc r="D9">
      <v>1.38053</v>
    </nc>
  </rcc>
  <rcc rId="3980" sId="17" numFmtId="4">
    <oc r="D10">
      <v>211.69361000000001</v>
    </oc>
    <nc r="D10">
      <v>256.48025000000001</v>
    </nc>
  </rcc>
  <rcc rId="3981" sId="17" numFmtId="4">
    <oc r="D11">
      <v>-29.17389</v>
    </oc>
    <nc r="D11">
      <v>-35.427109999999999</v>
    </nc>
  </rcc>
  <rcc rId="3982" sId="17" numFmtId="4">
    <oc r="D15">
      <v>10.07429</v>
    </oc>
    <nc r="D15">
      <v>19.509920000000001</v>
    </nc>
  </rcc>
  <rcc rId="3983" sId="17" numFmtId="4">
    <oc r="D16">
      <v>23.492540000000002</v>
    </oc>
    <nc r="D16">
      <v>47.754989999999999</v>
    </nc>
  </rcc>
  <rcc rId="3984" sId="17" numFmtId="4">
    <oc r="D18">
      <v>2.75</v>
    </oc>
    <nc r="D18">
      <v>3.45</v>
    </nc>
  </rcc>
  <rcc rId="3985" sId="17" numFmtId="4">
    <oc r="D28">
      <v>18</v>
    </oc>
    <nc r="D28">
      <v>20</v>
    </nc>
  </rcc>
  <rcc rId="3986" sId="17" numFmtId="4">
    <oc r="D30">
      <v>272.65098</v>
    </oc>
    <nc r="D30">
      <v>279.77256999999997</v>
    </nc>
  </rcc>
  <rcc rId="3987" sId="17" numFmtId="4">
    <oc r="D39">
      <v>1737.9559999999999</v>
    </oc>
    <nc r="D39">
      <v>1909.0650000000001</v>
    </nc>
  </rcc>
  <rcc rId="3988" sId="17" numFmtId="4">
    <oc r="D42">
      <v>110.31399999999999</v>
    </oc>
    <nc r="D42">
      <v>288.67399999999998</v>
    </nc>
  </rcc>
  <rcc rId="3989" sId="17" numFmtId="4">
    <oc r="D43">
      <v>74.343999999999994</v>
    </oc>
    <nc r="D43">
      <v>101.4525</v>
    </nc>
  </rcc>
  <rcc rId="3990" sId="17" numFmtId="4">
    <oc r="C42">
      <v>1977.41</v>
    </oc>
    <nc r="C42">
      <v>1977.37</v>
    </nc>
  </rcc>
  <rcc rId="3991" sId="17" numFmtId="34">
    <oc r="D59">
      <v>609.54551000000004</v>
    </oc>
    <nc r="D59">
      <v>752.03458999999998</v>
    </nc>
  </rcc>
  <rcc rId="3992" sId="17" numFmtId="34">
    <oc r="D62">
      <v>0</v>
    </oc>
    <nc r="D62">
      <v>15.714</v>
    </nc>
  </rcc>
  <rcc rId="3993" sId="17" numFmtId="34">
    <oc r="D66">
      <v>65.899519999999995</v>
    </oc>
    <nc r="D66">
      <v>80.835520000000002</v>
    </nc>
  </rcc>
  <rcc rId="3994" sId="17" numFmtId="34">
    <oc r="D73">
      <v>4.5359999999999996</v>
    </oc>
    <nc r="D73">
      <v>6.25</v>
    </nc>
  </rcc>
  <rcc rId="3995" sId="17" numFmtId="34">
    <oc r="D74">
      <v>136.28536</v>
    </oc>
    <nc r="D74">
      <v>147.41399999999999</v>
    </nc>
  </rcc>
  <rcc rId="3996" sId="17" numFmtId="34">
    <oc r="C80">
      <v>635.875</v>
    </oc>
    <nc r="C80">
      <v>635.83500000000004</v>
    </nc>
  </rcc>
  <rcc rId="3997" sId="17" numFmtId="34">
    <oc r="D80">
      <v>143.75525999999999</v>
    </oc>
    <nc r="D80">
      <v>461.51398</v>
    </nc>
  </rcc>
  <rcc rId="3998" sId="17" numFmtId="34">
    <oc r="D82">
      <v>971.76966000000004</v>
    </oc>
    <nc r="D82">
      <v>1078.7696599999999</v>
    </nc>
  </rcc>
  <rcc rId="3999" sId="16">
    <oc r="D53" t="inlineStr">
      <is>
        <t>исполнено на 01.07.2018 г.</t>
      </is>
    </oc>
    <nc r="D53" t="inlineStr">
      <is>
        <t>исполнено на 01.08.2018 г.</t>
      </is>
    </nc>
  </rcc>
  <rcc rId="4000" sId="16">
    <oc r="D3" t="inlineStr">
      <is>
        <t>исполнен на 01.07.2018 г.</t>
      </is>
    </oc>
    <nc r="D3" t="inlineStr">
      <is>
        <t>исполнен на 01.08.2018 г.</t>
      </is>
    </nc>
  </rcc>
  <rcc rId="4001" sId="16">
    <oc r="A1" t="inlineStr">
      <is>
        <t xml:space="preserve">                     Анализ исполнения бюджета Юнгинского сельского поселения на 01.07.2018 г.</t>
      </is>
    </oc>
    <nc r="A1" t="inlineStr">
      <is>
        <t xml:space="preserve">                     Анализ исполнения бюджета Юнгинского сельского поселения на 01.08.2018 г.</t>
      </is>
    </nc>
  </rcc>
  <rcc rId="4002" sId="16" numFmtId="4">
    <oc r="D6">
      <v>59.27881</v>
    </oc>
    <nc r="D6">
      <v>69.70487</v>
    </nc>
  </rcc>
  <rcc rId="4003" sId="16" numFmtId="4">
    <oc r="D8">
      <v>104.19253</v>
    </oc>
    <nc r="D8">
      <v>124.9084</v>
    </nc>
  </rcc>
  <rcc rId="4004" sId="16" numFmtId="4">
    <oc r="D9">
      <v>0.78986000000000001</v>
    </oc>
    <nc r="D9">
      <v>1.0243800000000001</v>
    </nc>
  </rcc>
  <rcc rId="4005" sId="16" numFmtId="4">
    <oc r="D10">
      <v>157.08475999999999</v>
    </oc>
    <nc r="D10">
      <v>190.31816000000001</v>
    </nc>
  </rcc>
  <rcc rId="4006" sId="16" numFmtId="4">
    <oc r="D11">
      <v>-21.648109999999999</v>
    </oc>
    <nc r="D11">
      <v>-26.288219999999999</v>
    </nc>
  </rcc>
  <rcc rId="4007" sId="16" numFmtId="4">
    <oc r="D13">
      <v>27.170999999999999</v>
    </oc>
    <nc r="D13">
      <v>42.170999999999999</v>
    </nc>
  </rcc>
  <rcc rId="4008" sId="16" numFmtId="4">
    <oc r="D15">
      <v>39.006</v>
    </oc>
    <nc r="D15">
      <v>46.945399999999999</v>
    </nc>
  </rcc>
  <rcc rId="4009" sId="16" numFmtId="4">
    <oc r="D16">
      <v>344.15152999999998</v>
    </oc>
    <nc r="D16">
      <v>467.70350999999999</v>
    </nc>
  </rcc>
  <rcc rId="4010" sId="16" numFmtId="4">
    <oc r="D18">
      <v>5.4</v>
    </oc>
    <nc r="D18">
      <v>5.9</v>
    </nc>
  </rcc>
  <rcc rId="4011" sId="16" numFmtId="4">
    <oc r="D27">
      <v>15.474</v>
    </oc>
    <nc r="D27">
      <v>38.857999999999997</v>
    </nc>
  </rcc>
  <rcc rId="4012" sId="16" numFmtId="4">
    <oc r="D28">
      <v>22.2685</v>
    </oc>
    <nc r="D28">
      <v>23.623249999999999</v>
    </nc>
  </rcc>
  <rcc rId="4013" sId="16" numFmtId="4">
    <oc r="D30">
      <v>42.989870000000003</v>
    </oc>
    <nc r="D30">
      <v>47.197670000000002</v>
    </nc>
  </rcc>
  <rcc rId="4014" sId="16" numFmtId="4">
    <oc r="D37">
      <v>0.57999999999999996</v>
    </oc>
    <nc r="D37">
      <v>0</v>
    </nc>
  </rcc>
  <rcc rId="4015" sId="16" numFmtId="4">
    <oc r="D41">
      <v>632.57899999999995</v>
    </oc>
    <nc r="D41">
      <v>683.005</v>
    </nc>
  </rcc>
  <rcc rId="4016" sId="16" numFmtId="4">
    <oc r="D44">
      <v>35.545999999999999</v>
    </oc>
    <nc r="D44">
      <v>47.426000000000002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10.xml><?xml version="1.0" encoding="utf-8"?>
<revisions xmlns="http://schemas.openxmlformats.org/spreadsheetml/2006/main" xmlns:r="http://schemas.openxmlformats.org/officeDocument/2006/relationships">
  <rcc rId="7008" sId="18" numFmtId="34">
    <oc r="D81">
      <v>266.12876</v>
    </oc>
    <nc r="D81">
      <v>294.73453999999998</v>
    </nc>
  </rcc>
  <rcc rId="7009" sId="18" numFmtId="34">
    <oc r="D83">
      <v>1939.0776900000001</v>
    </oc>
    <nc r="D83">
      <v>2101.17769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2101.xml><?xml version="1.0" encoding="utf-8"?>
<revisions xmlns="http://schemas.openxmlformats.org/spreadsheetml/2006/main" xmlns:r="http://schemas.openxmlformats.org/officeDocument/2006/relationships">
  <rcc rId="4219" sId="13" numFmtId="4">
    <oc r="C42">
      <v>480.91</v>
    </oc>
    <nc r="C42">
      <v>480.904</v>
    </nc>
  </rcc>
  <rcc rId="4220" sId="13" numFmtId="4">
    <oc r="D15">
      <v>2.9229599999999998</v>
    </oc>
    <nc r="D15">
      <v>3.0311699999999999</v>
    </nc>
  </rcc>
  <rcc rId="4221" sId="13" numFmtId="34">
    <oc r="D56">
      <v>422.62617999999998</v>
    </oc>
    <nc r="D56">
      <v>487.38490000000002</v>
    </nc>
  </rcc>
  <rcc rId="4222" sId="13" numFmtId="34">
    <oc r="D63">
      <v>28.711179999999999</v>
    </oc>
    <nc r="D63">
      <v>35.294739999999997</v>
    </nc>
  </rcc>
  <rcc rId="4223" sId="13" numFmtId="34">
    <oc r="C72">
      <v>879.18856000000005</v>
    </oc>
    <nc r="C72">
      <v>879.18255999999997</v>
    </nc>
  </rcc>
  <rcc rId="4224" sId="13" numFmtId="34">
    <oc r="D72">
      <v>164.5</v>
    </oc>
    <nc r="D72">
      <v>407.35527000000002</v>
    </nc>
  </rcc>
  <rcc rId="4225" sId="13" numFmtId="34">
    <oc r="D77">
      <v>99.760620000000003</v>
    </oc>
    <nc r="D77">
      <v>106.90447</v>
    </nc>
  </rcc>
  <rcc rId="4226" sId="13" numFmtId="34">
    <oc r="D79">
      <v>432</v>
    </oc>
    <nc r="D79">
      <v>465</v>
    </nc>
  </rcc>
  <rcc rId="4227" sId="12">
    <oc r="D54" t="inlineStr">
      <is>
        <t>исполнено на 01.07.2018 г.</t>
      </is>
    </oc>
    <nc r="D54" t="inlineStr">
      <is>
        <t>исполнено на 01.08.2018 г.</t>
      </is>
    </nc>
  </rcc>
  <rcc rId="4228" sId="12">
    <oc r="D3" t="inlineStr">
      <is>
        <t>исполнен на 01.07.2018 г.</t>
      </is>
    </oc>
    <nc r="D3" t="inlineStr">
      <is>
        <t>исполнен на 01.08.2018 г.</t>
      </is>
    </nc>
  </rcc>
  <rcc rId="4229" sId="12">
    <oc r="A1" t="inlineStr">
      <is>
        <t xml:space="preserve">                     Анализ исполнения бюджета Тораевского сельского поселения на 01.07.2018 г.</t>
      </is>
    </oc>
    <nc r="A1" t="inlineStr">
      <is>
        <t xml:space="preserve">                     Анализ исполнения бюджета Тораевского сельского поселения на 01.08.2018 г.</t>
      </is>
    </nc>
  </rcc>
  <rcc rId="4230" sId="12" numFmtId="4">
    <oc r="D6">
      <v>46.536810000000003</v>
    </oc>
    <nc r="D6">
      <v>55.415759999999999</v>
    </nc>
  </rcc>
  <rcc rId="4231" sId="12" numFmtId="4">
    <oc r="D8">
      <v>151.59338</v>
    </oc>
    <nc r="D8">
      <v>181.73363000000001</v>
    </nc>
  </rcc>
  <rcc rId="4232" sId="12" numFmtId="4">
    <oc r="D9">
      <v>1.14924</v>
    </oc>
    <nc r="D9">
      <v>1.4904500000000001</v>
    </nc>
  </rcc>
  <rcc rId="4233" sId="12" numFmtId="4">
    <oc r="D10">
      <v>228.54821000000001</v>
    </oc>
    <nc r="D10">
      <v>276.90068000000002</v>
    </nc>
  </rcc>
  <rcc rId="4234" sId="12" numFmtId="4">
    <oc r="D11">
      <v>-31.49661</v>
    </oc>
    <nc r="D11">
      <v>-38.247700000000002</v>
    </nc>
  </rcc>
  <rcc rId="4235" sId="12" numFmtId="4">
    <oc r="D15">
      <v>9.4748000000000001</v>
    </oc>
    <nc r="D15">
      <v>11.81818</v>
    </nc>
  </rcc>
  <rcc rId="4236" sId="12" numFmtId="4">
    <oc r="D16">
      <v>74.951499999999996</v>
    </oc>
    <nc r="D16">
      <v>93.172309999999996</v>
    </nc>
  </rcc>
  <rcc rId="4237" sId="12" numFmtId="4">
    <oc r="D18">
      <v>3.5</v>
    </oc>
    <nc r="D18">
      <v>4.5999999999999996</v>
    </nc>
  </rcc>
  <rcc rId="4238" sId="12" numFmtId="4">
    <oc r="D27">
      <v>206.1</v>
    </oc>
    <nc r="D27">
      <v>274.17676999999998</v>
    </nc>
  </rcc>
  <rcc rId="4239" sId="12" numFmtId="4">
    <oc r="D28">
      <v>38.51952</v>
    </oc>
    <nc r="D28">
      <v>39.062869999999997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83" sId="14">
    <nc r="G2">
      <v>2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Чум!$19:$24,Чум!$31:$39,Чум!$46:$49,Чум!$57:$57,Чум!$59:$61,Чум!$67:$68,Чум!$77:$78,Чум!$82:$86,Чум!$89:$96,Чум!$141:$141</formula>
    <oldFormula>Чум!$19:$24,Чум!$31:$39,Чум!$46:$49,Чум!$57:$57,Чум!$59:$61,Чум!$67:$68,Чум!$77:$78,Чум!$82:$86,Чум!$89:$96,Чум!$141:$141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Шать!$19:$19,Шать!$22:$25,Шать!$46:$49,Шать!$57:$57,Шать!$59:$61,Шать!$67:$68,Шать!$77:$78,Шать!$82:$86,Шать!$89:$96,Шать!$141:$141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21111.xml><?xml version="1.0" encoding="utf-8"?>
<revisions xmlns="http://schemas.openxmlformats.org/spreadsheetml/2006/main" xmlns:r="http://schemas.openxmlformats.org/officeDocument/2006/relationships">
  <rcc rId="55" sId="14">
    <nc r="G1">
      <v>1</v>
    </nc>
  </rcc>
  <rcv guid="{42584DC0-1D41-4C93-9B38-C388E7B8DAC4}" action="delete"/>
  <rdn rId="0" localSheetId="1" customView="1" name="Z_42584DC0_1D41_4C93_9B38_C388E7B8DAC4_.wvu.PrintArea" hidden="1" oldHidden="1">
    <formula>Консол!$A$1:$K$50</formula>
    <oldFormula>Консол!$A$1:$K$50</oldFormula>
  </rdn>
  <rdn rId="0" localSheetId="1" customView="1" name="Z_42584DC0_1D41_4C93_9B38_C388E7B8DAC4_.wvu.Rows" hidden="1" oldHidden="1">
    <formula>Консол!$22:$22,Консол!$43:$45</formula>
    <oldFormula>Консол!$22:$22,Консол!$43:$45</oldFormula>
  </rdn>
  <rdn rId="0" localSheetId="2" customView="1" name="Z_42584DC0_1D41_4C93_9B38_C388E7B8DAC4_.wvu.PrintArea" hidden="1" oldHidden="1">
    <formula>Справка!$A$1:$EY$31</formula>
    <oldFormula>Справка!$A$1:$EY$31</oldFormula>
  </rdn>
  <rdn rId="0" localSheetId="2" customView="1" name="Z_42584DC0_1D41_4C93_9B38_C388E7B8DAC4_.wvu.Rows" hidden="1" oldHidden="1">
    <formula>Справка!$33:$33</formula>
    <oldFormula>Справка!$33:$33</oldFormula>
  </rdn>
  <rdn rId="0" localSheetId="2" customView="1" name="Z_42584DC0_1D41_4C93_9B38_C388E7B8DAC4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42584DC0_1D41_4C93_9B38_C388E7B8DAC4_.wvu.Rows" hidden="1" oldHidden="1">
    <formula>район!$17:$18,район!$20:$20,район!$25:$25,район!$27:$31,район!$35:$35,район!$38:$38,район!$45:$45,район!$49:$50,район!$61:$61,район!$66:$66,район!$68:$70,район!$74:$74,район!$81:$81,район!$92:$92,район!$98:$98,район!$101:$101,район!$103:$103,район!$110:$110,район!$130:$132,район!$135:$136</formula>
    <oldFormula>район!$17:$18,район!$20:$20,район!$25:$25,район!$27:$31,район!$35:$35,район!$38:$38,район!$45:$45,район!$49:$50,район!$61:$61,район!$66:$66,район!$68:$70,район!$74:$74,район!$81:$81,район!$92:$92,район!$98:$98,район!$101:$101,район!$103:$103,район!$110:$110,район!$130:$132,район!$135:$136</oldFormula>
  </rdn>
  <rdn rId="0" localSheetId="4" customView="1" name="Z_42584DC0_1D41_4C93_9B38_C388E7B8DAC4_.wvu.Rows" hidden="1" oldHidden="1">
    <formula>Але!$19:$24,Але!$31:$33,Але!$36:$36,Але!$44:$44,Але!$46:$46,Але!$53:$53,Але!$55:$57,Але!$63:$64,Але!$73:$74,Але!$78:$82,Але!$85:$92</formula>
    <oldFormula>Але!$19:$24,Але!$31:$33,Але!$36:$36,Але!$44:$44,Але!$46:$46,Але!$53:$53,Але!$55:$57,Але!$63:$64,Але!$73:$74,Але!$78:$82,Але!$85:$92</oldFormula>
  </rdn>
  <rdn rId="0" localSheetId="5" customView="1" name="Z_42584DC0_1D41_4C93_9B38_C388E7B8DAC4_.wvu.Rows" hidden="1" oldHidden="1">
    <formula>Сун!$19:$24,Сун!$34:$39,Сун!$49:$51,Сун!$58:$58,Сун!$60:$63,Сун!$68:$69,Сун!$78:$79,Сун!$81:$81,Сун!$84:$84,Сун!$86:$88,Сун!$92:$99</formula>
    <oldFormula>Сун!$19:$24,Сун!$34:$39,Сун!$49:$51,Сун!$58:$58,Сун!$60:$63,Сун!$68:$69,Сун!$78:$79,Сун!$81:$81,Сун!$84:$84,Сун!$86:$88,Сун!$92:$99</oldFormula>
  </rdn>
  <rdn rId="0" localSheetId="6" customView="1" name="Z_42584DC0_1D41_4C93_9B38_C388E7B8DAC4_.wvu.PrintArea" hidden="1" oldHidden="1">
    <formula>Иль!$A$1:$F$103</formula>
    <oldFormula>Иль!$A$1:$F$103</oldFormula>
  </rdn>
  <rdn rId="0" localSheetId="6" customView="1" name="Z_42584DC0_1D41_4C93_9B38_C388E7B8DAC4_.wvu.Rows" hidden="1" oldHidden="1">
    <formula>Иль!$19:$24,Иль!$30:$39,Иль!$45:$45,Иль!$47:$50,Иль!$58:$58,Иль!$60:$62,Иль!$68:$69,Иль!$77:$78,Иль!$80:$80,Иль!$85:$89,Иль!$92:$99</formula>
    <oldFormula>Иль!$19:$24,Иль!$30:$39,Иль!$45:$45,Иль!$47:$50,Иль!$58:$58,Иль!$60:$62,Иль!$68:$69,Иль!$77:$78,Иль!$80:$80,Иль!$85:$89,Иль!$92:$99</oldFormula>
  </rdn>
  <rdn rId="0" localSheetId="7" customView="1" name="Z_42584DC0_1D41_4C93_9B38_C388E7B8DAC4_.wvu.Rows" hidden="1" oldHidden="1">
    <formula>Кад!$19:$24,Кад!$31:$35,Кад!$38:$38,Кад!$44:$44,Кад!$46:$46,Кад!$48:$49,Кад!$56:$56,Кад!$58:$60,Кад!$66:$67,Кад!$76:$77,Кад!$81:$85,Кад!$88:$95</formula>
    <oldFormula>Кад!$19:$24,Кад!$31:$35,Кад!$38:$38,Кад!$44:$44,Кад!$46:$46,Кад!$48:$49,Кад!$56:$56,Кад!$58:$60,Кад!$66:$67,Кад!$76:$77,Кад!$81:$85,Кад!$88:$95</oldFormula>
  </rdn>
  <rdn rId="0" localSheetId="8" customView="1" name="Z_42584DC0_1D41_4C93_9B38_C388E7B8DAC4_.wvu.PrintArea" hidden="1" oldHidden="1">
    <formula>Мор!$A$1:$F$100</formula>
    <oldFormula>Мор!$A$1:$F$100</oldFormula>
  </rdn>
  <rdn rId="0" localSheetId="8" customView="1" name="Z_42584DC0_1D41_4C93_9B38_C388E7B8DAC4_.wvu.Rows" hidden="1" oldHidden="1">
    <formula>Мор!$17:$24,Мор!$37:$37,Мор!$44:$44,Мор!$46:$47,Мор!$49:$50,Мор!$57:$57,Мор!$59:$60,Мор!$64:$65,Мор!$67:$68,Мор!$77:$78,Мор!$82:$87,Мор!$90:$96</formula>
    <oldFormula>Мор!$17:$24,Мор!$37:$37,Мор!$44:$44,Мор!$46:$47,Мор!$49:$50,Мор!$57:$57,Мор!$59:$60,Мор!$64:$65,Мор!$67:$68,Мор!$77:$78,Мор!$82:$87,Мор!$90:$96</oldFormula>
  </rdn>
  <rdn rId="0" localSheetId="9" customView="1" name="Z_42584DC0_1D41_4C93_9B38_C388E7B8DAC4_.wvu.Rows" hidden="1" oldHidden="1">
    <formula>Мос!$19:$24,Мос!$29:$35,Мос!$44:$44,Мос!$46:$49,Мос!$57:$57,Мос!$59:$60,Мос!$67:$68,Мос!$77:$78,Мос!$80:$80,Мос!$83:$90,Мос!$93:$100</formula>
    <oldFormula>Мос!$19:$24,Мос!$29:$35,Мос!$44:$44,Мос!$46:$49,Мос!$57:$57,Мос!$59:$60,Мос!$67:$68,Мос!$77:$78,Мос!$80:$80,Мос!$83:$90,Мос!$93:$100</oldFormula>
  </rdn>
  <rdn rId="0" localSheetId="10" customView="1" name="Z_42584DC0_1D41_4C93_9B38_C388E7B8DAC4_.wvu.Rows" hidden="1" oldHidden="1">
    <formula>Ори!$19:$24,Ори!$31:$35,Ори!$38:$38,Ори!$44:$44,Ори!$46:$46,Ори!$48:$50,Ори!$57:$57,Ори!$59:$61,Ори!$67:$68,Ори!$77:$78,Ори!$80:$80,Ори!$83:$87,Ори!$90:$97</formula>
    <oldFormula>Ори!$19:$24,Ори!$31:$35,Ори!$38:$38,Ори!$44:$44,Ори!$46:$46,Ори!$48:$50,Ори!$57:$57,Ори!$59:$61,Ори!$67:$68,Ори!$77:$78,Ори!$80:$80,Ори!$83:$87,Ори!$90:$97</oldFormula>
  </rdn>
  <rdn rId="0" localSheetId="11" customView="1" name="Z_42584DC0_1D41_4C93_9B38_C388E7B8DAC4_.wvu.Rows" hidden="1" oldHidden="1">
    <formula>Сят!$19:$24,Сят!$31:$35,Сят!$45:$48,Сят!$57:$57,Сят!$59:$60,Сят!$67:$68,Сят!$77:$78,Сят!$82:$86,Сят!$89:$96</formula>
    <oldFormula>Сят!$19:$24,Сят!$31:$35,Сят!$45:$48,Сят!$57:$57,Сят!$59:$60,Сят!$67:$68,Сят!$77:$78,Сят!$82:$86,Сят!$89:$96</oldFormula>
  </rdn>
  <rdn rId="0" localSheetId="12" customView="1" name="Z_42584DC0_1D41_4C93_9B38_C388E7B8DAC4_.wvu.PrintArea" hidden="1" oldHidden="1">
    <formula>Тор!$A$1:$F$101</formula>
    <oldFormula>Тор!$A$1:$F$101</oldFormula>
  </rdn>
  <rdn rId="0" localSheetId="12" customView="1" name="Z_42584DC0_1D41_4C93_9B38_C388E7B8DAC4_.wvu.Rows" hidden="1" oldHidden="1">
    <formula>Тор!$19:$24,Тор!$32:$36,Тор!$46:$47,Тор!$50:$50,Тор!$57:$57,Тор!$59:$60,Тор!$67:$68,Тор!$74:$74,Тор!$78:$79,Тор!$83:$95</formula>
    <oldFormula>Тор!$19:$24,Тор!$32:$36,Тор!$46:$47,Тор!$50:$50,Тор!$57:$57,Тор!$59:$60,Тор!$67:$68,Тор!$74:$74,Тор!$78:$79,Тор!$83:$95</oldFormula>
  </rdn>
  <rdn rId="0" localSheetId="13" customView="1" name="Z_42584DC0_1D41_4C93_9B38_C388E7B8DAC4_.wvu.Rows" hidden="1" oldHidden="1">
    <formula>Хор!$19:$24,Хор!$28:$36,Хор!$40:$40,Хор!$44:$44,Хор!$46:$48,Хор!$55:$55,Хор!$57:$59,Хор!$65:$66,Хор!$71:$71,Хор!$75:$76,Хор!$80:$84,Хор!$87:$94</formula>
    <oldFormula>Хор!$19:$24,Хор!$28:$36,Хор!$40:$40,Хор!$44:$44,Хор!$46:$48,Хор!$55:$55,Хор!$57:$59,Хор!$65:$66,Хор!$71:$71,Хор!$75:$76,Хор!$80:$84,Хор!$87:$94</oldFormula>
  </rdn>
  <rdn rId="0" localSheetId="14" customView="1" name="Z_42584DC0_1D41_4C93_9B38_C388E7B8DAC4_.wvu.Rows" hidden="1" oldHidden="1">
    <formula>Чум!$19:$24,Чум!$31:$36,Чум!$47:$49,Чум!$57:$57,Чум!$59:$61,Чум!$67:$68,Чум!$77:$78,Чум!$82:$86,Чум!$89:$96</formula>
    <oldFormula>Чум!$19:$24,Чум!$31:$36,Чум!$47:$49,Чум!$57:$57,Чум!$59:$61,Чум!$67:$68,Чум!$77:$78,Чум!$82:$86,Чум!$89:$96</oldFormula>
  </rdn>
  <rdn rId="0" localSheetId="15" customView="1" name="Z_42584DC0_1D41_4C93_9B38_C388E7B8DAC4_.wvu.Rows" hidden="1" oldHidden="1">
    <formula>Шать!$19:$24,Шать!$32:$33,Шать!$35:$35,Шать!$38:$38,Шать!$46:$49,Шать!$57:$57,Шать!$59:$61,Шать!$67:$68,Шать!$77:$78,Шать!$82:$86,Шать!$89:$96</formula>
    <oldFormula>Шать!$19:$24,Шать!$32:$33,Шать!$35:$35,Шать!$38:$38,Шать!$46:$49,Шать!$57:$57,Шать!$59:$61,Шать!$67:$68,Шать!$77:$78,Шать!$82:$86,Шать!$89:$96</oldFormula>
  </rdn>
  <rdn rId="0" localSheetId="16" customView="1" name="Z_42584DC0_1D41_4C93_9B38_C388E7B8DAC4_.wvu.PrintArea" hidden="1" oldHidden="1">
    <formula>Юнг!$A$1:$F$99</formula>
    <oldFormula>Юнг!$A$1:$F$99</oldFormula>
  </rdn>
  <rdn rId="0" localSheetId="16" customView="1" name="Z_42584DC0_1D41_4C93_9B38_C388E7B8DAC4_.wvu.Rows" hidden="1" oldHidden="1">
    <formula>Юнг!$19:$24,Юнг!$31:$38,Юнг!$45:$46,Юнг!$49:$49,Юнг!$56:$56,Юнг!$58:$60,Юнг!$66:$68,Юнг!$76:$77,Юнг!$81:$85,Юнг!$88:$95</formula>
    <oldFormula>Юнг!$19:$24,Юнг!$31:$38,Юнг!$45:$46,Юнг!$49:$49,Юнг!$56:$56,Юнг!$58:$60,Юнг!$66:$68,Юнг!$76:$77,Юнг!$81:$85,Юнг!$88:$95</oldFormula>
  </rdn>
  <rdn rId="0" localSheetId="17" customView="1" name="Z_42584DC0_1D41_4C93_9B38_C388E7B8DAC4_.wvu.Rows" hidden="1" oldHidden="1">
    <formula>Юсь!$19:$24,Юсь!$31:$33,Юсь!$36:$36,Юсь!$40:$40,Юсь!$44:$49,Юсь!$58:$58,Юсь!$60:$62,Юсь!$68:$69,Юсь!$78:$79,Юсь!$83:$87,Юсь!$90:$97</formula>
    <oldFormula>Юсь!$19:$24,Юсь!$31:$33,Юсь!$36:$36,Юсь!$40:$40,Юсь!$44:$49,Юсь!$58:$58,Юсь!$60:$62,Юсь!$68:$69,Юсь!$78:$79,Юсь!$83:$87,Юсь!$90:$97</oldFormula>
  </rdn>
  <rdn rId="0" localSheetId="18" customView="1" name="Z_42584DC0_1D41_4C93_9B38_C388E7B8DAC4_.wvu.PrintArea" hidden="1" oldHidden="1">
    <formula>Яра!$A$1:$F$100</formula>
    <oldFormula>Яра!$A$1:$F$100</oldFormula>
  </rdn>
  <rdn rId="0" localSheetId="18" customView="1" name="Z_42584DC0_1D41_4C93_9B38_C388E7B8DAC4_.wvu.Rows" hidden="1" oldHidden="1">
    <formula>Яра!$19:$24,Яра!$31:$35,Яра!$45:$49,Яра!$57:$57,Яра!$59:$61,Яра!$67:$68,Яра!$77:$78,Яра!$82:$86,Яра!$89:$96</formula>
    <oldFormula>Яра!$19:$24,Яра!$31:$35,Яра!$45:$49,Яра!$57:$57,Яра!$59:$61,Яра!$67:$68,Яра!$77:$78,Яра!$82:$86,Яра!$89:$96</oldFormula>
  </rdn>
  <rdn rId="0" localSheetId="19" customView="1" name="Z_42584DC0_1D41_4C93_9B38_C388E7B8DAC4_.wvu.Rows" hidden="1" oldHidden="1">
    <formula>Яро!$19:$24,Яро!$28:$36,Яро!$43:$44,Яро!$46:$47,Яро!$54:$54,Яро!$56:$58,Яро!$64:$65,Яро!$74:$75,Яро!$79:$83,Яро!$86:$93</formula>
    <oldFormula>Яро!$19:$24,Яро!$28:$36,Яро!$43:$44,Яро!$46:$47,Яро!$54:$54,Яро!$56:$58,Яро!$64:$65,Яро!$74:$75,Яро!$79:$83,Яро!$86:$93</oldFormula>
  </rdn>
  <rcv guid="{42584DC0-1D41-4C93-9B38-C388E7B8DAC4}" action="add"/>
</revisions>
</file>

<file path=xl/revisions/revisionLog12112.xml><?xml version="1.0" encoding="utf-8"?>
<revisions xmlns="http://schemas.openxmlformats.org/spreadsheetml/2006/main" xmlns:r="http://schemas.openxmlformats.org/officeDocument/2006/relationships">
  <rcc rId="3849" sId="18" numFmtId="34">
    <oc r="D74">
      <v>0</v>
    </oc>
    <nc r="D74">
      <f>1.0371+2.7129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1121.xml><?xml version="1.0" encoding="utf-8"?>
<revisions xmlns="http://schemas.openxmlformats.org/spreadsheetml/2006/main" xmlns:r="http://schemas.openxmlformats.org/officeDocument/2006/relationships">
  <rcc rId="111" sId="14">
    <oc r="G1">
      <v>1</v>
    </oc>
    <nc r="G1"/>
  </rcc>
  <rcc rId="112" sId="14">
    <oc r="G2">
      <v>2</v>
    </oc>
    <nc r="G2"/>
  </rcc>
  <rcv guid="{42584DC0-1D41-4C93-9B38-C388E7B8DAC4}" action="delete"/>
  <rdn rId="0" localSheetId="1" customView="1" name="Z_42584DC0_1D41_4C93_9B38_C388E7B8DAC4_.wvu.PrintArea" hidden="1" oldHidden="1">
    <formula>Консол!$A$1:$K$50</formula>
    <oldFormula>Консол!$A$1:$K$50</oldFormula>
  </rdn>
  <rdn rId="0" localSheetId="1" customView="1" name="Z_42584DC0_1D41_4C93_9B38_C388E7B8DAC4_.wvu.Rows" hidden="1" oldHidden="1">
    <formula>Консол!$22:$22,Консол!$43:$45</formula>
    <oldFormula>Консол!$22:$22,Консол!$43:$45</oldFormula>
  </rdn>
  <rdn rId="0" localSheetId="2" customView="1" name="Z_42584DC0_1D41_4C93_9B38_C388E7B8DAC4_.wvu.PrintArea" hidden="1" oldHidden="1">
    <formula>Справка!$A$1:$EY$31</formula>
    <oldFormula>Справка!$A$1:$EY$31</oldFormula>
  </rdn>
  <rdn rId="0" localSheetId="2" customView="1" name="Z_42584DC0_1D41_4C93_9B38_C388E7B8DAC4_.wvu.Rows" hidden="1" oldHidden="1">
    <formula>Справка!$33:$33</formula>
    <oldFormula>Справка!$33:$33</oldFormula>
  </rdn>
  <rdn rId="0" localSheetId="2" customView="1" name="Z_42584DC0_1D41_4C93_9B38_C388E7B8DAC4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42584DC0_1D41_4C93_9B38_C388E7B8DAC4_.wvu.Rows" hidden="1" oldHidden="1">
    <formula>район!$17:$18,район!$20:$20,район!$25:$25,район!$27:$31,район!$35:$35,район!$38:$38,район!$45:$45,район!$49:$50,район!$61:$61,район!$66:$66,район!$68:$70,район!$74:$74,район!$81:$81,район!$92:$92,район!$98:$98,район!$101:$101,район!$103:$103,район!$110:$110,район!$130:$132,район!$135:$136</formula>
    <oldFormula>район!$17:$18,район!$20:$20,район!$25:$25,район!$27:$31,район!$35:$35,район!$38:$38,район!$45:$45,район!$49:$50,район!$61:$61,район!$66:$66,район!$68:$70,район!$74:$74,район!$81:$81,район!$92:$92,район!$98:$98,район!$101:$101,район!$103:$103,район!$110:$110,район!$130:$132,район!$135:$136</oldFormula>
  </rdn>
  <rdn rId="0" localSheetId="4" customView="1" name="Z_42584DC0_1D41_4C93_9B38_C388E7B8DAC4_.wvu.Rows" hidden="1" oldHidden="1">
    <formula>Але!$19:$24,Але!$31:$33,Але!$36:$36,Але!$44:$44,Але!$46:$46,Але!$53:$53,Але!$55:$57,Але!$63:$64,Але!$73:$74,Але!$78:$82,Але!$85:$92</formula>
    <oldFormula>Але!$19:$24,Але!$31:$33,Але!$36:$36,Але!$44:$44,Але!$46:$46,Але!$53:$53,Але!$55:$57,Але!$63:$64,Але!$73:$74,Але!$78:$82,Але!$85:$92</oldFormula>
  </rdn>
  <rdn rId="0" localSheetId="5" customView="1" name="Z_42584DC0_1D41_4C93_9B38_C388E7B8DAC4_.wvu.Rows" hidden="1" oldHidden="1">
    <formula>Сун!$19:$24,Сун!$34:$39,Сун!$49:$51,Сун!$58:$58,Сун!$60:$63,Сун!$68:$69,Сун!$78:$79,Сун!$81:$81,Сун!$84:$84,Сун!$86:$88,Сун!$92:$99</formula>
    <oldFormula>Сун!$19:$24,Сун!$34:$39,Сун!$49:$51,Сун!$58:$58,Сун!$60:$63,Сун!$68:$69,Сун!$78:$79,Сун!$81:$81,Сун!$84:$84,Сун!$86:$88,Сун!$92:$99</oldFormula>
  </rdn>
  <rdn rId="0" localSheetId="6" customView="1" name="Z_42584DC0_1D41_4C93_9B38_C388E7B8DAC4_.wvu.PrintArea" hidden="1" oldHidden="1">
    <formula>Иль!$A$1:$F$103</formula>
    <oldFormula>Иль!$A$1:$F$103</oldFormula>
  </rdn>
  <rdn rId="0" localSheetId="6" customView="1" name="Z_42584DC0_1D41_4C93_9B38_C388E7B8DAC4_.wvu.Rows" hidden="1" oldHidden="1">
    <formula>Иль!$19:$24,Иль!$30:$39,Иль!$45:$45,Иль!$47:$50,Иль!$58:$58,Иль!$60:$62,Иль!$68:$69,Иль!$77:$78,Иль!$80:$80,Иль!$85:$89,Иль!$92:$99</formula>
    <oldFormula>Иль!$19:$24,Иль!$30:$39,Иль!$45:$45,Иль!$47:$50,Иль!$58:$58,Иль!$60:$62,Иль!$68:$69,Иль!$77:$78,Иль!$80:$80,Иль!$85:$89,Иль!$92:$99</oldFormula>
  </rdn>
  <rdn rId="0" localSheetId="7" customView="1" name="Z_42584DC0_1D41_4C93_9B38_C388E7B8DAC4_.wvu.Rows" hidden="1" oldHidden="1">
    <formula>Кад!$19:$24,Кад!$31:$35,Кад!$38:$38,Кад!$44:$44,Кад!$46:$46,Кад!$48:$49,Кад!$56:$56,Кад!$58:$60,Кад!$66:$67,Кад!$76:$77,Кад!$81:$85,Кад!$88:$95</formula>
    <oldFormula>Кад!$19:$24,Кад!$31:$35,Кад!$38:$38,Кад!$44:$44,Кад!$46:$46,Кад!$48:$49,Кад!$56:$56,Кад!$58:$60,Кад!$66:$67,Кад!$76:$77,Кад!$81:$85,Кад!$88:$95</oldFormula>
  </rdn>
  <rdn rId="0" localSheetId="8" customView="1" name="Z_42584DC0_1D41_4C93_9B38_C388E7B8DAC4_.wvu.PrintArea" hidden="1" oldHidden="1">
    <formula>Мор!$A$1:$F$100</formula>
    <oldFormula>Мор!$A$1:$F$100</oldFormula>
  </rdn>
  <rdn rId="0" localSheetId="8" customView="1" name="Z_42584DC0_1D41_4C93_9B38_C388E7B8DAC4_.wvu.Rows" hidden="1" oldHidden="1">
    <formula>Мор!$17:$24,Мор!$37:$37,Мор!$44:$44,Мор!$46:$47,Мор!$49:$50,Мор!$57:$57,Мор!$59:$60,Мор!$64:$65,Мор!$67:$68,Мор!$77:$78,Мор!$82:$87,Мор!$90:$96</formula>
    <oldFormula>Мор!$17:$24,Мор!$37:$37,Мор!$44:$44,Мор!$46:$47,Мор!$49:$50,Мор!$57:$57,Мор!$59:$60,Мор!$64:$65,Мор!$67:$68,Мор!$77:$78,Мор!$82:$87,Мор!$90:$96</oldFormula>
  </rdn>
  <rdn rId="0" localSheetId="9" customView="1" name="Z_42584DC0_1D41_4C93_9B38_C388E7B8DAC4_.wvu.Rows" hidden="1" oldHidden="1">
    <formula>Мос!$19:$24,Мос!$29:$35,Мос!$44:$44,Мос!$46:$49,Мос!$57:$57,Мос!$59:$60,Мос!$67:$68,Мос!$77:$78,Мос!$80:$80,Мос!$83:$90,Мос!$93:$100</formula>
    <oldFormula>Мос!$19:$24,Мос!$29:$35,Мос!$44:$44,Мос!$46:$49,Мос!$57:$57,Мос!$59:$60,Мос!$67:$68,Мос!$77:$78,Мос!$80:$80,Мос!$83:$90,Мос!$93:$100</oldFormula>
  </rdn>
  <rdn rId="0" localSheetId="10" customView="1" name="Z_42584DC0_1D41_4C93_9B38_C388E7B8DAC4_.wvu.Rows" hidden="1" oldHidden="1">
    <formula>Ори!$19:$24,Ори!$31:$35,Ори!$38:$38,Ори!$44:$44,Ори!$46:$46,Ори!$48:$50,Ори!$57:$57,Ори!$59:$61,Ори!$67:$68,Ори!$77:$78,Ори!$80:$80,Ори!$83:$87,Ори!$90:$97</formula>
    <oldFormula>Ори!$19:$24,Ори!$31:$35,Ори!$38:$38,Ори!$44:$44,Ори!$46:$46,Ори!$48:$50,Ори!$57:$57,Ори!$59:$61,Ори!$67:$68,Ори!$77:$78,Ори!$80:$80,Ори!$83:$87,Ори!$90:$97</oldFormula>
  </rdn>
  <rdn rId="0" localSheetId="11" customView="1" name="Z_42584DC0_1D41_4C93_9B38_C388E7B8DAC4_.wvu.Rows" hidden="1" oldHidden="1">
    <formula>Сят!$19:$24,Сят!$31:$35,Сят!$45:$48,Сят!$57:$57,Сят!$59:$60,Сят!$67:$68,Сят!$77:$78,Сят!$82:$86,Сят!$89:$96</formula>
    <oldFormula>Сят!$19:$24,Сят!$31:$35,Сят!$45:$48,Сят!$57:$57,Сят!$59:$60,Сят!$67:$68,Сят!$77:$78,Сят!$82:$86,Сят!$89:$96</oldFormula>
  </rdn>
  <rdn rId="0" localSheetId="12" customView="1" name="Z_42584DC0_1D41_4C93_9B38_C388E7B8DAC4_.wvu.PrintArea" hidden="1" oldHidden="1">
    <formula>Тор!$A$1:$F$101</formula>
    <oldFormula>Тор!$A$1:$F$101</oldFormula>
  </rdn>
  <rdn rId="0" localSheetId="12" customView="1" name="Z_42584DC0_1D41_4C93_9B38_C388E7B8DAC4_.wvu.Rows" hidden="1" oldHidden="1">
    <formula>Тор!$19:$24,Тор!$32:$36,Тор!$46:$47,Тор!$50:$50,Тор!$57:$57,Тор!$59:$60,Тор!$67:$68,Тор!$74:$74,Тор!$78:$79,Тор!$83:$95</formula>
    <oldFormula>Тор!$19:$24,Тор!$32:$36,Тор!$46:$47,Тор!$50:$50,Тор!$57:$57,Тор!$59:$60,Тор!$67:$68,Тор!$74:$74,Тор!$78:$79,Тор!$83:$95</oldFormula>
  </rdn>
  <rdn rId="0" localSheetId="13" customView="1" name="Z_42584DC0_1D41_4C93_9B38_C388E7B8DAC4_.wvu.Rows" hidden="1" oldHidden="1">
    <formula>Хор!$19:$24,Хор!$28:$36,Хор!$40:$40,Хор!$44:$44,Хор!$46:$48,Хор!$55:$55,Хор!$57:$59,Хор!$65:$66,Хор!$71:$71,Хор!$75:$76,Хор!$80:$84,Хор!$87:$94</formula>
    <oldFormula>Хор!$19:$24,Хор!$28:$36,Хор!$40:$40,Хор!$44:$44,Хор!$46:$48,Хор!$55:$55,Хор!$57:$59,Хор!$65:$66,Хор!$71:$71,Хор!$75:$76,Хор!$80:$84,Хор!$87:$94</oldFormula>
  </rdn>
  <rdn rId="0" localSheetId="14" customView="1" name="Z_42584DC0_1D41_4C93_9B38_C388E7B8DAC4_.wvu.Rows" hidden="1" oldHidden="1">
    <formula>Чум!$19:$24,Чум!$31:$36,Чум!$47:$49,Чум!$57:$57,Чум!$59:$61,Чум!$67:$68,Чум!$77:$78,Чум!$82:$86,Чум!$89:$96</formula>
    <oldFormula>Чум!$19:$24,Чум!$31:$36,Чум!$47:$49,Чум!$57:$57,Чум!$59:$61,Чум!$67:$68,Чум!$77:$78,Чум!$82:$86,Чум!$89:$96</oldFormula>
  </rdn>
  <rdn rId="0" localSheetId="15" customView="1" name="Z_42584DC0_1D41_4C93_9B38_C388E7B8DAC4_.wvu.Rows" hidden="1" oldHidden="1">
    <formula>Шать!$19:$24,Шать!$32:$33,Шать!$35:$35,Шать!$38:$38,Шать!$46:$49,Шать!$57:$57,Шать!$59:$61,Шать!$67:$68,Шать!$77:$78,Шать!$82:$86,Шать!$89:$96</formula>
    <oldFormula>Шать!$19:$24,Шать!$32:$33,Шать!$35:$35,Шать!$38:$38,Шать!$46:$49,Шать!$57:$57,Шать!$59:$61,Шать!$67:$68,Шать!$77:$78,Шать!$82:$86,Шать!$89:$96</oldFormula>
  </rdn>
  <rdn rId="0" localSheetId="16" customView="1" name="Z_42584DC0_1D41_4C93_9B38_C388E7B8DAC4_.wvu.PrintArea" hidden="1" oldHidden="1">
    <formula>Юнг!$A$1:$F$99</formula>
    <oldFormula>Юнг!$A$1:$F$99</oldFormula>
  </rdn>
  <rdn rId="0" localSheetId="16" customView="1" name="Z_42584DC0_1D41_4C93_9B38_C388E7B8DAC4_.wvu.Rows" hidden="1" oldHidden="1">
    <formula>Юнг!$19:$24,Юнг!$31:$38,Юнг!$45:$46,Юнг!$49:$49,Юнг!$56:$56,Юнг!$58:$60,Юнг!$66:$68,Юнг!$76:$77,Юнг!$81:$85,Юнг!$88:$95</formula>
    <oldFormula>Юнг!$19:$24,Юнг!$31:$38,Юнг!$45:$46,Юнг!$49:$49,Юнг!$56:$56,Юнг!$58:$60,Юнг!$66:$68,Юнг!$76:$77,Юнг!$81:$85,Юнг!$88:$95</oldFormula>
  </rdn>
  <rdn rId="0" localSheetId="17" customView="1" name="Z_42584DC0_1D41_4C93_9B38_C388E7B8DAC4_.wvu.Rows" hidden="1" oldHidden="1">
    <formula>Юсь!$19:$24,Юсь!$31:$33,Юсь!$36:$36,Юсь!$40:$40,Юсь!$44:$49,Юсь!$58:$58,Юсь!$60:$62,Юсь!$68:$69,Юсь!$78:$79,Юсь!$83:$87,Юсь!$90:$97</formula>
    <oldFormula>Юсь!$19:$24,Юсь!$31:$33,Юсь!$36:$36,Юсь!$40:$40,Юсь!$44:$49,Юсь!$58:$58,Юсь!$60:$62,Юсь!$68:$69,Юсь!$78:$79,Юсь!$83:$87,Юсь!$90:$97</oldFormula>
  </rdn>
  <rdn rId="0" localSheetId="18" customView="1" name="Z_42584DC0_1D41_4C93_9B38_C388E7B8DAC4_.wvu.PrintArea" hidden="1" oldHidden="1">
    <formula>Яра!$A$1:$F$100</formula>
    <oldFormula>Яра!$A$1:$F$100</oldFormula>
  </rdn>
  <rdn rId="0" localSheetId="18" customView="1" name="Z_42584DC0_1D41_4C93_9B38_C388E7B8DAC4_.wvu.Rows" hidden="1" oldHidden="1">
    <formula>Яра!$19:$24,Яра!$31:$35,Яра!$45:$49,Яра!$57:$57,Яра!$59:$61,Яра!$67:$68,Яра!$77:$78,Яра!$82:$86,Яра!$89:$96</formula>
    <oldFormula>Яра!$19:$24,Яра!$31:$35,Яра!$45:$49,Яра!$57:$57,Яра!$59:$61,Яра!$67:$68,Яра!$77:$78,Яра!$82:$86,Яра!$89:$96</oldFormula>
  </rdn>
  <rdn rId="0" localSheetId="19" customView="1" name="Z_42584DC0_1D41_4C93_9B38_C388E7B8DAC4_.wvu.Rows" hidden="1" oldHidden="1">
    <formula>Яро!$19:$24,Яро!$28:$36,Яро!$43:$44,Яро!$46:$47,Яро!$54:$54,Яро!$56:$58,Яро!$64:$65,Яро!$74:$75,Яро!$79:$83,Яро!$86:$93</formula>
    <oldFormula>Яро!$19:$24,Яро!$28:$36,Яро!$43:$44,Яро!$46:$47,Яро!$54:$54,Яро!$56:$58,Яро!$64:$65,Яро!$74:$75,Яро!$79:$83,Яро!$86:$93</oldFormula>
  </rdn>
  <rcv guid="{42584DC0-1D41-4C93-9B38-C388E7B8DAC4}" action="add"/>
</revisions>
</file>

<file path=xl/revisions/revisionLog1212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12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12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Чум!$19:$24,Чум!$31:$39,Чум!$46:$49,Чум!$57:$57,Чум!$59:$61,Чум!$67:$68,Чум!$77:$78,Чум!$82:$86,Чум!$89:$96,Чум!$141:$141</formula>
    <oldFormula>Чум!$19:$24,Чум!$31:$39,Чум!$46:$49,Чум!$57:$57,Чум!$59:$61,Чум!$67:$68,Чум!$77:$78,Чум!$82:$86,Чум!$89:$96,Чум!$141:$141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Шать!$19:$19,Шать!$22:$25,Шать!$46:$49,Шать!$57:$57,Шать!$59:$61,Шать!$67:$68,Шать!$77:$78,Шать!$82:$86,Шать!$89:$96,Шать!$141:$141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22.xml><?xml version="1.0" encoding="utf-8"?>
<revisions xmlns="http://schemas.openxmlformats.org/spreadsheetml/2006/main" xmlns:r="http://schemas.openxmlformats.org/officeDocument/2006/relationships">
  <rfmt sheetId="3" sqref="C142:D142">
    <dxf>
      <numFmt numFmtId="175" formatCode="0.0000"/>
    </dxf>
  </rfmt>
  <rfmt sheetId="3" sqref="C142:D142">
    <dxf>
      <numFmt numFmtId="187" formatCode="0.000"/>
    </dxf>
  </rfmt>
  <rfmt sheetId="3" sqref="C142:D142">
    <dxf>
      <numFmt numFmtId="2" formatCode="0.00"/>
    </dxf>
  </rfmt>
  <rfmt sheetId="3" sqref="C142:D142">
    <dxf>
      <numFmt numFmtId="166" formatCode="0.0"/>
    </dxf>
  </rfmt>
  <rfmt sheetId="3" sqref="C82:D83">
    <dxf>
      <numFmt numFmtId="174" formatCode="0.000000"/>
    </dxf>
  </rfmt>
  <rfmt sheetId="3" sqref="C82:D83">
    <dxf>
      <numFmt numFmtId="168" formatCode="0.00000"/>
    </dxf>
  </rfmt>
  <rfmt sheetId="3" sqref="C82:D83">
    <dxf>
      <numFmt numFmtId="175" formatCode="0.0000"/>
    </dxf>
  </rfmt>
  <rfmt sheetId="3" sqref="C82:D83">
    <dxf>
      <numFmt numFmtId="187" formatCode="0.000"/>
    </dxf>
  </rfmt>
  <rfmt sheetId="3" sqref="C82:D83">
    <dxf>
      <numFmt numFmtId="2" formatCode="0.00"/>
    </dxf>
  </rfmt>
  <rfmt sheetId="3" sqref="C82:D83">
    <dxf>
      <numFmt numFmtId="166" formatCode="0.0"/>
    </dxf>
  </rfmt>
  <rfmt sheetId="3" sqref="C71:D72">
    <dxf>
      <numFmt numFmtId="175" formatCode="0.0000"/>
    </dxf>
  </rfmt>
  <rfmt sheetId="3" sqref="C71:D72">
    <dxf>
      <numFmt numFmtId="187" formatCode="0.000"/>
    </dxf>
  </rfmt>
  <rfmt sheetId="3" sqref="C71:D72">
    <dxf>
      <numFmt numFmtId="2" formatCode="0.00"/>
    </dxf>
  </rfmt>
  <rfmt sheetId="3" sqref="C71:D72">
    <dxf>
      <numFmt numFmtId="166" formatCode="0.0"/>
    </dxf>
  </rfmt>
  <rfmt sheetId="3" sqref="C71:D72">
    <dxf>
      <numFmt numFmtId="1" formatCode="0"/>
    </dxf>
  </rfmt>
  <rfmt sheetId="3" sqref="C71:D72">
    <dxf>
      <numFmt numFmtId="166" formatCode="0.0"/>
    </dxf>
  </rfmt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2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211.xml><?xml version="1.0" encoding="utf-8"?>
<revisions xmlns="http://schemas.openxmlformats.org/spreadsheetml/2006/main" xmlns:r="http://schemas.openxmlformats.org/officeDocument/2006/relationships">
  <rfmt sheetId="5" sqref="C4:D39">
    <dxf>
      <numFmt numFmtId="2" formatCode="0.00"/>
    </dxf>
  </rfmt>
  <rfmt sheetId="5" sqref="C4:D39">
    <dxf>
      <numFmt numFmtId="187" formatCode="0.000"/>
    </dxf>
  </rfmt>
  <rfmt sheetId="5" sqref="C4:D39">
    <dxf>
      <numFmt numFmtId="175" formatCode="0.0000"/>
    </dxf>
  </rfmt>
  <rfmt sheetId="5" sqref="C4:D39">
    <dxf>
      <numFmt numFmtId="168" formatCode="0.00000"/>
    </dxf>
  </rfmt>
  <rfmt sheetId="5" sqref="C4:D39">
    <dxf>
      <numFmt numFmtId="174" formatCode="0.000000"/>
    </dxf>
  </rfmt>
  <rcc rId="3013" sId="5" numFmtId="4">
    <oc r="D33">
      <v>586</v>
    </oc>
    <nc r="D33">
      <v>591.20000000000005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22111.xml><?xml version="1.0" encoding="utf-8"?>
<revisions xmlns="http://schemas.openxmlformats.org/spreadsheetml/2006/main" xmlns:r="http://schemas.openxmlformats.org/officeDocument/2006/relationships">
  <rcc rId="2944" sId="5">
    <oc r="A1" t="inlineStr">
      <is>
        <t xml:space="preserve">                     Анализ исполнения бюджета Большесундырского сельского поселения на 01.07.2018 г.</t>
      </is>
    </oc>
    <nc r="A1" t="inlineStr">
      <is>
        <t xml:space="preserve">                     Анализ исполнения бюджета Большесундырского сельского поселения на 01.08.2018 г.</t>
      </is>
    </nc>
  </rcc>
  <rcc rId="2945" sId="5">
    <oc r="D3" t="inlineStr">
      <is>
        <t>исполнен на 01.07.2018 г.</t>
      </is>
    </oc>
    <nc r="D3" t="inlineStr">
      <is>
        <t>исполнен на 01.08.2018 г.</t>
      </is>
    </nc>
  </rcc>
  <rcc rId="2946" sId="5">
    <oc r="D55" t="inlineStr">
      <is>
        <t>исполнено на 01.07.2018 г</t>
      </is>
    </oc>
    <nc r="D55" t="inlineStr">
      <is>
        <t>исполнено на 01.08.2018 г</t>
      </is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2212.xml><?xml version="1.0" encoding="utf-8"?>
<revisions xmlns="http://schemas.openxmlformats.org/spreadsheetml/2006/main" xmlns:r="http://schemas.openxmlformats.org/officeDocument/2006/relationships">
  <rcc rId="3132" sId="5" numFmtId="4">
    <oc r="C44">
      <v>2232.34</v>
    </oc>
    <nc r="C44">
      <v>2232.3000000000002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22.xml><?xml version="1.0" encoding="utf-8"?>
<revisions xmlns="http://schemas.openxmlformats.org/spreadsheetml/2006/main" xmlns:r="http://schemas.openxmlformats.org/officeDocument/2006/relationships">
  <rfmt sheetId="3" sqref="C82:D83">
    <dxf>
      <numFmt numFmtId="2" formatCode="0.00"/>
    </dxf>
  </rfmt>
  <rfmt sheetId="3" sqref="C82:D83">
    <dxf>
      <numFmt numFmtId="187" formatCode="0.000"/>
    </dxf>
  </rfmt>
  <rfmt sheetId="3" sqref="C82:D83">
    <dxf>
      <numFmt numFmtId="175" formatCode="0.0000"/>
    </dxf>
  </rfmt>
  <rfmt sheetId="3" sqref="C82:D83">
    <dxf>
      <numFmt numFmtId="168" formatCode="0.00000"/>
    </dxf>
  </rfmt>
  <rfmt sheetId="3" sqref="C82:D83">
    <dxf>
      <numFmt numFmtId="174" formatCode="0.000000"/>
    </dxf>
  </rfmt>
  <rfmt sheetId="3" sqref="C82:D83">
    <dxf>
      <numFmt numFmtId="178" formatCode="0.0000000"/>
    </dxf>
  </rfmt>
  <rfmt sheetId="3" sqref="C71:D72">
    <dxf>
      <numFmt numFmtId="2" formatCode="0.00"/>
    </dxf>
  </rfmt>
  <rfmt sheetId="3" sqref="C71:D72">
    <dxf>
      <numFmt numFmtId="187" formatCode="0.000"/>
    </dxf>
  </rfmt>
  <rfmt sheetId="3" sqref="C71:D72">
    <dxf>
      <numFmt numFmtId="175" formatCode="0.0000"/>
    </dxf>
  </rfmt>
  <rfmt sheetId="3" sqref="C71:D72">
    <dxf>
      <numFmt numFmtId="168" formatCode="0.00000"/>
    </dxf>
  </rfmt>
  <rfmt sheetId="3" sqref="D7">
    <dxf>
      <numFmt numFmtId="2" formatCode="0.00"/>
    </dxf>
  </rfmt>
  <rfmt sheetId="3" sqref="D7">
    <dxf>
      <numFmt numFmtId="187" formatCode="0.000"/>
    </dxf>
  </rfmt>
  <rfmt sheetId="3" sqref="D7">
    <dxf>
      <numFmt numFmtId="175" formatCode="0.0000"/>
    </dxf>
  </rfmt>
  <rfmt sheetId="3" sqref="D7">
    <dxf>
      <numFmt numFmtId="168" formatCode="0.00000"/>
    </dxf>
  </rfmt>
  <rfmt sheetId="3" sqref="D7">
    <dxf>
      <numFmt numFmtId="175" formatCode="0.0000"/>
    </dxf>
  </rfmt>
  <rfmt sheetId="3" sqref="D7">
    <dxf>
      <numFmt numFmtId="187" formatCode="0.000"/>
    </dxf>
  </rfmt>
  <rfmt sheetId="3" sqref="D7">
    <dxf>
      <numFmt numFmtId="2" formatCode="0.00"/>
    </dxf>
  </rfmt>
  <rfmt sheetId="3" sqref="D7">
    <dxf>
      <numFmt numFmtId="166" formatCode="0.0"/>
    </dxf>
  </rfmt>
  <rfmt sheetId="3" sqref="D12">
    <dxf>
      <numFmt numFmtId="2" formatCode="0.00"/>
    </dxf>
  </rfmt>
  <rfmt sheetId="3" sqref="D12">
    <dxf>
      <numFmt numFmtId="187" formatCode="0.000"/>
    </dxf>
  </rfmt>
  <rfmt sheetId="3" sqref="D12">
    <dxf>
      <numFmt numFmtId="175" formatCode="0.0000"/>
    </dxf>
  </rfmt>
  <rfmt sheetId="3" sqref="D12">
    <dxf>
      <numFmt numFmtId="168" formatCode="0.00000"/>
    </dxf>
  </rfmt>
  <rfmt sheetId="3" sqref="D12">
    <dxf>
      <numFmt numFmtId="174" formatCode="0.000000"/>
    </dxf>
  </rfmt>
  <rfmt sheetId="3" sqref="D12">
    <dxf>
      <numFmt numFmtId="168" formatCode="0.00000"/>
    </dxf>
  </rfmt>
  <rfmt sheetId="3" sqref="D12">
    <dxf>
      <numFmt numFmtId="175" formatCode="0.0000"/>
    </dxf>
  </rfmt>
  <rfmt sheetId="3" sqref="D12">
    <dxf>
      <numFmt numFmtId="187" formatCode="0.000"/>
    </dxf>
  </rfmt>
  <rfmt sheetId="3" sqref="D12">
    <dxf>
      <numFmt numFmtId="2" formatCode="0.00"/>
    </dxf>
  </rfmt>
  <rfmt sheetId="3" sqref="D12">
    <dxf>
      <numFmt numFmtId="166" formatCode="0.0"/>
    </dxf>
  </rfmt>
  <rfmt sheetId="3" sqref="D16">
    <dxf>
      <numFmt numFmtId="2" formatCode="0.00"/>
    </dxf>
  </rfmt>
  <rfmt sheetId="3" sqref="D16">
    <dxf>
      <numFmt numFmtId="187" formatCode="0.000"/>
    </dxf>
  </rfmt>
  <rfmt sheetId="3" sqref="D16">
    <dxf>
      <numFmt numFmtId="175" formatCode="0.0000"/>
    </dxf>
  </rfmt>
  <rfmt sheetId="3" sqref="D16">
    <dxf>
      <numFmt numFmtId="168" formatCode="0.00000"/>
    </dxf>
  </rfmt>
  <rfmt sheetId="3" sqref="D16">
    <dxf>
      <numFmt numFmtId="174" formatCode="0.000000"/>
    </dxf>
  </rfmt>
  <rfmt sheetId="3" sqref="D16">
    <dxf>
      <numFmt numFmtId="178" formatCode="0.0000000"/>
    </dxf>
  </rfmt>
  <rfmt sheetId="3" sqref="D16">
    <dxf>
      <numFmt numFmtId="174" formatCode="0.000000"/>
    </dxf>
  </rfmt>
  <rfmt sheetId="3" sqref="D16">
    <dxf>
      <numFmt numFmtId="168" formatCode="0.00000"/>
    </dxf>
  </rfmt>
  <rfmt sheetId="3" sqref="D16">
    <dxf>
      <numFmt numFmtId="175" formatCode="0.0000"/>
    </dxf>
  </rfmt>
  <rfmt sheetId="3" sqref="D16">
    <dxf>
      <numFmt numFmtId="187" formatCode="0.000"/>
    </dxf>
  </rfmt>
  <rfmt sheetId="3" sqref="D16">
    <dxf>
      <numFmt numFmtId="2" formatCode="0.00"/>
    </dxf>
  </rfmt>
  <rfmt sheetId="3" sqref="D16">
    <dxf>
      <numFmt numFmtId="166" formatCode="0.0"/>
    </dxf>
  </rfmt>
  <rfmt sheetId="3" sqref="D21">
    <dxf>
      <numFmt numFmtId="2" formatCode="0.00"/>
    </dxf>
  </rfmt>
  <rfmt sheetId="3" sqref="D21">
    <dxf>
      <numFmt numFmtId="187" formatCode="0.000"/>
    </dxf>
  </rfmt>
  <rfmt sheetId="3" sqref="D21">
    <dxf>
      <numFmt numFmtId="175" formatCode="0.0000"/>
    </dxf>
  </rfmt>
  <rfmt sheetId="3" sqref="D21">
    <dxf>
      <numFmt numFmtId="168" formatCode="0.00000"/>
    </dxf>
  </rfmt>
  <rfmt sheetId="3" sqref="D21">
    <dxf>
      <numFmt numFmtId="174" formatCode="0.000000"/>
    </dxf>
  </rfmt>
  <rfmt sheetId="3" sqref="D21">
    <dxf>
      <numFmt numFmtId="178" formatCode="0.0000000"/>
    </dxf>
  </rfmt>
  <rfmt sheetId="3" sqref="D21">
    <dxf>
      <numFmt numFmtId="174" formatCode="0.000000"/>
    </dxf>
  </rfmt>
  <rfmt sheetId="3" sqref="D21">
    <dxf>
      <numFmt numFmtId="168" formatCode="0.00000"/>
    </dxf>
  </rfmt>
  <rfmt sheetId="3" sqref="D21">
    <dxf>
      <numFmt numFmtId="175" formatCode="0.0000"/>
    </dxf>
  </rfmt>
  <rfmt sheetId="3" sqref="D21">
    <dxf>
      <numFmt numFmtId="187" formatCode="0.000"/>
    </dxf>
  </rfmt>
  <rfmt sheetId="3" sqref="D21">
    <dxf>
      <numFmt numFmtId="2" formatCode="0.00"/>
    </dxf>
  </rfmt>
  <rfmt sheetId="3" sqref="D21">
    <dxf>
      <numFmt numFmtId="166" formatCode="0.0"/>
    </dxf>
  </rfmt>
  <rfmt sheetId="3" sqref="D23">
    <dxf>
      <numFmt numFmtId="2" formatCode="0.00"/>
    </dxf>
  </rfmt>
  <rfmt sheetId="3" sqref="D23">
    <dxf>
      <numFmt numFmtId="187" formatCode="0.000"/>
    </dxf>
  </rfmt>
  <rfmt sheetId="3" sqref="D23">
    <dxf>
      <numFmt numFmtId="175" formatCode="0.0000"/>
    </dxf>
  </rfmt>
  <rfmt sheetId="3" sqref="D23">
    <dxf>
      <numFmt numFmtId="168" formatCode="0.00000"/>
    </dxf>
  </rfmt>
  <rfmt sheetId="3" sqref="D23">
    <dxf>
      <numFmt numFmtId="174" formatCode="0.000000"/>
    </dxf>
  </rfmt>
  <rfmt sheetId="3" sqref="D23">
    <dxf>
      <numFmt numFmtId="178" formatCode="0.0000000"/>
    </dxf>
  </rfmt>
  <rfmt sheetId="3" sqref="D23">
    <dxf>
      <numFmt numFmtId="188" formatCode="0.00000000"/>
    </dxf>
  </rfmt>
  <rfmt sheetId="3" sqref="D23">
    <dxf>
      <numFmt numFmtId="178" formatCode="0.0000000"/>
    </dxf>
  </rfmt>
  <rfmt sheetId="3" sqref="D23">
    <dxf>
      <numFmt numFmtId="174" formatCode="0.000000"/>
    </dxf>
  </rfmt>
  <rfmt sheetId="3" sqref="D23">
    <dxf>
      <numFmt numFmtId="168" formatCode="0.00000"/>
    </dxf>
  </rfmt>
  <rfmt sheetId="3" sqref="D23">
    <dxf>
      <numFmt numFmtId="175" formatCode="0.0000"/>
    </dxf>
  </rfmt>
  <rfmt sheetId="3" sqref="D23">
    <dxf>
      <numFmt numFmtId="187" formatCode="0.000"/>
    </dxf>
  </rfmt>
  <rfmt sheetId="3" sqref="D23">
    <dxf>
      <numFmt numFmtId="2" formatCode="0.00"/>
    </dxf>
  </rfmt>
  <rfmt sheetId="3" sqref="D23">
    <dxf>
      <numFmt numFmtId="166" formatCode="0.0"/>
    </dxf>
  </rfmt>
  <rfmt sheetId="3" sqref="D33">
    <dxf>
      <numFmt numFmtId="2" formatCode="0.00"/>
    </dxf>
  </rfmt>
  <rfmt sheetId="3" sqref="D33">
    <dxf>
      <numFmt numFmtId="187" formatCode="0.000"/>
    </dxf>
  </rfmt>
  <rfmt sheetId="3" sqref="D33">
    <dxf>
      <numFmt numFmtId="175" formatCode="0.0000"/>
    </dxf>
  </rfmt>
  <rfmt sheetId="3" sqref="D33">
    <dxf>
      <numFmt numFmtId="168" formatCode="0.00000"/>
    </dxf>
  </rfmt>
  <rfmt sheetId="3" sqref="D33">
    <dxf>
      <numFmt numFmtId="174" formatCode="0.000000"/>
    </dxf>
  </rfmt>
  <rfmt sheetId="3" sqref="D33">
    <dxf>
      <numFmt numFmtId="168" formatCode="0.00000"/>
    </dxf>
  </rfmt>
  <rfmt sheetId="3" sqref="D33">
    <dxf>
      <numFmt numFmtId="175" formatCode="0.0000"/>
    </dxf>
  </rfmt>
  <rfmt sheetId="3" sqref="D33">
    <dxf>
      <numFmt numFmtId="187" formatCode="0.000"/>
    </dxf>
  </rfmt>
  <rfmt sheetId="3" sqref="D33">
    <dxf>
      <numFmt numFmtId="2" formatCode="0.00"/>
    </dxf>
  </rfmt>
  <rfmt sheetId="3" sqref="D33">
    <dxf>
      <numFmt numFmtId="166" formatCode="0.0"/>
    </dxf>
  </rfmt>
  <rfmt sheetId="3" sqref="D41">
    <dxf>
      <numFmt numFmtId="2" formatCode="0.00"/>
    </dxf>
  </rfmt>
  <rfmt sheetId="3" sqref="D41">
    <dxf>
      <numFmt numFmtId="187" formatCode="0.000"/>
    </dxf>
  </rfmt>
  <rfmt sheetId="3" sqref="D41">
    <dxf>
      <numFmt numFmtId="175" formatCode="0.0000"/>
    </dxf>
  </rfmt>
  <rfmt sheetId="3" sqref="D41">
    <dxf>
      <numFmt numFmtId="168" formatCode="0.00000"/>
    </dxf>
  </rfmt>
  <rfmt sheetId="3" sqref="D41">
    <dxf>
      <numFmt numFmtId="175" formatCode="0.0000"/>
    </dxf>
  </rfmt>
  <rfmt sheetId="3" sqref="D41">
    <dxf>
      <numFmt numFmtId="187" formatCode="0.000"/>
    </dxf>
  </rfmt>
  <rfmt sheetId="3" sqref="D41">
    <dxf>
      <numFmt numFmtId="2" formatCode="0.00"/>
    </dxf>
  </rfmt>
  <rfmt sheetId="3" sqref="D41">
    <dxf>
      <numFmt numFmtId="166" formatCode="0.0"/>
    </dxf>
  </rfmt>
  <rfmt sheetId="3" sqref="D43">
    <dxf>
      <numFmt numFmtId="2" formatCode="0.00"/>
    </dxf>
  </rfmt>
  <rfmt sheetId="3" sqref="D43">
    <dxf>
      <numFmt numFmtId="187" formatCode="0.000"/>
    </dxf>
  </rfmt>
  <rfmt sheetId="3" sqref="D43">
    <dxf>
      <numFmt numFmtId="175" formatCode="0.0000"/>
    </dxf>
  </rfmt>
  <rfmt sheetId="3" sqref="D43">
    <dxf>
      <numFmt numFmtId="168" formatCode="0.00000"/>
    </dxf>
  </rfmt>
  <rfmt sheetId="3" sqref="D43">
    <dxf>
      <numFmt numFmtId="175" formatCode="0.0000"/>
    </dxf>
  </rfmt>
  <rfmt sheetId="3" sqref="D43">
    <dxf>
      <numFmt numFmtId="187" formatCode="0.000"/>
    </dxf>
  </rfmt>
  <rfmt sheetId="3" sqref="D43">
    <dxf>
      <numFmt numFmtId="2" formatCode="0.00"/>
    </dxf>
  </rfmt>
  <rfmt sheetId="3" sqref="D43">
    <dxf>
      <numFmt numFmtId="166" formatCode="0.0"/>
    </dxf>
  </rfmt>
  <rfmt sheetId="3" sqref="D46">
    <dxf>
      <numFmt numFmtId="2" formatCode="0.00"/>
    </dxf>
  </rfmt>
  <rfmt sheetId="3" sqref="D46">
    <dxf>
      <numFmt numFmtId="187" formatCode="0.000"/>
    </dxf>
  </rfmt>
  <rfmt sheetId="3" sqref="D46">
    <dxf>
      <numFmt numFmtId="175" formatCode="0.0000"/>
    </dxf>
  </rfmt>
  <rfmt sheetId="3" sqref="D46">
    <dxf>
      <numFmt numFmtId="168" formatCode="0.00000"/>
    </dxf>
  </rfmt>
  <rfmt sheetId="3" sqref="D46">
    <dxf>
      <numFmt numFmtId="174" formatCode="0.000000"/>
    </dxf>
  </rfmt>
  <rfmt sheetId="3" sqref="D46">
    <dxf>
      <numFmt numFmtId="168" formatCode="0.00000"/>
    </dxf>
  </rfmt>
  <rfmt sheetId="3" sqref="D46">
    <dxf>
      <numFmt numFmtId="175" formatCode="0.0000"/>
    </dxf>
  </rfmt>
  <rfmt sheetId="3" sqref="D46">
    <dxf>
      <numFmt numFmtId="187" formatCode="0.000"/>
    </dxf>
  </rfmt>
  <rfmt sheetId="3" sqref="D46">
    <dxf>
      <numFmt numFmtId="2" formatCode="0.00"/>
    </dxf>
  </rfmt>
  <rfmt sheetId="3" sqref="D46">
    <dxf>
      <numFmt numFmtId="166" formatCode="0.0"/>
    </dxf>
  </rfmt>
  <rfmt sheetId="3" sqref="D51">
    <dxf>
      <numFmt numFmtId="2" formatCode="0.00"/>
    </dxf>
  </rfmt>
  <rfmt sheetId="3" sqref="D51">
    <dxf>
      <numFmt numFmtId="187" formatCode="0.000"/>
    </dxf>
  </rfmt>
  <rfmt sheetId="3" sqref="D51">
    <dxf>
      <numFmt numFmtId="175" formatCode="0.0000"/>
    </dxf>
  </rfmt>
  <rfmt sheetId="3" sqref="D51">
    <dxf>
      <numFmt numFmtId="168" formatCode="0.00000"/>
    </dxf>
  </rfmt>
  <rfmt sheetId="3" sqref="D51">
    <dxf>
      <numFmt numFmtId="174" formatCode="0.000000"/>
    </dxf>
  </rfmt>
  <rfmt sheetId="3" sqref="D51">
    <dxf>
      <numFmt numFmtId="168" formatCode="0.00000"/>
    </dxf>
  </rfmt>
  <rfmt sheetId="3" sqref="D51">
    <dxf>
      <numFmt numFmtId="175" formatCode="0.0000"/>
    </dxf>
  </rfmt>
  <rfmt sheetId="3" sqref="D51">
    <dxf>
      <numFmt numFmtId="187" formatCode="0.000"/>
    </dxf>
  </rfmt>
  <rfmt sheetId="3" sqref="D51">
    <dxf>
      <numFmt numFmtId="2" formatCode="0.00"/>
    </dxf>
  </rfmt>
  <rfmt sheetId="3" sqref="D51">
    <dxf>
      <numFmt numFmtId="166" formatCode="0.0"/>
    </dxf>
  </rfmt>
  <rcc rId="8742" sId="3" numFmtId="4">
    <oc r="D69">
      <v>0</v>
    </oc>
    <nc r="D69">
      <v>8.1999999999999993</v>
    </nc>
  </rcc>
  <rcc rId="8743" sId="3" numFmtId="4">
    <oc r="D89">
      <v>12601.11951</v>
    </oc>
    <nc r="D89">
      <v>14133.732480000001</v>
    </nc>
  </rcc>
  <rcc rId="8744" sId="3" numFmtId="4">
    <oc r="D91">
      <v>3086.5507600000001</v>
    </oc>
    <nc r="D91">
      <v>3509.20183</v>
    </nc>
  </rcc>
  <rcc rId="8745" sId="3" numFmtId="4">
    <oc r="D92">
      <v>0</v>
    </oc>
    <nc r="D92">
      <v>5</v>
    </nc>
  </rcc>
  <rcc rId="8746" sId="3" numFmtId="4">
    <oc r="C94">
      <v>10531.2</v>
    </oc>
    <nc r="C94">
      <v>10531.20012</v>
    </nc>
  </rcc>
  <rcc rId="8747" sId="3" numFmtId="4">
    <oc r="D94">
      <v>4868.8685800000003</v>
    </oc>
    <nc r="D94">
      <v>5617.9665800000002</v>
    </nc>
  </rcc>
  <rcc rId="8748" sId="3" numFmtId="4">
    <oc r="D96">
      <v>1182.07</v>
    </oc>
    <nc r="D96">
      <v>1481.77</v>
    </nc>
  </rcc>
  <rcc rId="8749" sId="3" numFmtId="4">
    <oc r="D99">
      <v>780.67529000000002</v>
    </oc>
    <nc r="D99">
      <v>941.09313999999995</v>
    </nc>
  </rcc>
  <rcc rId="8750" sId="3" numFmtId="4">
    <oc r="D100">
      <v>1874.2427</v>
    </oc>
    <nc r="D100">
      <v>2048.3345800000002</v>
    </nc>
  </rcc>
  <rcc rId="8751" sId="3" numFmtId="4">
    <nc r="D102">
      <v>0</v>
    </nc>
  </rcc>
  <rcc rId="8752" sId="3">
    <nc r="E102">
      <f>SUM(D102/C102*100)</f>
    </nc>
  </rcc>
  <rcc rId="8753" sId="3">
    <nc r="F102">
      <f>SUM(D102-C102)</f>
    </nc>
  </rcc>
  <rcc rId="8754" sId="3" numFmtId="4">
    <oc r="D106">
      <v>38945.051330000002</v>
    </oc>
    <nc r="D106">
      <v>94854.405700000003</v>
    </nc>
  </rcc>
  <rcc rId="8755" sId="3" numFmtId="4">
    <oc r="C107">
      <v>1299.4000000000001</v>
    </oc>
    <nc r="C107">
      <v>1100.316</v>
    </nc>
  </rcc>
  <rcc rId="8756" sId="3" numFmtId="4">
    <oc r="D107">
      <v>770.23519999999996</v>
    </oc>
    <nc r="D107">
      <v>987.73519999999996</v>
    </nc>
  </rcc>
  <rcc rId="8757" sId="3" numFmtId="4">
    <oc r="C110">
      <v>7785.1063899999999</v>
    </oc>
    <nc r="C110">
      <v>7984.1903899999998</v>
    </nc>
  </rcc>
  <rcc rId="8758" sId="3" numFmtId="4">
    <oc r="D110">
      <v>0</v>
    </oc>
    <nc r="D110">
      <v>2.5</v>
    </nc>
  </rcc>
  <rcc rId="8759" sId="3" numFmtId="4">
    <oc r="D115">
      <v>55829.402800000003</v>
    </oc>
    <nc r="D115">
      <v>59290.944159999999</v>
    </nc>
  </rcc>
  <rcc rId="8760" sId="3" numFmtId="4">
    <oc r="D116">
      <v>158915.51517999999</v>
    </oc>
    <nc r="D116">
      <v>176006.05437999999</v>
    </nc>
  </rcc>
  <rcc rId="8761" sId="3" numFmtId="4">
    <oc r="D117">
      <v>11140.598</v>
    </oc>
    <nc r="D117">
      <v>11374.884</v>
    </nc>
  </rcc>
  <rcc rId="8762" sId="3" numFmtId="4">
    <oc r="D118">
      <v>4328.3855199999998</v>
    </oc>
    <nc r="D118">
      <v>4751.2239200000004</v>
    </nc>
  </rcc>
  <rcc rId="8763" sId="3" numFmtId="4">
    <oc r="C119">
      <v>8114</v>
    </oc>
    <nc r="C119">
      <v>8154</v>
    </nc>
  </rcc>
  <rcc rId="8764" sId="3" numFmtId="4">
    <oc r="D119">
      <v>4297.1285699999999</v>
    </oc>
    <nc r="D119">
      <v>5215.9737599999999</v>
    </nc>
  </rcc>
  <rcc rId="8765" sId="3" numFmtId="4">
    <oc r="D121">
      <v>23415.308870000001</v>
    </oc>
    <nc r="D121">
      <v>28338.831819999999</v>
    </nc>
  </rcc>
  <rcc rId="8766" sId="3" numFmtId="4">
    <oc r="D122">
      <v>738.94931999999994</v>
    </oc>
    <nc r="D122">
      <v>766.02344000000005</v>
    </nc>
  </rcc>
  <rcc rId="8767" sId="3" numFmtId="4">
    <oc r="D125">
      <v>7079.2670099999996</v>
    </oc>
    <nc r="D125">
      <v>9339.2626199999995</v>
    </nc>
  </rcc>
  <rcc rId="8768" sId="3" numFmtId="4">
    <oc r="D127">
      <v>72.702209999999994</v>
    </oc>
    <nc r="D127">
      <v>79.035210000000006</v>
    </nc>
  </rcc>
  <rcc rId="8769" sId="3" numFmtId="4">
    <oc r="D129">
      <v>208.22290000000001</v>
    </oc>
    <nc r="D129">
      <v>210.86789999999999</v>
    </nc>
  </rcc>
  <rcc rId="8770" sId="3" numFmtId="4">
    <oc r="D130">
      <v>3618.1950000000002</v>
    </oc>
    <nc r="D130">
      <v>3852.482</v>
    </nc>
  </rcc>
  <rcc rId="8771" sId="3" numFmtId="4">
    <oc r="D139">
      <v>19489.2</v>
    </oc>
    <nc r="D139">
      <v>21225.200000000001</v>
    </nc>
  </rcc>
  <rfmt sheetId="3" sqref="C142:D142">
    <dxf>
      <numFmt numFmtId="2" formatCode="0.00"/>
    </dxf>
  </rfmt>
  <rfmt sheetId="3" sqref="C142:D142">
    <dxf>
      <numFmt numFmtId="187" formatCode="0.000"/>
    </dxf>
  </rfmt>
  <rfmt sheetId="3" sqref="C142:D142">
    <dxf>
      <numFmt numFmtId="175" formatCode="0.0000"/>
    </dxf>
  </rfmt>
  <rfmt sheetId="3" sqref="C142:D142">
    <dxf>
      <numFmt numFmtId="168" formatCode="0.00000"/>
    </dxf>
  </rfmt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221.xml><?xml version="1.0" encoding="utf-8"?>
<revisions xmlns="http://schemas.openxmlformats.org/spreadsheetml/2006/main" xmlns:r="http://schemas.openxmlformats.org/officeDocument/2006/relationships">
  <rcc rId="8620" sId="13" numFmtId="4">
    <oc r="D39">
      <v>845.08399999999995</v>
    </oc>
    <nc r="D39">
      <v>920.82899999999995</v>
    </nc>
  </rcc>
  <rcc rId="8621" sId="13" numFmtId="4">
    <oc r="D42">
      <v>85.23</v>
    </oc>
    <nc r="D42">
      <v>435.16199999999998</v>
    </nc>
  </rcc>
  <rcc rId="8622" sId="13" numFmtId="4">
    <oc r="D43">
      <v>47.426000000000002</v>
    </oc>
    <nc r="D43">
      <v>59.305999999999997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22211.xml><?xml version="1.0" encoding="utf-8"?>
<revisions xmlns="http://schemas.openxmlformats.org/spreadsheetml/2006/main" xmlns:r="http://schemas.openxmlformats.org/officeDocument/2006/relationships">
  <rcc rId="7594" sId="16" numFmtId="34">
    <oc r="D78">
      <v>143.98253</v>
    </oc>
    <nc r="D78">
      <v>201.23052999999999</v>
    </nc>
  </rcc>
  <rcc rId="7595" sId="16" numFmtId="34">
    <oc r="D98">
      <v>2437.0479</v>
    </oc>
    <nc r="D98"/>
  </rcc>
  <rcc rId="7596" sId="16">
    <oc r="E98">
      <f>D96-D98</f>
    </oc>
    <nc r="E98"/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2221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3.xml><?xml version="1.0" encoding="utf-8"?>
<revisions xmlns="http://schemas.openxmlformats.org/spreadsheetml/2006/main" xmlns:r="http://schemas.openxmlformats.org/officeDocument/2006/relationships">
  <rfmt sheetId="4" sqref="C47:D48">
    <dxf>
      <numFmt numFmtId="183" formatCode="#,##0.0000"/>
    </dxf>
  </rfmt>
  <rfmt sheetId="4" sqref="C47:D48">
    <dxf>
      <numFmt numFmtId="173" formatCode="#,##0.000"/>
    </dxf>
  </rfmt>
  <rfmt sheetId="4" sqref="C47:D48">
    <dxf>
      <numFmt numFmtId="4" formatCode="#,##0.00"/>
    </dxf>
  </rfmt>
  <rfmt sheetId="4" sqref="C47:D48">
    <dxf>
      <numFmt numFmtId="167" formatCode="#,##0.0"/>
    </dxf>
  </rfmt>
  <rfmt sheetId="4" sqref="C93:D93">
    <dxf>
      <numFmt numFmtId="183" formatCode="#,##0.0000"/>
    </dxf>
  </rfmt>
  <rfmt sheetId="4" sqref="C93:D93">
    <dxf>
      <numFmt numFmtId="173" formatCode="#,##0.000"/>
    </dxf>
  </rfmt>
  <rfmt sheetId="4" sqref="C93:D93">
    <dxf>
      <numFmt numFmtId="4" formatCode="#,##0.00"/>
    </dxf>
  </rfmt>
  <rfmt sheetId="4" sqref="C93:D93">
    <dxf>
      <numFmt numFmtId="167" formatCode="#,##0.0"/>
    </dxf>
  </rfmt>
  <rfmt sheetId="5" sqref="C100:D100 C52:D53">
    <dxf>
      <numFmt numFmtId="175" formatCode="0.0000"/>
    </dxf>
  </rfmt>
  <rfmt sheetId="5" sqref="C100:D100 C52:D53">
    <dxf>
      <numFmt numFmtId="187" formatCode="0.000"/>
    </dxf>
  </rfmt>
  <rfmt sheetId="5" sqref="C100:D100 C52:D53">
    <dxf>
      <numFmt numFmtId="2" formatCode="0.00"/>
    </dxf>
  </rfmt>
  <rfmt sheetId="5" sqref="C100:D100 C52:D53">
    <dxf>
      <numFmt numFmtId="166" formatCode="0.0"/>
    </dxf>
  </rfmt>
  <rfmt sheetId="6" sqref="C100:D100 C52:D53">
    <dxf>
      <numFmt numFmtId="175" formatCode="0.0000"/>
    </dxf>
  </rfmt>
  <rfmt sheetId="6" sqref="C100:D100 C52:D53">
    <dxf>
      <numFmt numFmtId="187" formatCode="0.000"/>
    </dxf>
  </rfmt>
  <rfmt sheetId="6" sqref="C100:D100 C52:D53">
    <dxf>
      <numFmt numFmtId="2" formatCode="0.00"/>
    </dxf>
  </rfmt>
  <rfmt sheetId="6" sqref="C100:D100 C52:D53">
    <dxf>
      <numFmt numFmtId="166" formatCode="0.0"/>
    </dxf>
  </rfmt>
  <rfmt sheetId="7" sqref="C96:D96 C50:D51">
    <dxf>
      <numFmt numFmtId="183" formatCode="#,##0.0000"/>
    </dxf>
  </rfmt>
  <rfmt sheetId="7" sqref="C96:D96 C50:D51">
    <dxf>
      <numFmt numFmtId="173" formatCode="#,##0.000"/>
    </dxf>
  </rfmt>
  <rfmt sheetId="7" sqref="C96:D96 C50:D51">
    <dxf>
      <numFmt numFmtId="4" formatCode="#,##0.00"/>
    </dxf>
  </rfmt>
  <rfmt sheetId="7" sqref="C96:D96 C50:D51">
    <dxf>
      <numFmt numFmtId="167" formatCode="#,##0.0"/>
    </dxf>
  </rfmt>
  <rfmt sheetId="8" sqref="C97:D97 C51:D52">
    <dxf>
      <numFmt numFmtId="183" formatCode="#,##0.0000"/>
    </dxf>
  </rfmt>
  <rfmt sheetId="8" sqref="C97:D97 C51:D52">
    <dxf>
      <numFmt numFmtId="173" formatCode="#,##0.000"/>
    </dxf>
  </rfmt>
  <rfmt sheetId="8" sqref="C97:D97 C51:D52">
    <dxf>
      <numFmt numFmtId="4" formatCode="#,##0.00"/>
    </dxf>
  </rfmt>
  <rfmt sheetId="8" sqref="C97:D97 C51:D52">
    <dxf>
      <numFmt numFmtId="167" formatCode="#,##0.0"/>
    </dxf>
  </rfmt>
  <rfmt sheetId="9" sqref="C51:D52 C101:D101">
    <dxf>
      <numFmt numFmtId="183" formatCode="#,##0.0000"/>
    </dxf>
  </rfmt>
  <rfmt sheetId="9" sqref="C51:D52 C101:D101">
    <dxf>
      <numFmt numFmtId="173" formatCode="#,##0.000"/>
    </dxf>
  </rfmt>
  <rfmt sheetId="9" sqref="C51:D52 C101:D101">
    <dxf>
      <numFmt numFmtId="4" formatCode="#,##0.00"/>
    </dxf>
  </rfmt>
  <rfmt sheetId="9" sqref="C51:D52 C101:D101">
    <dxf>
      <numFmt numFmtId="167" formatCode="#,##0.0"/>
    </dxf>
  </rfmt>
  <rfmt sheetId="10" sqref="C98:D98 C51:D52">
    <dxf>
      <numFmt numFmtId="183" formatCode="#,##0.0000"/>
    </dxf>
  </rfmt>
  <rfmt sheetId="10" sqref="C98:D98 C51:D52">
    <dxf>
      <numFmt numFmtId="173" formatCode="#,##0.000"/>
    </dxf>
  </rfmt>
  <rfmt sheetId="10" sqref="C98:D98 C51:D52">
    <dxf>
      <numFmt numFmtId="4" formatCode="#,##0.00"/>
    </dxf>
  </rfmt>
  <rfmt sheetId="10" sqref="C98:D98 C51:D52">
    <dxf>
      <numFmt numFmtId="167" formatCode="#,##0.0"/>
    </dxf>
  </rfmt>
  <rfmt sheetId="11" sqref="C51:D52 C97:D97">
    <dxf>
      <numFmt numFmtId="183" formatCode="#,##0.0000"/>
    </dxf>
  </rfmt>
  <rfmt sheetId="11" sqref="C51:D52 C97:D97">
    <dxf>
      <numFmt numFmtId="173" formatCode="#,##0.000"/>
    </dxf>
  </rfmt>
  <rfmt sheetId="11" sqref="C51:D52 C97:D97">
    <dxf>
      <numFmt numFmtId="4" formatCode="#,##0.00"/>
    </dxf>
  </rfmt>
  <rfmt sheetId="11" sqref="C51:D52 C97:D97">
    <dxf>
      <numFmt numFmtId="167" formatCode="#,##0.0"/>
    </dxf>
  </rfmt>
  <rfmt sheetId="12" sqref="C98:D98 C51:D52">
    <dxf>
      <numFmt numFmtId="183" formatCode="#,##0.0000"/>
    </dxf>
  </rfmt>
  <rfmt sheetId="12" sqref="C98:D98 C51:D52">
    <dxf>
      <numFmt numFmtId="173" formatCode="#,##0.000"/>
    </dxf>
  </rfmt>
  <rfmt sheetId="12" sqref="C98:D98 C51:D52">
    <dxf>
      <numFmt numFmtId="4" formatCode="#,##0.00"/>
    </dxf>
  </rfmt>
  <rfmt sheetId="12" sqref="C98:D98 C51:D52">
    <dxf>
      <numFmt numFmtId="167" formatCode="#,##0.0"/>
    </dxf>
  </rfmt>
  <rfmt sheetId="13" sqref="C49:D50 C95:D95">
    <dxf>
      <numFmt numFmtId="176" formatCode="_(* #,##0.0000_);_(* \(#,##0.0000\);_(* &quot;-&quot;??_);_(@_)"/>
    </dxf>
  </rfmt>
  <rfmt sheetId="13" sqref="C49:D50 C95:D95">
    <dxf>
      <numFmt numFmtId="185" formatCode="_(* #,##0.000_);_(* \(#,##0.000\);_(* &quot;-&quot;??_);_(@_)"/>
    </dxf>
  </rfmt>
  <rfmt sheetId="13" sqref="C49:D50 C95:D95">
    <dxf>
      <numFmt numFmtId="165" formatCode="_(* #,##0.00_);_(* \(#,##0.00\);_(* &quot;-&quot;??_);_(@_)"/>
    </dxf>
  </rfmt>
  <rfmt sheetId="13" sqref="C49:D50 C95:D95">
    <dxf>
      <numFmt numFmtId="169" formatCode="_(* #,##0.0_);_(* \(#,##0.0\);_(* &quot;-&quot;??_);_(@_)"/>
    </dxf>
  </rfmt>
  <rfmt sheetId="14" sqref="C51:D52 C97:D97">
    <dxf>
      <numFmt numFmtId="183" formatCode="#,##0.0000"/>
    </dxf>
  </rfmt>
  <rfmt sheetId="14" sqref="C51:D52 C97:D97">
    <dxf>
      <numFmt numFmtId="173" formatCode="#,##0.000"/>
    </dxf>
  </rfmt>
  <rfmt sheetId="14" sqref="C51:D52 C97:D97">
    <dxf>
      <numFmt numFmtId="4" formatCode="#,##0.00"/>
    </dxf>
  </rfmt>
  <rfmt sheetId="14" sqref="C51:D52 C97:D97">
    <dxf>
      <numFmt numFmtId="167" formatCode="#,##0.0"/>
    </dxf>
  </rfmt>
  <rfmt sheetId="15" sqref="C51:D52 C97:D97">
    <dxf>
      <numFmt numFmtId="176" formatCode="_(* #,##0.0000_);_(* \(#,##0.0000\);_(* &quot;-&quot;??_);_(@_)"/>
    </dxf>
  </rfmt>
  <rfmt sheetId="15" sqref="C51:D52 C97:D97">
    <dxf>
      <numFmt numFmtId="185" formatCode="_(* #,##0.000_);_(* \(#,##0.000\);_(* &quot;-&quot;??_);_(@_)"/>
    </dxf>
  </rfmt>
  <rfmt sheetId="15" sqref="C51:D52 C97:D97">
    <dxf>
      <numFmt numFmtId="165" formatCode="_(* #,##0.00_);_(* \(#,##0.00\);_(* &quot;-&quot;??_);_(@_)"/>
    </dxf>
  </rfmt>
  <rfmt sheetId="15" sqref="C51:D52 C97:D97">
    <dxf>
      <numFmt numFmtId="169" formatCode="_(* #,##0.0_);_(* \(#,##0.0\);_(* &quot;-&quot;??_);_(@_)"/>
    </dxf>
  </rfmt>
  <rfmt sheetId="16" sqref="C96:D96 C50:D51">
    <dxf>
      <numFmt numFmtId="183" formatCode="#,##0.0000"/>
    </dxf>
  </rfmt>
  <rfmt sheetId="16" sqref="C96:D96 C50:D51">
    <dxf>
      <numFmt numFmtId="173" formatCode="#,##0.000"/>
    </dxf>
  </rfmt>
  <rfmt sheetId="16" sqref="C96:D96 C50:D51">
    <dxf>
      <numFmt numFmtId="4" formatCode="#,##0.00"/>
    </dxf>
  </rfmt>
  <rfmt sheetId="16" sqref="C96:D96 C50:D51">
    <dxf>
      <numFmt numFmtId="167" formatCode="#,##0.0"/>
    </dxf>
  </rfmt>
  <rfmt sheetId="17" sqref="C52:D53 C98:D98">
    <dxf>
      <numFmt numFmtId="183" formatCode="#,##0.0000"/>
    </dxf>
  </rfmt>
  <rfmt sheetId="17" sqref="C52:D53 C98:D98">
    <dxf>
      <numFmt numFmtId="173" formatCode="#,##0.000"/>
    </dxf>
  </rfmt>
  <rfmt sheetId="17" sqref="C52:D53 C98:D98">
    <dxf>
      <numFmt numFmtId="4" formatCode="#,##0.00"/>
    </dxf>
  </rfmt>
  <rfmt sheetId="17" sqref="C52:D53 C98:D98">
    <dxf>
      <numFmt numFmtId="167" formatCode="#,##0.0"/>
    </dxf>
  </rfmt>
  <rfmt sheetId="18" sqref="D41">
    <dxf>
      <numFmt numFmtId="175" formatCode="0.0000"/>
    </dxf>
  </rfmt>
  <rfmt sheetId="18" sqref="D41">
    <dxf>
      <numFmt numFmtId="187" formatCode="0.000"/>
    </dxf>
  </rfmt>
  <rfmt sheetId="18" sqref="D41">
    <dxf>
      <numFmt numFmtId="2" formatCode="0.00"/>
    </dxf>
  </rfmt>
  <rfmt sheetId="18" sqref="D41">
    <dxf>
      <numFmt numFmtId="166" formatCode="0.0"/>
    </dxf>
  </rfmt>
  <rfmt sheetId="18" sqref="C52:D53 C99:D99">
    <dxf>
      <numFmt numFmtId="183" formatCode="#,##0.0000"/>
    </dxf>
  </rfmt>
  <rfmt sheetId="18" sqref="C52:D53 C99:D99">
    <dxf>
      <numFmt numFmtId="173" formatCode="#,##0.000"/>
    </dxf>
  </rfmt>
  <rfmt sheetId="18" sqref="C52:D53 C99:D99">
    <dxf>
      <numFmt numFmtId="4" formatCode="#,##0.00"/>
    </dxf>
  </rfmt>
  <rfmt sheetId="18" sqref="C52:D53 C99:D99">
    <dxf>
      <numFmt numFmtId="167" formatCode="#,##0.0"/>
    </dxf>
  </rfmt>
  <rfmt sheetId="19" sqref="C48:D49 C94:D94">
    <dxf>
      <numFmt numFmtId="183" formatCode="#,##0.0000"/>
    </dxf>
  </rfmt>
  <rfmt sheetId="19" sqref="C48:D49 C94:D94">
    <dxf>
      <numFmt numFmtId="173" formatCode="#,##0.000"/>
    </dxf>
  </rfmt>
  <rfmt sheetId="19" sqref="C48:D49 C94:D94">
    <dxf>
      <numFmt numFmtId="4" formatCode="#,##0.00"/>
    </dxf>
  </rfmt>
  <rfmt sheetId="19" sqref="C48:D49 C94:D94">
    <dxf>
      <numFmt numFmtId="167" formatCode="#,##0.0"/>
    </dxf>
  </rfmt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3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311.xml><?xml version="1.0" encoding="utf-8"?>
<revisions xmlns="http://schemas.openxmlformats.org/spreadsheetml/2006/main" xmlns:r="http://schemas.openxmlformats.org/officeDocument/2006/relationships">
  <rfmt sheetId="6" sqref="D57:D91">
    <dxf>
      <numFmt numFmtId="165" formatCode="_(* #,##0.00_);_(* \(#,##0.00\);_(* &quot;-&quot;??_);_(@_)"/>
    </dxf>
  </rfmt>
  <rfmt sheetId="6" sqref="D57:D91">
    <dxf>
      <numFmt numFmtId="186" formatCode="_(* #,##0.000_);_(* \(#,##0.000\);_(* &quot;-&quot;??_);_(@_)"/>
    </dxf>
  </rfmt>
  <rfmt sheetId="6" sqref="D57:D91">
    <dxf>
      <numFmt numFmtId="176" formatCode="_(* #,##0.0000_);_(* \(#,##0.0000\);_(* &quot;-&quot;??_);_(@_)"/>
    </dxf>
  </rfmt>
  <rfmt sheetId="6" sqref="D59">
    <dxf>
      <numFmt numFmtId="186" formatCode="_(* #,##0.000_);_(* \(#,##0.000\);_(* &quot;-&quot;??_);_(@_)"/>
    </dxf>
  </rfmt>
  <rfmt sheetId="6" sqref="D59">
    <dxf>
      <numFmt numFmtId="176" formatCode="_(* #,##0.0000_);_(* \(#,##0.0000\);_(* &quot;-&quot;??_);_(@_)"/>
    </dxf>
  </rfmt>
  <rfmt sheetId="6" sqref="D59:D91">
    <dxf>
      <numFmt numFmtId="177" formatCode="_(* #,##0.00000_);_(* \(#,##0.00000\);_(* &quot;-&quot;??_);_(@_)"/>
    </dxf>
  </rfmt>
  <rcc rId="3374" sId="6">
    <oc r="D64">
      <f>3.878+6.6</f>
    </oc>
    <nc r="D64">
      <f>3.8785+6.6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3111.xml><?xml version="1.0" encoding="utf-8"?>
<revisions xmlns="http://schemas.openxmlformats.org/spreadsheetml/2006/main" xmlns:r="http://schemas.openxmlformats.org/officeDocument/2006/relationships">
  <rcc rId="3104" sId="4" numFmtId="4">
    <oc r="D6">
      <v>40.684122000000002</v>
    </oc>
    <nc r="D6">
      <v>40.681220000000003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312.xml><?xml version="1.0" encoding="utf-8"?>
<revisions xmlns="http://schemas.openxmlformats.org/spreadsheetml/2006/main" xmlns:r="http://schemas.openxmlformats.org/officeDocument/2006/relationships">
  <rcc rId="9133" sId="2" numFmtId="4">
    <oc r="J34">
      <v>3130.01404</v>
    </oc>
    <nc r="J34">
      <v>3189.83761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3121.xml><?xml version="1.0" encoding="utf-8"?>
<revisions xmlns="http://schemas.openxmlformats.org/spreadsheetml/2006/main" xmlns:r="http://schemas.openxmlformats.org/officeDocument/2006/relationships">
  <rcc rId="8989" sId="2">
    <oc r="G15">
      <f>J15+Y15+AB15+AE15+AH15+AN15+AT15+BF15+AK15+BR15+BO15+AZ15+M15+S15+P15+V15+AQ15</f>
    </oc>
    <nc r="G15">
      <f>J15+Y15+AB15+AE15+AH15+AN15+AT15+BF15+AK15+BR15+BO15+AZ15+M15+S15+P15+V15+AQ15</f>
    </nc>
  </rcc>
  <rfmt sheetId="5" sqref="D6 D8 D9 D10 D11 D13 D15 D16 D18 D27 D28 D29 D31 D33 D42 D44 D46 D48">
    <dxf>
      <numFmt numFmtId="2" formatCode="0.00"/>
    </dxf>
  </rfmt>
  <rfmt sheetId="5" sqref="D6 D8 D9 D10 D11 D13 D15 D16 D18 D27 D28 D29 D31 D33 D42 D44 D46 D48">
    <dxf>
      <numFmt numFmtId="187" formatCode="0.000"/>
    </dxf>
  </rfmt>
  <rfmt sheetId="5" sqref="D6 D8 D9 D10 D11 D13 D15 D16 D18 D27 D28 D29 D31 D33 D42 D44 D46 D48">
    <dxf>
      <numFmt numFmtId="175" formatCode="0.0000"/>
    </dxf>
  </rfmt>
  <rfmt sheetId="5" sqref="D6 D8 D9 D10 D11 D13 D15 D16 D18 D27 D28 D29 D31 D33 D42 D44 D46 D48">
    <dxf>
      <numFmt numFmtId="187" formatCode="0.000"/>
    </dxf>
  </rfmt>
  <rfmt sheetId="5" sqref="D6 D8 D9 D10 D11 D13 D15 D16 D18 D27 D28 D29 D31 D33 D42 D44 D46 D48">
    <dxf>
      <numFmt numFmtId="2" formatCode="0.00"/>
    </dxf>
  </rfmt>
  <rfmt sheetId="5" sqref="D6 D8 D9 D10 D11 D13 D15 D16 D18 D27 D28 D29 D31 D33 D42 D44 D46 D48">
    <dxf>
      <numFmt numFmtId="166" formatCode="0.0"/>
    </dxf>
  </rfmt>
  <rcc rId="8990" sId="2">
    <oc r="D15">
      <f>G15+CA15+CY15</f>
    </oc>
    <nc r="D15">
      <f>G15+CA15+CY15</f>
    </nc>
  </rcc>
  <rcc rId="8991" sId="5" numFmtId="4">
    <oc r="D6">
      <v>222.73853</v>
    </oc>
    <nc r="D6">
      <v>242.97373999999999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31211.xml><?xml version="1.0" encoding="utf-8"?>
<revisions xmlns="http://schemas.openxmlformats.org/spreadsheetml/2006/main" xmlns:r="http://schemas.openxmlformats.org/officeDocument/2006/relationships">
  <rcc rId="8800" sId="1" numFmtId="4">
    <oc r="C24">
      <v>571093.59115999995</v>
    </oc>
    <nc r="C24">
      <v>571133.59115999995</v>
    </nc>
  </rcc>
  <rcc rId="8801" sId="1" numFmtId="4">
    <oc r="D24">
      <v>263421.46801000001</v>
    </oc>
    <nc r="D24">
      <v>340187.68938</v>
    </nc>
  </rcc>
  <rcc rId="8802" sId="1" numFmtId="4">
    <oc r="D29">
      <v>32516.45679</v>
    </oc>
    <nc r="D29">
      <v>36643.281470000002</v>
    </nc>
  </rcc>
  <rcc rId="8803" sId="1" numFmtId="4">
    <oc r="D31">
      <v>2689.9189900000001</v>
    </oc>
    <nc r="D31">
      <v>3042.9773300000002</v>
    </nc>
  </rcc>
  <rcc rId="8804" sId="1" numFmtId="4">
    <oc r="C32">
      <v>182306.97946999999</v>
    </oc>
    <nc r="C32">
      <v>182265.07947</v>
    </nc>
  </rcc>
  <rcc rId="8805" sId="1" numFmtId="4">
    <oc r="D32">
      <v>47358.225079999997</v>
    </oc>
    <nc r="D32">
      <v>105733.66847</v>
    </nc>
  </rcc>
  <rcc rId="8806" sId="1" numFmtId="4">
    <oc r="C33">
      <v>22382.531149999999</v>
    </oc>
    <nc r="C33">
      <v>22456.93115</v>
    </nc>
  </rcc>
  <rcc rId="8807" sId="1" numFmtId="4">
    <oc r="D33">
      <v>6114.0200100000002</v>
    </oc>
    <nc r="D33">
      <v>7004.8293899999999</v>
    </nc>
  </rcc>
  <rcc rId="8808" sId="1" numFmtId="4">
    <oc r="C36">
      <v>54855.696430000004</v>
    </oc>
    <nc r="C36">
      <v>54825.696430000004</v>
    </nc>
  </rcc>
  <rcc rId="8809" sId="1" numFmtId="4">
    <oc r="D36">
      <v>26901.88263</v>
    </oc>
    <nc r="D36">
      <v>31996.063409999999</v>
    </nc>
  </rcc>
  <rcc rId="8810" sId="1" numFmtId="4">
    <oc r="D37">
      <v>8640.0196899999992</v>
    </oc>
    <nc r="D37">
      <v>10906.3483</v>
    </nc>
  </rcc>
  <rcc rId="8811" sId="1" numFmtId="4">
    <oc r="D38">
      <v>3932.0378999999998</v>
    </oc>
    <nc r="D38">
      <v>4168.9699000000001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312111.xml><?xml version="1.0" encoding="utf-8"?>
<revisions xmlns="http://schemas.openxmlformats.org/spreadsheetml/2006/main" xmlns:r="http://schemas.openxmlformats.org/officeDocument/2006/relationships">
  <rcc rId="6610" sId="7" numFmtId="34">
    <oc r="D57">
      <v>854.70956999999999</v>
    </oc>
    <nc r="D57">
      <v>976.71991000000003</v>
    </nc>
  </rcc>
  <rcc rId="6611" sId="7" numFmtId="34">
    <oc r="D64">
      <v>69.412149999999997</v>
    </oc>
    <nc r="D64">
      <v>83.220470000000006</v>
    </nc>
  </rcc>
  <rcc rId="6612" sId="7" numFmtId="34">
    <oc r="C72">
      <v>463.4</v>
    </oc>
    <nc r="C72">
      <v>444</v>
    </nc>
  </rcc>
  <rcc rId="6613" sId="7" numFmtId="34">
    <oc r="C73">
      <v>2167.5173399999999</v>
    </oc>
    <nc r="C73">
      <v>2170.0173399999999</v>
    </nc>
  </rcc>
  <rcc rId="6614" sId="7" numFmtId="34">
    <oc r="D73">
      <v>319.55844999999999</v>
    </oc>
    <nc r="D73">
      <v>557.54367000000002</v>
    </nc>
  </rcc>
  <rcc rId="6615" sId="7" numFmtId="34">
    <oc r="C74">
      <v>80</v>
    </oc>
    <nc r="C74">
      <v>55</v>
    </nc>
  </rcc>
  <rcc rId="6616" sId="7" numFmtId="34">
    <oc r="C78">
      <v>855.31399999999996</v>
    </oc>
    <nc r="C78">
      <v>929.71400000000006</v>
    </nc>
  </rcc>
  <rcc rId="6617" sId="7" numFmtId="34">
    <oc r="D78">
      <v>515.83657000000005</v>
    </oc>
    <nc r="D78">
      <v>591.44645000000003</v>
    </nc>
  </rcc>
  <rcc rId="6618" sId="7" numFmtId="34">
    <oc r="C80">
      <v>2063.6999999999998</v>
    </oc>
    <nc r="C80">
      <v>2033.7</v>
    </nc>
  </rcc>
  <rcc rId="6619" sId="7" numFmtId="34">
    <oc r="D80">
      <v>791.7</v>
    </oc>
    <nc r="D80">
      <v>941.7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3121111.xml><?xml version="1.0" encoding="utf-8"?>
<revisions xmlns="http://schemas.openxmlformats.org/spreadsheetml/2006/main" xmlns:r="http://schemas.openxmlformats.org/officeDocument/2006/relationships">
  <rcc rId="6277" sId="4" odxf="1" dxf="1">
    <nc r="G93">
      <f>D93-2378.64464</f>
    </nc>
    <odxf>
      <numFmt numFmtId="0" formatCode="General"/>
    </odxf>
    <ndxf>
      <numFmt numFmtId="172" formatCode="#,##0.00000"/>
    </ndxf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4.xml><?xml version="1.0" encoding="utf-8"?>
<revisions xmlns="http://schemas.openxmlformats.org/spreadsheetml/2006/main" xmlns:r="http://schemas.openxmlformats.org/officeDocument/2006/relationships">
  <rcc rId="6803" sId="19" numFmtId="4">
    <oc r="D6">
      <v>59.970820000000003</v>
    </oc>
    <nc r="D6">
      <v>67.891019999999997</v>
    </nc>
  </rcc>
  <rcc rId="6804" sId="19" numFmtId="4">
    <oc r="D8">
      <v>105.60921999999999</v>
    </oc>
    <nc r="D8">
      <v>124.08636</v>
    </nc>
  </rcc>
  <rcc rId="6805" sId="19" numFmtId="4">
    <oc r="D9">
      <v>0.86609000000000003</v>
    </oc>
    <nc r="D9">
      <v>1.0631600000000001</v>
    </nc>
  </rcc>
  <rcc rId="6806" sId="19" numFmtId="4">
    <oc r="D10">
      <v>160.91278</v>
    </oc>
    <nc r="D10">
      <v>188.11229</v>
    </nc>
  </rcc>
  <rcc rId="6807" sId="19" numFmtId="4">
    <oc r="D11">
      <v>-22.226420000000001</v>
    </oc>
    <nc r="D11">
      <v>-28.928450000000002</v>
    </nc>
  </rcc>
  <rcc rId="6808" sId="19" numFmtId="4">
    <oc r="D15">
      <v>17.93036</v>
    </oc>
    <nc r="D15">
      <v>32.503819999999997</v>
    </nc>
  </rcc>
  <rcc rId="6809" sId="19" numFmtId="4">
    <oc r="D16">
      <v>154.93550999999999</v>
    </oc>
    <nc r="D16">
      <v>389.44331</v>
    </nc>
  </rcc>
  <rcc rId="6810" sId="19" numFmtId="4">
    <oc r="C39">
      <f>940.2+34.871</f>
    </oc>
    <nc r="C39">
      <v>940.2</v>
    </nc>
  </rcc>
  <rcc rId="6811" sId="19" numFmtId="4">
    <oc r="D39">
      <f>650.488</f>
    </oc>
    <nc r="D39">
      <v>708.78899999999999</v>
    </nc>
  </rcc>
  <rcc rId="6812" sId="19" numFmtId="4">
    <oc r="D41">
      <v>235.59700000000001</v>
    </oc>
    <nc r="D41">
      <v>259.59699999999998</v>
    </nc>
  </rcc>
  <rcc rId="6813" sId="19" numFmtId="4">
    <oc r="D42">
      <v>49.496200000000002</v>
    </oc>
    <nc r="D42">
      <v>61.376199999999997</v>
    </nc>
  </rcc>
  <rdn rId="0" localSheetId="1" customView="1" name="Z_B30CE22D_C12F_4E12_8BB9_3AAE0A6991CC_.wvu.PrintArea" hidden="1" oldHidden="1">
    <formula>Консол!$A$1:$K$50</formula>
  </rdn>
  <rdn rId="0" localSheetId="1" customView="1" name="Z_B30CE22D_C12F_4E12_8BB9_3AAE0A6991CC_.wvu.Rows" hidden="1" oldHidden="1">
    <formula>Консол!$22:$22,Консол!$43:$45</formula>
  </rdn>
  <rdn rId="0" localSheetId="2" customView="1" name="Z_B30CE22D_C12F_4E12_8BB9_3AAE0A6991CC_.wvu.PrintArea" hidden="1" oldHidden="1">
    <formula>Справка!$A$1:$EY$31</formula>
  </rdn>
  <rdn rId="0" localSheetId="2" customView="1" name="Z_B30CE22D_C12F_4E12_8BB9_3AAE0A6991CC_.wvu.Rows" hidden="1" oldHidden="1">
    <formula>Справка!$33:$33</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</rdn>
  <rdn rId="0" localSheetId="6" customView="1" name="Z_B30CE22D_C12F_4E12_8BB9_3AAE0A6991CC_.wvu.PrintArea" hidden="1" oldHidden="1">
    <formula>Иль!$A$1:$F$103</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</rdn>
  <rdn rId="0" localSheetId="8" customView="1" name="Z_B30CE22D_C12F_4E12_8BB9_3AAE0A6991CC_.wvu.PrintArea" hidden="1" oldHidden="1">
    <formula>Мор!$A$1:$F$100</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</rdn>
  <rdn rId="0" localSheetId="12" customView="1" name="Z_B30CE22D_C12F_4E12_8BB9_3AAE0A6991CC_.wvu.PrintArea" hidden="1" oldHidden="1">
    <formula>Тор!$A$1:$F$101</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</rdn>
  <rdn rId="0" localSheetId="16" customView="1" name="Z_B30CE22D_C12F_4E12_8BB9_3AAE0A6991CC_.wvu.PrintArea" hidden="1" oldHidden="1">
    <formula>Юнг!$A$1:$F$99</formula>
  </rdn>
  <rdn rId="0" localSheetId="16" customView="1" name="Z_B30CE22D_C12F_4E12_8BB9_3AAE0A6991CC_.wvu.Rows" hidden="1" oldHidden="1">
    <formula>Юнг!$19:$24,Юнг!$31:$35,Юнг!$38:$38,Юнг!$46:$47,Юнг!$56:$56,Юнг!$58:$60,Юнг!$66:$68,Юнг!$76:$77,Юнг!$81:$85,Юнг!$88:$95,Юнг!$141:$141</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</rdn>
  <rdn rId="0" localSheetId="18" customView="1" name="Z_B30CE22D_C12F_4E12_8BB9_3AAE0A6991CC_.wvu.PrintArea" hidden="1" oldHidden="1">
    <formula>Яра!$A$1:$F$102</formula>
  </rdn>
  <rdn rId="0" localSheetId="18" customView="1" name="Z_B30CE22D_C12F_4E12_8BB9_3AAE0A6991CC_.wvu.Rows" hidden="1" oldHidden="1">
    <formula>Яра!$19:$24,Яра!$32:$36,Яра!$46:$50,Яра!$58:$58,Яра!$60:$62,Яра!$68:$69,Яра!$79:$80,Яра!$84:$88,Яра!$91:$98,Яра!$143:$143</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</rdn>
  <rdn rId="0" localSheetId="20" customView="1" name="Z_B30CE22D_C12F_4E12_8BB9_3AAE0A6991CC_.wvu.Rows" hidden="1" oldHidden="1">
    <formula>Лист1!$82:$84</formula>
  </rdn>
  <rcv guid="{B30CE22D-C12F-4E12-8BB9-3AAE0A6991CC}" action="add"/>
</revisions>
</file>

<file path=xl/revisions/revisionLog1241.xml><?xml version="1.0" encoding="utf-8"?>
<revisions xmlns="http://schemas.openxmlformats.org/spreadsheetml/2006/main" xmlns:r="http://schemas.openxmlformats.org/officeDocument/2006/relationships">
  <rcc rId="4518" sId="10">
    <oc r="D54" t="inlineStr">
      <is>
        <t>исполнено на 01.07.2018 г.</t>
      </is>
    </oc>
    <nc r="D54" t="inlineStr">
      <is>
        <t>исполнено на 01.08.2018 г.</t>
      </is>
    </nc>
  </rcc>
  <rcc rId="4519" sId="10">
    <oc r="D3" t="inlineStr">
      <is>
        <t>исполнен на 01.07.2018 г.</t>
      </is>
    </oc>
    <nc r="D3" t="inlineStr">
      <is>
        <t>исполнен на 01.08.2018 г.</t>
      </is>
    </nc>
  </rcc>
  <rcc rId="4520" sId="10">
    <oc r="A1" t="inlineStr">
      <is>
        <t xml:space="preserve">                     Анализ исполнения бюджета Орининского сельского поселения на 01.07.2018 г.</t>
      </is>
    </oc>
    <nc r="A1" t="inlineStr">
      <is>
        <t xml:space="preserve">                     Анализ исполнения бюджета Орининского сельского поселения на 01.08.2018 г.</t>
      </is>
    </nc>
  </rcc>
  <rcc rId="4521" sId="9">
    <oc r="D54" t="inlineStr">
      <is>
        <t>исполнено на 01.07.2018 г.</t>
      </is>
    </oc>
    <nc r="D54" t="inlineStr">
      <is>
        <t>исполнено на 01.08.2018 г.</t>
      </is>
    </nc>
  </rcc>
  <rcc rId="4522" sId="9">
    <oc r="D3" t="inlineStr">
      <is>
        <t>исполнен на 01.07.2018 г.</t>
      </is>
    </oc>
    <nc r="D3" t="inlineStr">
      <is>
        <t>исполнен на 01.08.2018 г.</t>
      </is>
    </nc>
  </rcc>
  <rcc rId="4523" sId="9">
    <oc r="A1" t="inlineStr">
      <is>
        <t xml:space="preserve">                     Анализ исполнения бюджета Москакасинского сельского поселения на 01.07.2018 г.</t>
      </is>
    </oc>
    <nc r="A1" t="inlineStr">
      <is>
        <t xml:space="preserve">                     Анализ исполнения бюджета Москакасинского сельского поселения на 01.08.2018 г.</t>
      </is>
    </nc>
  </rcc>
  <rcc rId="4524" sId="9" numFmtId="4">
    <oc r="D6">
      <v>580.54786999999999</v>
    </oc>
    <nc r="D6">
      <v>666.57579999999996</v>
    </nc>
  </rcc>
  <rcc rId="4525" sId="9" numFmtId="4">
    <oc r="D8">
      <v>138.62521000000001</v>
    </oc>
    <nc r="D8">
      <v>166.18709000000001</v>
    </nc>
  </rcc>
  <rcc rId="4526" sId="9" numFmtId="4">
    <oc r="D9">
      <v>1.0508999999999999</v>
    </oc>
    <nc r="D9">
      <v>1.36293</v>
    </nc>
  </rcc>
  <rcc rId="4527" sId="9" numFmtId="4">
    <oc r="D10">
      <v>208.99694</v>
    </oc>
    <nc r="D10">
      <v>253.21305000000001</v>
    </nc>
  </rcc>
  <rcc rId="4528" sId="9" numFmtId="4">
    <oc r="D11">
      <v>-28.802209999999999</v>
    </oc>
    <nc r="D11">
      <v>-34.975760000000001</v>
    </nc>
  </rcc>
  <rcc rId="4529" sId="9" numFmtId="4">
    <oc r="D15">
      <v>6.0961499999999997</v>
    </oc>
    <nc r="D15">
      <v>12.242660000000001</v>
    </nc>
  </rcc>
  <rcc rId="4530" sId="9" numFmtId="4">
    <oc r="D16">
      <v>691.17849000000001</v>
    </oc>
    <nc r="D16">
      <v>1206.6349600000001</v>
    </nc>
  </rcc>
  <rcc rId="4531" sId="9" numFmtId="4">
    <oc r="D18">
      <v>5.35</v>
    </oc>
    <nc r="D18">
      <v>5.95</v>
    </nc>
  </rcc>
  <rcc rId="4532" sId="9" numFmtId="4">
    <oc r="D41">
      <v>4.3460000000000001</v>
    </oc>
    <nc r="D41">
      <v>4.774</v>
    </nc>
  </rcc>
  <rcc rId="4533" sId="9" numFmtId="4">
    <oc r="D43">
      <v>135.26300000000001</v>
    </oc>
    <nc r="D43">
      <v>232.65264999999999</v>
    </nc>
  </rcc>
  <rcc rId="4534" sId="9" numFmtId="4">
    <oc r="D45">
      <v>74.343999999999994</v>
    </oc>
    <nc r="D45">
      <v>99.724000000000004</v>
    </nc>
  </rcc>
  <rcc rId="4535" sId="9" numFmtId="34">
    <oc r="D58">
      <v>818.84905000000003</v>
    </oc>
    <nc r="D58">
      <v>1007.7795</v>
    </nc>
  </rcc>
  <rcc rId="4536" sId="9" numFmtId="34">
    <oc r="D61">
      <v>0</v>
    </oc>
    <nc r="D61">
      <v>16.698</v>
    </nc>
  </rcc>
  <rcc rId="4537" sId="9" numFmtId="34">
    <oc r="D65">
      <v>68.358230000000006</v>
    </oc>
    <nc r="D65">
      <v>83.478849999999994</v>
    </nc>
  </rcc>
  <rcc rId="4538" sId="9" numFmtId="34">
    <oc r="D70">
      <v>1.2</v>
    </oc>
    <nc r="D70">
      <v>1.8</v>
    </nc>
  </rcc>
  <rcc rId="4539" sId="9" numFmtId="34">
    <oc r="D73">
      <v>205.34647000000001</v>
    </oc>
    <nc r="D73">
      <v>214.69111000000001</v>
    </nc>
  </rcc>
  <rcc rId="4540" sId="9" numFmtId="34">
    <oc r="D74">
      <v>422.69997000000001</v>
    </oc>
    <nc r="D74">
      <v>520.08961999999997</v>
    </nc>
  </rcc>
  <rcc rId="4541" sId="9" numFmtId="34">
    <oc r="D79">
      <v>381.21848999999997</v>
    </oc>
    <nc r="D79">
      <v>444.59690999999998</v>
    </nc>
  </rcc>
  <rcc rId="4542" sId="9" numFmtId="34">
    <oc r="D82">
      <v>371.9</v>
    </oc>
    <nc r="D82">
      <v>464.2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411.xml><?xml version="1.0" encoding="utf-8"?>
<revisions xmlns="http://schemas.openxmlformats.org/spreadsheetml/2006/main" xmlns:r="http://schemas.openxmlformats.org/officeDocument/2006/relationships">
  <rcc rId="4294" sId="12" numFmtId="4">
    <oc r="D42">
      <v>845.67499999999995</v>
    </oc>
    <nc r="D42">
      <v>928.93499999999995</v>
    </nc>
  </rcc>
  <rcc rId="4295" sId="12" numFmtId="4">
    <oc r="D44">
      <v>79.504000000000005</v>
    </oc>
    <nc r="D44">
      <v>237.059</v>
    </nc>
  </rcc>
  <rcc rId="4296" sId="12" numFmtId="4">
    <oc r="D45">
      <v>74.343999999999994</v>
    </oc>
    <nc r="D45">
      <v>99.724000000000004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4111.xml><?xml version="1.0" encoding="utf-8"?>
<revisions xmlns="http://schemas.openxmlformats.org/spreadsheetml/2006/main" xmlns:r="http://schemas.openxmlformats.org/officeDocument/2006/relationships">
  <rcc rId="315" sId="14" numFmtId="4">
    <oc r="D13">
      <v>37.57996</v>
    </oc>
    <nc r="D13">
      <v>69.827370000000002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Шать!$19:$19,Шать!$22:$25,Шать!$46:$49,Шать!$57:$57,Шать!$59:$61,Шать!$67:$68,Шать!$77:$78,Шать!$82:$86,Шать!$89:$96,Шать!$141:$141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25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5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511.xml><?xml version="1.0" encoding="utf-8"?>
<revisions xmlns="http://schemas.openxmlformats.org/spreadsheetml/2006/main" xmlns:r="http://schemas.openxmlformats.org/officeDocument/2006/relationships">
  <rfmt sheetId="6" sqref="C44">
    <dxf>
      <numFmt numFmtId="2" formatCode="0.00"/>
    </dxf>
  </rfmt>
  <rfmt sheetId="6" sqref="C44">
    <dxf>
      <numFmt numFmtId="184" formatCode="0.000"/>
    </dxf>
  </rfmt>
  <rfmt sheetId="6" sqref="C44">
    <dxf>
      <numFmt numFmtId="175" formatCode="0.0000"/>
    </dxf>
  </rfmt>
  <rfmt sheetId="6" sqref="C44">
    <dxf>
      <numFmt numFmtId="184" formatCode="0.000"/>
    </dxf>
  </rfmt>
  <rfmt sheetId="6" sqref="C44">
    <dxf>
      <numFmt numFmtId="2" formatCode="0.00"/>
    </dxf>
  </rfmt>
  <rfmt sheetId="6" sqref="C44">
    <dxf>
      <numFmt numFmtId="166" formatCode="0.0"/>
    </dxf>
  </rfmt>
  <rcc rId="3242" sId="6">
    <oc r="C44">
      <f>5685.10639+469+835.85</f>
    </oc>
    <nc r="C44">
      <f>5685.10639+469+835.948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512.xml><?xml version="1.0" encoding="utf-8"?>
<revisions xmlns="http://schemas.openxmlformats.org/spreadsheetml/2006/main" xmlns:r="http://schemas.openxmlformats.org/officeDocument/2006/relationships">
  <rcc rId="4645" sId="8" numFmtId="4">
    <oc r="C43">
      <v>583.03</v>
    </oc>
    <nc r="C43">
      <v>583.00300000000004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513.xml><?xml version="1.0" encoding="utf-8"?>
<revisions xmlns="http://schemas.openxmlformats.org/spreadsheetml/2006/main" xmlns:r="http://schemas.openxmlformats.org/officeDocument/2006/relationships">
  <rcc rId="9020" sId="5" numFmtId="4">
    <oc r="D6">
      <v>242.97373999999999</v>
    </oc>
    <nc r="D6">
      <v>267.31795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5131.xml><?xml version="1.0" encoding="utf-8"?>
<revisions xmlns="http://schemas.openxmlformats.org/spreadsheetml/2006/main" xmlns:r="http://schemas.openxmlformats.org/officeDocument/2006/relationships">
  <rfmt sheetId="13" sqref="H49" start="0" length="0">
    <dxf>
      <numFmt numFmtId="177" formatCode="_(* #,##0.00000_);_(* \(#,##0.00000\);_(* &quot;-&quot;??_);_(@_)"/>
    </dxf>
  </rfmt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251311.xml><?xml version="1.0" encoding="utf-8"?>
<revisions xmlns="http://schemas.openxmlformats.org/spreadsheetml/2006/main" xmlns:r="http://schemas.openxmlformats.org/officeDocument/2006/relationships">
  <rfmt sheetId="3" sqref="C1:D1048576">
    <dxf>
      <numFmt numFmtId="188" formatCode="0.00000000"/>
    </dxf>
  </rfmt>
  <rfmt sheetId="3" sqref="C1:D1048576">
    <dxf>
      <numFmt numFmtId="178" formatCode="0.0000000"/>
    </dxf>
  </rfmt>
  <rfmt sheetId="3" sqref="C1:D1048576">
    <dxf>
      <numFmt numFmtId="174" formatCode="0.000000"/>
    </dxf>
  </rfmt>
  <rfmt sheetId="3" sqref="C1:D1048576">
    <dxf>
      <numFmt numFmtId="168" formatCode="0.00000"/>
    </dxf>
  </rfmt>
  <rfmt sheetId="3" sqref="C1:D1048576">
    <dxf>
      <numFmt numFmtId="175" formatCode="0.0000"/>
    </dxf>
  </rfmt>
  <rfmt sheetId="3" sqref="C1:D1048576">
    <dxf>
      <numFmt numFmtId="184" formatCode="0.000"/>
    </dxf>
  </rfmt>
  <rfmt sheetId="3" sqref="C1:D1048576">
    <dxf>
      <numFmt numFmtId="2" formatCode="0.00"/>
    </dxf>
  </rfmt>
  <rfmt sheetId="3" sqref="C1:D1048576">
    <dxf>
      <numFmt numFmtId="166" formatCode="0.0"/>
    </dxf>
  </rfmt>
  <rcc rId="4729" sId="1">
    <oc r="A1" t="inlineStr">
      <is>
        <t>Анализ исполнения консолидированного бюджета Моргаушского районана 01.07.2018 г.</t>
      </is>
    </oc>
    <nc r="A1" t="inlineStr">
      <is>
        <t>Анализ исполнения консолидированного бюджета Моргаушского районана 01.08.2018 г.</t>
      </is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252.xml><?xml version="1.0" encoding="utf-8"?>
<revisions xmlns="http://schemas.openxmlformats.org/spreadsheetml/2006/main" xmlns:r="http://schemas.openxmlformats.org/officeDocument/2006/relationships">
  <rfmt sheetId="18" sqref="D41">
    <dxf>
      <numFmt numFmtId="2" formatCode="0.00"/>
    </dxf>
  </rfmt>
  <rfmt sheetId="18" sqref="D41">
    <dxf>
      <numFmt numFmtId="187" formatCode="0.000"/>
    </dxf>
  </rfmt>
  <rfmt sheetId="18" sqref="D41">
    <dxf>
      <numFmt numFmtId="175" formatCode="0.0000"/>
    </dxf>
  </rfmt>
  <rfmt sheetId="18" sqref="D41">
    <dxf>
      <numFmt numFmtId="168" formatCode="0.00000"/>
    </dxf>
  </rfmt>
  <rcc rId="6861" sId="18" numFmtId="4">
    <oc r="D36">
      <v>0</v>
    </oc>
    <nc r="D36">
      <v>12.99113</v>
    </nc>
  </rcc>
  <rcc rId="6862" sId="18">
    <oc r="D25">
      <f>D30+D37+D26</f>
    </oc>
    <nc r="D25">
      <f>D30+D37+D26+D35</f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26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61.xml><?xml version="1.0" encoding="utf-8"?>
<revisions xmlns="http://schemas.openxmlformats.org/spreadsheetml/2006/main" xmlns:r="http://schemas.openxmlformats.org/officeDocument/2006/relationships">
  <rcc rId="6979" sId="18" numFmtId="34">
    <oc r="D76">
      <v>292.78818999999999</v>
    </oc>
    <nc r="D76">
      <v>3472.9372100000001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2611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Кад!$19:$24,Кад!$44:$44,Кад!$56:$56,Кад!$58:$59,Кад!$66:$67,Кад!$88:$95</formula>
    <oldFormula>Кад!$19:$24,Кад!$44:$44,Кад!$56:$56,Кад!$58:$59,Кад!$66:$67,Кад!$88:$95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26111.xml><?xml version="1.0" encoding="utf-8"?>
<revisions xmlns="http://schemas.openxmlformats.org/spreadsheetml/2006/main" xmlns:r="http://schemas.openxmlformats.org/officeDocument/2006/relationships">
  <rcc rId="4570" sId="8">
    <oc r="D54" t="inlineStr">
      <is>
        <t>исполнено на 01.07.2018 г.</t>
      </is>
    </oc>
    <nc r="D54" t="inlineStr">
      <is>
        <t>исполнено на 01.08.2018 г.</t>
      </is>
    </nc>
  </rcc>
  <rcc rId="4571" sId="8">
    <oc r="D3" t="inlineStr">
      <is>
        <t>исполнен на 01.07.2018 г.</t>
      </is>
    </oc>
    <nc r="D3" t="inlineStr">
      <is>
        <t>исполнен на 01.08.2018 г.</t>
      </is>
    </nc>
  </rcc>
  <rcc rId="4572" sId="8">
    <oc r="A1" t="inlineStr">
      <is>
        <t xml:space="preserve">                     Анализ исполнения бюджета Моргаушского сельского поселения на 01.07.2018 г.</t>
      </is>
    </oc>
    <nc r="A1" t="inlineStr">
      <is>
        <t xml:space="preserve">                     Анализ исполнения бюджета Моргаушского сельского поселения на 01.08.2018 г.</t>
      </is>
    </nc>
  </rcc>
  <rcc rId="4573" sId="8" numFmtId="4">
    <oc r="D6">
      <v>769.86989000000005</v>
    </oc>
    <nc r="D6">
      <v>916.01430000000005</v>
    </nc>
  </rcc>
  <rcc rId="4574" sId="8" numFmtId="4">
    <oc r="D8">
      <v>73.337209999999999</v>
    </oc>
    <nc r="D8">
      <v>87.918340000000001</v>
    </nc>
  </rcc>
  <rcc rId="4575" sId="8" numFmtId="4">
    <oc r="D9">
      <v>0.55595000000000006</v>
    </oc>
    <nc r="D9">
      <v>0.72104000000000001</v>
    </nc>
  </rcc>
  <rcc rId="4576" sId="8" numFmtId="4">
    <oc r="D10">
      <v>110.56609</v>
    </oc>
    <nc r="D10">
      <v>133.95786000000001</v>
    </nc>
  </rcc>
  <rcc rId="4577" sId="8" numFmtId="4">
    <oc r="D11">
      <v>-15.23724</v>
    </oc>
    <nc r="D11">
      <v>-18.503270000000001</v>
    </nc>
  </rcc>
  <rcc rId="4578" sId="8" numFmtId="4">
    <oc r="D13">
      <v>75.132620000000003</v>
    </oc>
    <nc r="D13">
      <v>75.141279999999995</v>
    </nc>
  </rcc>
  <rcc rId="4579" sId="8" numFmtId="4">
    <oc r="D15">
      <v>31.30707</v>
    </oc>
    <nc r="D15">
      <v>53.876809999999999</v>
    </nc>
  </rcc>
  <rcc rId="4580" sId="8" numFmtId="4">
    <oc r="D16">
      <v>460.34307000000001</v>
    </oc>
    <nc r="D16">
      <v>657.43588</v>
    </nc>
  </rcc>
  <rcc rId="4581" sId="8" numFmtId="4">
    <oc r="D41">
      <v>2830.34</v>
    </oc>
    <nc r="D41">
      <v>3108.998</v>
    </nc>
  </rcc>
  <rcc rId="4582" sId="8" numFmtId="4">
    <oc r="D48">
      <v>122</v>
    </oc>
    <nc r="D48">
      <v>122.02269</v>
    </nc>
  </rcc>
  <rcc rId="4583" sId="8" numFmtId="4">
    <oc r="D45">
      <v>0</v>
    </oc>
    <nc r="D45">
      <v>1.3828</v>
    </nc>
  </rcc>
  <rcc rId="4584" sId="8" numFmtId="34">
    <oc r="D58">
      <v>778.32512999999994</v>
    </oc>
    <nc r="D58">
      <v>911.79267000000004</v>
    </nc>
  </rcc>
  <rcc rId="4585" sId="8" numFmtId="34">
    <oc r="D61">
      <v>0</v>
    </oc>
    <nc r="D61">
      <v>68.039000000000001</v>
    </nc>
  </rcc>
  <rcc rId="4586" sId="8" numFmtId="34">
    <oc r="C74">
      <v>1073.95217</v>
    </oc>
    <nc r="C74">
      <v>1303.2341699999999</v>
    </nc>
  </rcc>
  <rcc rId="4587" sId="8" numFmtId="34">
    <oc r="D74">
      <v>285.89436999999998</v>
    </oc>
    <nc r="D74">
      <v>297.69054</v>
    </nc>
  </rcc>
  <rcc rId="4588" sId="8" numFmtId="34">
    <oc r="D79">
      <v>1347.6141399999999</v>
    </oc>
    <nc r="D79">
      <v>1355.42614</v>
    </nc>
  </rcc>
  <rcc rId="4589" sId="8" numFmtId="34">
    <oc r="D81">
      <v>1386</v>
    </oc>
    <nc r="D81">
      <v>1584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61111.xml><?xml version="1.0" encoding="utf-8"?>
<revisions xmlns="http://schemas.openxmlformats.org/spreadsheetml/2006/main" xmlns:r="http://schemas.openxmlformats.org/officeDocument/2006/relationships">
  <rcc rId="3441" sId="19" numFmtId="4">
    <oc r="C41">
      <v>1703.097</v>
    </oc>
    <nc r="C41">
      <f>1703.097+3800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612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Але!$19:$24,Але!$44:$44,Але!$46:$46,Але!$53:$53,Але!$55:$56,Але!$63:$64,Але!$73:$74,Але!$78:$92</formula>
    <oldFormula>Але!$19:$24,Але!$44:$44,Але!$46:$46,Але!$53:$53,Але!$55:$56,Але!$63:$64,Але!$73:$74,Але!$78:$92</oldFormula>
  </rdn>
  <rdn rId="0" localSheetId="5" customView="1" name="Z_5BFCA170_DEAE_4D2C_98A0_1E68B427AC01_.wvu.Rows" hidden="1" oldHidden="1">
    <formula>Сун!$19:$24,Сун!$49:$51,Сун!$58:$58,Сун!$60:$61,Сун!$68:$69,Сун!$78:$79,Сун!$81:$84,Сун!$87:$88,Сун!$92:$96</formula>
    <oldFormula>Сун!$19:$24,Сун!$49:$51,Сун!$58:$58,Сун!$60:$61,Сун!$68:$69,Сун!$78:$79,Сун!$81:$84,Сун!$87:$88,Сун!$92:$96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Иль!$19:$24,Иль!$30:$31,Иль!$33:$33,Иль!$45:$45,Иль!$50:$50,Иль!$60:$61,Иль!$68:$69,Иль!$77:$78,Иль!$80:$80,Иль!$82:$89,Иль!$92:$96</formula>
    <oldFormula>Иль!$19:$24,Иль!$30:$31,Иль!$33:$33,Иль!$45:$45,Иль!$50:$50,Иль!$60:$61,Иль!$68:$69,Иль!$77:$78,Иль!$80:$80,Иль!$82:$89,Иль!$92:$96</oldFormula>
  </rdn>
  <rdn rId="0" localSheetId="7" customView="1" name="Z_5BFCA170_DEAE_4D2C_98A0_1E68B427AC01_.wvu.Rows" hidden="1" oldHidden="1">
    <formula>Кад!$19:$24,Кад!$44:$44,Кад!$56:$56,Кад!$58:$59,Кад!$66:$67,Кад!$82:$84,Кад!$88:$95</formula>
    <oldFormula>Кад!$19:$24,Кад!$44:$44,Кад!$56:$56,Кад!$58:$59,Кад!$66:$67,Кад!$82:$84,Кад!$88:$95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Мос!$19:$24,Мос!$44:$44,Мос!$47:$49,Мос!$57:$57,Мос!$59:$60,Мос!$67:$68,Мос!$80:$80,Мос!$82:$88,Мос!$93:$98</formula>
    <oldFormula>Мос!$19:$24,Мос!$44:$44,Мос!$47:$49,Мос!$57:$57,Мос!$59:$60,Мос!$67:$68,Мос!$80:$80,Мос!$82:$88,Мос!$93:$98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Ори!$19:$24,Ори!$32:$32,Ори!$44:$44,Ори!$48:$50,Ори!$57:$57,Ори!$59:$60,Ори!$67:$68,Ори!$77:$78,Ори!$80:$80,Ори!$82:$86,Ори!$90:$97</formula>
    <oldFormula>Ори!$19:$24,Ори!$32:$32,Ори!$44:$44,Ори!$48:$50,Ори!$57:$57,Ори!$59:$60,Ори!$67:$68,Ори!$77:$78,Ори!$80:$80,Ори!$82:$86,Ори!$90:$97</oldFormula>
  </rdn>
  <rdn rId="0" localSheetId="11" customView="1" name="Z_5BFCA170_DEAE_4D2C_98A0_1E68B427AC01_.wvu.Rows" hidden="1" oldHidden="1">
    <formula>Сят!$19:$19,Сят!$45:$47,Сят!$57:$57,Сят!$59:$60,Сят!$67:$68,Сят!$82:$85,Сят!$89:$96</formula>
    <oldFormula>Сят!$19:$19,Сят!$45:$47,Сят!$57:$57,Сят!$59:$60,Сят!$67:$68,Сят!$82:$85,Сят!$89:$96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Тор!$19:$19,Тор!$50:$50,Тор!$57:$57,Тор!$59:$60,Тор!$67:$68,Тор!$74:$74,Тор!$78:$79,Тор!$82:$93</formula>
    <oldFormula>Тор!$19:$19,Тор!$50:$50,Тор!$57:$57,Тор!$59:$60,Тор!$67:$68,Тор!$74:$74,Тор!$78:$79,Тор!$82:$93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Юсь!$20:$24,Юсь!$40:$40,Юсь!$44:$49,Юсь!$58:$58,Юсь!$60:$61,Юсь!$68:$69,Юсь!$78:$79,Юсь!$82:$87,Юсь!$90:$97</formula>
    <oldFormula>Юсь!$20:$24,Юсь!$40:$40,Юсь!$44:$49,Юсь!$58:$58,Юсь!$60:$61,Юсь!$68:$69,Юсь!$78:$79,Юсь!$82:$87,Юсь!$90:$97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Яра!$19:$24,Яра!$46:$50,Яра!$58:$58,Яра!$60:$61,Яра!$68:$69,Яра!$79:$79,Яра!$82:$88,Яра!$91:$98</formula>
    <oldFormula>Яра!$19:$24,Яра!$46:$50,Яра!$58:$58,Яра!$60:$61,Яра!$68:$69,Яра!$79:$79,Яра!$82:$88,Яра!$91:$98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Яро!$19:$24,Яро!$29:$30,Яро!$32:$32,Яро!$43:$43,Яро!$54:$54,Яро!$56:$57,Яро!$64:$65,Яро!$74:$75,Яро!$79:$84,Яро!$86:$93</formula>
    <oldFormula>Яро!$19:$24,Яро!$29:$30,Яро!$32:$32,Яро!$43:$43,Яро!$54:$54,Яро!$56:$57,Яро!$64:$65,Яро!$74:$75,Яро!$79:$84,Яро!$86:$93</oldFormula>
  </rdn>
  <rdn rId="0" localSheetId="20" customView="1" name="Z_5BFCA170_DEAE_4D2C_98A0_1E68B427AC01_.wvu.Rows" hidden="1" oldHidden="1">
    <formula>Лист1!$82:$84</formula>
    <oldFormula>Лист1!$82:$84</oldFormula>
  </rdn>
  <rcv guid="{5BFCA170-DEAE-4D2C-98A0-1E68B427AC01}" action="add"/>
</revisions>
</file>

<file path=xl/revisions/revisionLog127.xml><?xml version="1.0" encoding="utf-8"?>
<revisions xmlns="http://schemas.openxmlformats.org/spreadsheetml/2006/main" xmlns:r="http://schemas.openxmlformats.org/officeDocument/2006/relationships">
  <rcc rId="6468" sId="6" numFmtId="4">
    <oc r="D6">
      <v>53.870159999999998</v>
    </oc>
    <nc r="D6">
      <v>60.379530000000003</v>
    </nc>
  </rcc>
  <rcc rId="6469" sId="6" numFmtId="4">
    <oc r="D8">
      <v>150.10446999999999</v>
    </oc>
    <nc r="D8">
      <v>176.36641</v>
    </nc>
  </rcc>
  <rcc rId="6470" sId="6" numFmtId="4">
    <oc r="D9">
      <v>1.23106</v>
    </oc>
    <nc r="D9">
      <v>1.5111699999999999</v>
    </nc>
  </rcc>
  <rcc rId="6471" sId="6" numFmtId="4">
    <oc r="D10">
      <v>228.70854</v>
    </oc>
    <nc r="D10">
      <v>267.36774000000003</v>
    </nc>
  </rcc>
  <rcc rId="6472" sId="6" numFmtId="4">
    <oc r="D11">
      <v>-31.591049999999999</v>
    </oc>
    <nc r="D11">
      <v>-41.116779999999999</v>
    </nc>
  </rcc>
  <rcc rId="6473" sId="6" numFmtId="4">
    <oc r="D15">
      <v>24.188929999999999</v>
    </oc>
    <nc r="D15">
      <v>62.471710000000002</v>
    </nc>
  </rcc>
  <rcc rId="6474" sId="6" numFmtId="4">
    <oc r="D16">
      <v>107.68822</v>
    </oc>
    <nc r="D16">
      <v>306.84429999999998</v>
    </nc>
  </rcc>
  <rcc rId="6475" sId="6" numFmtId="4">
    <oc r="D29">
      <v>17.851050000000001</v>
    </oc>
    <nc r="D29">
      <v>20.401199999999999</v>
    </nc>
  </rcc>
  <rcc rId="6476" sId="6" numFmtId="4">
    <oc r="D42">
      <v>1344.4549999999999</v>
    </oc>
    <nc r="D42">
      <v>1464.9580000000001</v>
    </nc>
  </rcc>
  <rcc rId="6477" sId="6" numFmtId="4">
    <oc r="D44">
      <v>24.452999999999999</v>
    </oc>
    <nc r="D44">
      <v>72.200999999999993</v>
    </nc>
  </rcc>
  <rcc rId="6478" sId="6" numFmtId="4">
    <oc r="D46">
      <v>99.724999999999994</v>
    </oc>
    <nc r="D46">
      <v>125.105</v>
    </nc>
  </rcc>
  <rfmt sheetId="6" sqref="D57:D91">
    <dxf>
      <numFmt numFmtId="184" formatCode="_(* #,##0.000_);_(* \(#,##0.000\);_(* &quot;-&quot;??_);_(@_)"/>
    </dxf>
  </rfmt>
  <rfmt sheetId="6" sqref="D57:D91">
    <dxf>
      <numFmt numFmtId="165" formatCode="_(* #,##0.00_);_(* \(#,##0.00\);_(* &quot;-&quot;??_);_(@_)"/>
    </dxf>
  </rfmt>
  <rfmt sheetId="6" sqref="D57:D91">
    <dxf>
      <numFmt numFmtId="169" formatCode="_(* #,##0.0_);_(* \(#,##0.0\);_(* &quot;-&quot;??_);_(@_)"/>
    </dxf>
  </rfmt>
  <rcc rId="6479" sId="6" numFmtId="34">
    <oc r="D59">
      <v>738.87225999999998</v>
    </oc>
    <nc r="D59">
      <v>830.29337999999996</v>
    </nc>
  </rcc>
  <rcc rId="6480" sId="6" numFmtId="34">
    <oc r="D64">
      <f>3.8785+6.6</f>
    </oc>
    <nc r="D64">
      <v>25.028500000000001</v>
    </nc>
  </rcc>
  <rcc rId="6481" sId="6" numFmtId="34">
    <oc r="D66">
      <v>82.195999999999998</v>
    </oc>
    <nc r="D66">
      <v>96.731999999999999</v>
    </nc>
  </rcc>
  <rcc rId="6482" sId="6" numFmtId="34">
    <oc r="D75">
      <v>150.25200000000001</v>
    </oc>
    <nc r="D75">
      <v>198</v>
    </nc>
  </rcc>
  <rcc rId="6483" sId="6" numFmtId="34">
    <oc r="D82">
      <v>133.81156999999999</v>
    </oc>
    <nc r="D82">
      <v>135.43883</v>
    </nc>
  </rcc>
  <rcc rId="6484" sId="6" numFmtId="34">
    <oc r="D84">
      <v>564.90153999999995</v>
    </oc>
    <nc r="D84">
      <v>894.90153999999995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71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Але!$19:$24,Але!$44:$44,Але!$46:$46,Але!$53:$53,Але!$55:$56,Але!$63:$64,Але!$73:$74,Але!$78:$92</formula>
    <oldFormula>Але!$19:$24,Але!$44:$44,Але!$46:$46,Але!$53:$53,Але!$55:$56,Але!$63:$64,Але!$73:$74,Але!$78:$92</oldFormula>
  </rdn>
  <rdn rId="0" localSheetId="5" customView="1" name="Z_5BFCA170_DEAE_4D2C_98A0_1E68B427AC01_.wvu.Rows" hidden="1" oldHidden="1">
    <formula>Сун!$19:$24,Сун!$49:$51,Сун!$58:$58,Сун!$60:$61,Сун!$68:$69,Сун!$78:$79,Сун!$81:$84,Сун!$87:$88,Сун!$92:$96</formula>
    <oldFormula>Сун!$19:$24,Сун!$49:$51,Сун!$58:$58,Сун!$60:$61,Сун!$68:$69,Сун!$78:$79,Сун!$81:$84,Сун!$87:$88,Сун!$92:$96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Иль!$19:$24,Иль!$30:$31,Иль!$33:$33,Иль!$45:$45,Иль!$50:$50,Иль!$60:$61,Иль!$68:$69,Иль!$77:$78,Иль!$80:$80,Иль!$82:$89,Иль!$92:$96</formula>
    <oldFormula>Иль!$19:$24,Иль!$30:$31,Иль!$33:$33,Иль!$45:$45,Иль!$50:$50,Иль!$60:$61,Иль!$68:$69,Иль!$77:$78,Иль!$80:$80,Иль!$82:$89,Иль!$92:$96</oldFormula>
  </rdn>
  <rdn rId="0" localSheetId="7" customView="1" name="Z_5BFCA170_DEAE_4D2C_98A0_1E68B427AC01_.wvu.Rows" hidden="1" oldHidden="1">
    <formula>Кад!$19:$24,Кад!$44:$44,Кад!$56:$56,Кад!$58:$59,Кад!$66:$67,Кад!$82:$84,Кад!$88:$95</formula>
    <oldFormula>Кад!$19:$24,Кад!$44:$44,Кад!$56:$56,Кад!$58:$59,Кад!$66:$67,Кад!$82:$84,Кад!$88:$95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Мос!$19:$24,Мос!$44:$44,Мос!$47:$49,Мос!$57:$57,Мос!$59:$60,Мос!$67:$68,Мос!$80:$80,Мос!$82:$88,Мос!$93:$98</formula>
    <oldFormula>Мос!$19:$24,Мос!$44:$44,Мос!$47:$49,Мос!$57:$57,Мос!$59:$60,Мос!$67:$68,Мос!$80:$80,Мос!$82:$88,Мос!$93:$98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Ори!$19:$24,Ори!$32:$32,Ори!$44:$44,Ори!$48:$50,Ори!$57:$57,Ори!$59:$60,Ори!$67:$68,Ори!$77:$78,Ори!$80:$80,Ори!$82:$86,Ори!$90:$97</formula>
    <oldFormula>Ори!$19:$24,Ори!$32:$32,Ори!$44:$44,Ори!$48:$50,Ори!$57:$57,Ори!$59:$60,Ори!$67:$68,Ори!$77:$78,Ори!$80:$80,Ори!$82:$86,Ори!$90:$97</oldFormula>
  </rdn>
  <rdn rId="0" localSheetId="11" customView="1" name="Z_5BFCA170_DEAE_4D2C_98A0_1E68B427AC01_.wvu.Rows" hidden="1" oldHidden="1">
    <formula>Сят!$19:$19,Сят!$45:$47,Сят!$57:$57,Сят!$59:$60,Сят!$67:$68,Сят!$82:$85,Сят!$89:$96</formula>
    <oldFormula>Сят!$19:$19,Сят!$45:$47,Сят!$57:$57,Сят!$59:$60,Сят!$67:$68,Сят!$82:$85,Сят!$89:$96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Тор!$19:$19,Тор!$50:$50,Тор!$57:$57,Тор!$59:$60,Тор!$67:$68,Тор!$74:$74,Тор!$78:$79,Тор!$82:$93</formula>
    <oldFormula>Тор!$19:$19,Тор!$50:$50,Тор!$57:$57,Тор!$59:$60,Тор!$67:$68,Тор!$74:$74,Тор!$78:$79,Тор!$82:$93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Юсь!$20:$24,Юсь!$40:$40,Юсь!$44:$49,Юсь!$58:$58,Юсь!$60:$61,Юсь!$68:$69,Юсь!$78:$79,Юсь!$82:$87,Юсь!$90:$97</formula>
    <oldFormula>Юсь!$20:$24,Юсь!$40:$40,Юсь!$44:$49,Юсь!$58:$58,Юсь!$60:$61,Юсь!$68:$69,Юсь!$78:$79,Юсь!$82:$87,Юсь!$90:$97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Яра!$19:$24,Яра!$46:$50,Яра!$58:$58,Яра!$60:$61,Яра!$68:$69,Яра!$79:$79,Яра!$82:$88,Яра!$91:$98</formula>
    <oldFormula>Яра!$19:$24,Яра!$46:$50,Яра!$58:$58,Яра!$60:$61,Яра!$68:$69,Яра!$79:$79,Яра!$82:$88,Яра!$91:$98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Яро!$19:$24,Яро!$29:$30,Яро!$32:$32,Яро!$43:$43,Яро!$54:$54,Яро!$56:$57,Яро!$64:$65,Яро!$74:$75,Яро!$79:$84,Яро!$86:$93</formula>
    <oldFormula>Яро!$19:$24,Яро!$29:$30,Яро!$32:$32,Яро!$43:$43,Яро!$54:$54,Яро!$56:$57,Яро!$64:$65,Яро!$74:$75,Яро!$79:$84,Яро!$86:$93</oldFormula>
  </rdn>
  <rdn rId="0" localSheetId="20" customView="1" name="Z_5BFCA170_DEAE_4D2C_98A0_1E68B427AC01_.wvu.Rows" hidden="1" oldHidden="1">
    <formula>Лист1!$82:$84</formula>
    <oldFormula>Лист1!$82:$84</oldFormula>
  </rdn>
  <rcv guid="{5BFCA170-DEAE-4D2C-98A0-1E68B427AC01}" action="add"/>
</revisions>
</file>

<file path=xl/revisions/revisionLog12711.xml><?xml version="1.0" encoding="utf-8"?>
<revisions xmlns="http://schemas.openxmlformats.org/spreadsheetml/2006/main" xmlns:r="http://schemas.openxmlformats.org/officeDocument/2006/relationships">
  <rcc rId="4757" sId="7">
    <oc r="D53" t="inlineStr">
      <is>
        <t>исполнено на 01.07.2018 г.</t>
      </is>
    </oc>
    <nc r="D53" t="inlineStr">
      <is>
        <t>исполнено на 01.08.2018 г.</t>
      </is>
    </nc>
  </rcc>
  <rcc rId="4758" sId="7">
    <oc r="D3" t="inlineStr">
      <is>
        <t>исполнен на 01.07.2018 г.</t>
      </is>
    </oc>
    <nc r="D3" t="inlineStr">
      <is>
        <t>исполнен на 01.08.2018 г.</t>
      </is>
    </nc>
  </rcc>
  <rcc rId="4759" sId="7">
    <oc r="A1" t="inlineStr">
      <is>
        <t xml:space="preserve">                     Анализ исполнения бюджета Кадикасинского сельского поселения на 01.07.2018 г.</t>
      </is>
    </oc>
    <nc r="A1" t="inlineStr">
      <is>
        <t xml:space="preserve">                     Анализ исполнения бюджета Кадикасинского сельского поселения на 01.08.2018 г.</t>
      </is>
    </nc>
  </rcc>
  <rcc rId="4760" sId="7" numFmtId="34">
    <oc r="D6">
      <v>199.26757000000001</v>
    </oc>
    <nc r="D6">
      <v>231.94396</v>
    </nc>
  </rcc>
  <rcc rId="4761" sId="7" numFmtId="34">
    <oc r="D8">
      <v>149.35749000000001</v>
    </oc>
    <nc r="D8">
      <v>179.05319</v>
    </nc>
  </rcc>
  <rcc rId="4762" sId="7" numFmtId="34">
    <oc r="D9">
      <v>1.13225</v>
    </oc>
    <nc r="D9">
      <v>1.4684600000000001</v>
    </nc>
  </rcc>
  <rcc rId="4763" sId="7" numFmtId="34">
    <oc r="D10">
      <v>225.17728</v>
    </oc>
    <nc r="D10">
      <v>272.81662</v>
    </nc>
  </rcc>
  <rcc rId="4764" sId="7" numFmtId="4">
    <oc r="D11">
      <v>-31.032060000000001</v>
    </oc>
    <nc r="D11">
      <v>-37.683619999999998</v>
    </nc>
  </rcc>
  <rcc rId="4765" sId="7" numFmtId="34">
    <oc r="D13">
      <f>27.7653+0.39743</f>
    </oc>
    <nc r="D13">
      <v>28.16273</v>
    </nc>
  </rcc>
  <rcc rId="4766" sId="7" numFmtId="34">
    <oc r="D15">
      <v>19.993780000000001</v>
    </oc>
    <nc r="D15">
      <v>24.65945</v>
    </nc>
  </rcc>
  <rcc rId="4767" sId="7" numFmtId="34">
    <oc r="D16">
      <v>437.21969999999999</v>
    </oc>
    <nc r="D16">
      <v>684.88558999999998</v>
    </nc>
  </rcc>
  <rcc rId="4768" sId="7" numFmtId="34">
    <oc r="D18">
      <v>15.5</v>
    </oc>
    <nc r="D18">
      <v>18.3</v>
    </nc>
  </rcc>
  <rcc rId="4769" sId="7" numFmtId="34">
    <oc r="D30">
      <v>7.67354</v>
    </oc>
    <nc r="D30">
      <v>17.34844</v>
    </nc>
  </rcc>
  <rcc rId="4770" sId="7" numFmtId="34">
    <oc r="D41">
      <v>664.91600000000005</v>
    </oc>
    <nc r="D41">
      <v>730.37900000000002</v>
    </nc>
  </rcc>
  <rcc rId="4771" sId="7" numFmtId="34">
    <oc r="C43">
      <v>1190.3900000000001</v>
    </oc>
    <nc r="C43">
      <v>1190.44364</v>
    </nc>
  </rcc>
  <rcc rId="4772" sId="7" numFmtId="34">
    <oc r="D47">
      <v>0</v>
    </oc>
    <nc r="D47">
      <v>223.82599999999999</v>
    </nc>
  </rcc>
  <rcc rId="4773" sId="7" numFmtId="34">
    <oc r="D45">
      <v>74.343999999999994</v>
    </oc>
    <nc r="D45">
      <v>100.7611</v>
    </nc>
  </rcc>
  <rcc rId="4774" sId="7" numFmtId="34">
    <oc r="D57">
      <v>672.47707000000003</v>
    </oc>
    <nc r="D57">
      <v>854.70956999999999</v>
    </nc>
  </rcc>
  <rcc rId="4775" sId="7" numFmtId="34">
    <oc r="D64">
      <v>54.826630000000002</v>
    </oc>
    <nc r="D64">
      <v>69.412149999999997</v>
    </nc>
  </rcc>
  <rcc rId="4776" sId="7" numFmtId="34">
    <oc r="D69">
      <v>0.6</v>
    </oc>
    <nc r="D69">
      <v>1.2</v>
    </nc>
  </rcc>
  <rcc rId="4777" sId="7" numFmtId="34">
    <oc r="D71">
      <v>2.7210000000000001</v>
    </oc>
    <nc r="D71">
      <v>3.75</v>
    </nc>
  </rcc>
  <rcc rId="4778" sId="7" numFmtId="34">
    <oc r="D72">
      <v>298.41552000000001</v>
    </oc>
    <nc r="D72">
      <v>332.91552000000001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7111.xml><?xml version="1.0" encoding="utf-8"?>
<revisions xmlns="http://schemas.openxmlformats.org/spreadsheetml/2006/main" xmlns:r="http://schemas.openxmlformats.org/officeDocument/2006/relationships">
  <rcc rId="4111" sId="15" numFmtId="4">
    <oc r="D6">
      <v>14.943250000000001</v>
    </oc>
    <nc r="D6">
      <v>18.85566</v>
    </nc>
  </rcc>
  <rcc rId="4112" sId="15" numFmtId="4">
    <oc r="D8">
      <v>67.523889999999994</v>
    </oc>
    <nc r="D8">
      <v>80.949190000000002</v>
    </nc>
  </rcc>
  <rcc rId="4113" sId="15" numFmtId="4">
    <oc r="D9">
      <v>0.51192000000000004</v>
    </oc>
    <nc r="D9">
      <v>0.66388999999999998</v>
    </nc>
  </rcc>
  <rcc rId="4114" sId="15" numFmtId="4">
    <oc r="D10">
      <v>101.80171</v>
    </oc>
    <nc r="D10">
      <v>123.33923</v>
    </nc>
  </rcc>
  <rcc rId="4115" sId="15" numFmtId="4">
    <oc r="D11">
      <v>-14.02943</v>
    </oc>
    <nc r="D11">
      <v>-17.036539999999999</v>
    </nc>
  </rcc>
  <rcc rId="4116" sId="15" numFmtId="4">
    <oc r="D15">
      <v>3.6221100000000002</v>
    </oc>
    <nc r="D15">
      <v>7.1638299999999999</v>
    </nc>
  </rcc>
  <rcc rId="4117" sId="15" numFmtId="4">
    <oc r="D16">
      <v>22.8521</v>
    </oc>
    <nc r="D16">
      <v>43.003819999999997</v>
    </nc>
  </rcc>
  <rcc rId="4118" sId="15" numFmtId="4">
    <oc r="D28">
      <v>13.005599999999999</v>
    </oc>
    <nc r="D28">
      <v>15.1732</v>
    </nc>
  </rcc>
  <rcc rId="4119" sId="15" numFmtId="4">
    <oc r="D30">
      <v>6.5733199999999998</v>
    </oc>
    <nc r="D30">
      <v>21.386410000000001</v>
    </nc>
  </rcc>
  <rcc rId="4120" sId="15" numFmtId="4">
    <oc r="D42">
      <v>761.779</v>
    </oc>
    <nc r="D42">
      <v>836.779</v>
    </nc>
  </rcc>
  <rcc rId="4121" sId="15" numFmtId="4">
    <oc r="C44">
      <v>725.12</v>
    </oc>
    <nc r="C44">
      <v>725.07</v>
    </nc>
  </rcc>
  <rcc rId="4122" sId="15" numFmtId="4">
    <oc r="D45">
      <v>35.545999999999999</v>
    </oc>
    <nc r="D45">
      <v>48.463099999999997</v>
    </nc>
  </rcc>
  <rcc rId="4123" sId="15" numFmtId="34">
    <oc r="D58">
      <v>511.92984999999999</v>
    </oc>
    <nc r="D58">
      <v>583.33378000000005</v>
    </nc>
  </rcc>
  <rcc rId="4124" sId="15" numFmtId="34">
    <oc r="D61">
      <v>0</v>
    </oc>
    <nc r="D61">
      <v>32.152000000000001</v>
    </nc>
  </rcc>
  <rcc rId="4125" sId="15" numFmtId="34">
    <oc r="D65">
      <v>33.630549999999999</v>
    </oc>
    <nc r="D65">
      <v>40.899059999999999</v>
    </nc>
  </rcc>
  <rcc rId="4126" sId="15" numFmtId="34">
    <oc r="D72">
      <v>2.8</v>
    </oc>
    <nc r="D72">
      <v>3.75</v>
    </nc>
  </rcc>
  <rcc rId="4127" sId="15" numFmtId="34">
    <oc r="D73">
      <v>5.6929699999999999</v>
    </oc>
    <nc r="D73">
      <v>23.57723</v>
    </nc>
  </rcc>
  <rcc rId="4128" sId="15" numFmtId="34">
    <oc r="C74">
      <v>1130.08653</v>
    </oc>
    <nc r="C74">
      <v>1130.0365300000001</v>
    </nc>
  </rcc>
  <rcc rId="4129" sId="15" numFmtId="34">
    <oc r="D74">
      <v>192.31038000000001</v>
    </oc>
    <nc r="D74">
      <v>385.42703999999998</v>
    </nc>
  </rcc>
  <rcc rId="4130" sId="15" numFmtId="34">
    <oc r="D81">
      <v>333.70299999999997</v>
    </oc>
    <nc r="D81">
      <v>389.70299999999997</v>
    </nc>
  </rcc>
  <rcc rId="4131" sId="14">
    <oc r="D54" t="inlineStr">
      <is>
        <t>исполнено на 01.07.2018 г.</t>
      </is>
    </oc>
    <nc r="D54" t="inlineStr">
      <is>
        <t>исполнено на 01.08.2018 г.</t>
      </is>
    </nc>
  </rcc>
  <rcc rId="4132" sId="14">
    <oc r="D3" t="inlineStr">
      <is>
        <t>исполнен на 01.07.2018 г.</t>
      </is>
    </oc>
    <nc r="D3" t="inlineStr">
      <is>
        <t>исполнен на 01.08.2018 г.</t>
      </is>
    </nc>
  </rcc>
  <rcc rId="4133" sId="14">
    <oc r="A1" t="inlineStr">
      <is>
        <t xml:space="preserve">                     Анализ исполнения бюджета Чуманкасинского сельского поселения на 01.07.2018 г.</t>
      </is>
    </oc>
    <nc r="A1" t="inlineStr">
      <is>
        <t xml:space="preserve">                     Анализ исполнения бюджета Чуманкасинского сельского поселения на 01.08.2018 г.</t>
      </is>
    </nc>
  </rcc>
  <rcc rId="4134" sId="14" numFmtId="4">
    <oc r="D6">
      <v>37.602460000000001</v>
    </oc>
    <nc r="D6">
      <v>46.679470000000002</v>
    </nc>
  </rcc>
  <rcc rId="4135" sId="14" numFmtId="4">
    <oc r="D8">
      <v>65.735219999999998</v>
    </oc>
    <nc r="D8">
      <v>78.80489</v>
    </nc>
  </rcc>
  <rcc rId="4136" sId="14" numFmtId="4">
    <oc r="D9">
      <v>0.49836999999999998</v>
    </oc>
    <nc r="D9">
      <v>0.64632000000000001</v>
    </nc>
  </rcc>
  <rcc rId="4137" sId="14" numFmtId="4">
    <oc r="D10">
      <v>99.104950000000002</v>
    </oc>
    <nc r="D10">
      <v>120.07195</v>
    </nc>
  </rcc>
  <rcc rId="4138" sId="14" numFmtId="4">
    <oc r="D11">
      <v>-13.657819999999999</v>
    </oc>
    <nc r="D11">
      <v>-16.585280000000001</v>
    </nc>
  </rcc>
  <rcc rId="4139" sId="14" numFmtId="4">
    <oc r="D15">
      <v>2.7284000000000002</v>
    </oc>
    <nc r="D15">
      <v>6.7780100000000001</v>
    </nc>
  </rcc>
  <rcc rId="4140" sId="14" numFmtId="4">
    <oc r="D16">
      <v>80.930599999999998</v>
    </oc>
    <nc r="D16">
      <v>109.15412000000001</v>
    </nc>
  </rcc>
  <rcc rId="4141" sId="14" numFmtId="4">
    <oc r="D18">
      <v>6.6</v>
    </oc>
    <nc r="D18">
      <v>7</v>
    </nc>
  </rcc>
  <rcc rId="4142" sId="14" numFmtId="4">
    <oc r="D30">
      <v>16.19961</v>
    </oc>
    <nc r="D30">
      <v>17.75225</v>
    </nc>
  </rcc>
  <rfmt sheetId="14" sqref="C42">
    <dxf>
      <numFmt numFmtId="2" formatCode="0.00"/>
    </dxf>
  </rfmt>
  <rfmt sheetId="14" sqref="C42">
    <dxf>
      <numFmt numFmtId="187" formatCode="0.000"/>
    </dxf>
  </rfmt>
  <rfmt sheetId="14" sqref="C42">
    <dxf>
      <numFmt numFmtId="2" formatCode="0.00"/>
    </dxf>
  </rfmt>
  <rfmt sheetId="14" sqref="C42">
    <dxf>
      <numFmt numFmtId="166" formatCode="0.0"/>
    </dxf>
  </rfmt>
  <rcc rId="4143" sId="14" numFmtId="4">
    <oc r="D42">
      <v>1195.106</v>
    </oc>
    <nc r="D42">
      <v>1312.769</v>
    </nc>
  </rcc>
  <rcc rId="4144" sId="14" numFmtId="4">
    <oc r="D45">
      <v>35.545999999999999</v>
    </oc>
    <nc r="D45">
      <v>48.463099999999997</v>
    </nc>
  </rcc>
  <rcc rId="4145" sId="14" numFmtId="34">
    <oc r="D58">
      <v>564.85103000000004</v>
    </oc>
    <nc r="D58">
      <v>700.36365000000001</v>
    </nc>
  </rcc>
  <rcc rId="4146" sId="14" numFmtId="34">
    <oc r="D65">
      <v>34.226469999999999</v>
    </oc>
    <nc r="D65">
      <v>43.778379999999999</v>
    </nc>
  </rcc>
  <rcc rId="4147" sId="14" numFmtId="34">
    <oc r="D70">
      <v>0.85</v>
    </oc>
    <nc r="D70">
      <v>1.45</v>
    </nc>
  </rcc>
  <rcc rId="4148" sId="14" numFmtId="34">
    <oc r="D72">
      <v>0</v>
    </oc>
    <nc r="D72">
      <v>3.75</v>
    </nc>
  </rcc>
  <rcc rId="4149" sId="14" numFmtId="34">
    <oc r="D73">
      <v>62.168340000000001</v>
    </oc>
    <nc r="D73">
      <v>66.377120000000005</v>
    </nc>
  </rcc>
  <rcc rId="4150" sId="14" numFmtId="34">
    <oc r="D79">
      <v>270.50054</v>
    </oc>
    <nc r="D79">
      <v>274.29826000000003</v>
    </nc>
  </rcc>
  <rcc rId="4151" sId="14" numFmtId="34">
    <oc r="D81">
      <v>436.404</v>
    </oc>
    <nc r="D81">
      <v>509.13799999999998</v>
    </nc>
  </rcc>
  <rcc rId="4152" sId="13">
    <oc r="D52" t="inlineStr">
      <is>
        <t>исполнено на 01.07.2018 г.</t>
      </is>
    </oc>
    <nc r="D52" t="inlineStr">
      <is>
        <t>исполнено на 01.08.2018 г.</t>
      </is>
    </nc>
  </rcc>
  <rcc rId="4153" sId="13">
    <oc r="D3" t="inlineStr">
      <is>
        <t>исполнен на 01.07.2018 г.</t>
      </is>
    </oc>
    <nc r="D3" t="inlineStr">
      <is>
        <t>исполнен на 01.08.2018 г.</t>
      </is>
    </nc>
  </rcc>
  <rcc rId="4154" sId="13">
    <oc r="A1" t="inlineStr">
      <is>
        <t xml:space="preserve">                     Анализ исполнения бюджета Хорнойского сельского поселения на 01.07.2018 г.</t>
      </is>
    </oc>
    <nc r="A1" t="inlineStr">
      <is>
        <t xml:space="preserve">                     Анализ исполнения бюджета Хорнойского сельского поселения на 01.08.2018 г.</t>
      </is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8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81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Але!$19:$24,Але!$44:$44,Але!$46:$46,Але!$53:$53,Але!$55:$56,Але!$63:$64,Але!$73:$74,Але!$78:$92</formula>
    <oldFormula>Але!$19:$24,Але!$44:$44,Але!$46:$46,Але!$53:$53,Але!$55:$56,Але!$63:$64,Але!$73:$74,Але!$78:$92</oldFormula>
  </rdn>
  <rdn rId="0" localSheetId="5" customView="1" name="Z_5BFCA170_DEAE_4D2C_98A0_1E68B427AC01_.wvu.Rows" hidden="1" oldHidden="1">
    <formula>Сун!$19:$24,Сун!$49:$51,Сун!$58:$58,Сун!$60:$61,Сун!$68:$69,Сун!$78:$79,Сун!$81:$84,Сун!$87:$88,Сун!$92:$96</formula>
    <oldFormula>Сун!$19:$24,Сун!$49:$51,Сун!$58:$58,Сун!$60:$61,Сун!$68:$69,Сун!$78:$79,Сун!$81:$84,Сун!$87:$88,Сун!$92:$96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Иль!$19:$24,Иль!$30:$31,Иль!$33:$33,Иль!$45:$45,Иль!$50:$50,Иль!$60:$61,Иль!$68:$69,Иль!$77:$78,Иль!$80:$80,Иль!$82:$89,Иль!$92:$96</formula>
    <oldFormula>Иль!$19:$24,Иль!$30:$31,Иль!$33:$33,Иль!$45:$45,Иль!$50:$50,Иль!$60:$61,Иль!$68:$69,Иль!$77:$78,Иль!$80:$80,Иль!$82:$89,Иль!$92:$96</oldFormula>
  </rdn>
  <rdn rId="0" localSheetId="7" customView="1" name="Z_5BFCA170_DEAE_4D2C_98A0_1E68B427AC01_.wvu.Rows" hidden="1" oldHidden="1">
    <formula>Кад!$19:$24,Кад!$44:$44,Кад!$56:$56,Кад!$58:$59,Кад!$66:$67,Кад!$82:$84,Кад!$88:$95</formula>
    <oldFormula>Кад!$19:$24,Кад!$44:$44,Кад!$56:$56,Кад!$58:$59,Кад!$66:$67,Кад!$82:$84,Кад!$88:$95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Мос!$19:$24,Мос!$44:$44,Мос!$47:$49,Мос!$57:$57,Мос!$59:$60,Мос!$67:$68,Мос!$80:$80,Мос!$82:$88,Мос!$93:$98</formula>
    <oldFormula>Мос!$19:$24,Мос!$44:$44,Мос!$47:$49,Мос!$57:$57,Мос!$59:$60,Мос!$67:$68,Мос!$80:$80,Мос!$82:$88,Мос!$93:$98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Ори!$19:$24,Ори!$32:$32,Ори!$44:$44,Ори!$48:$50,Ори!$57:$57,Ори!$59:$60,Ори!$67:$68,Ори!$77:$78,Ори!$80:$80,Ори!$82:$86,Ори!$90:$97</formula>
    <oldFormula>Ори!$19:$24,Ори!$32:$32,Ори!$44:$44,Ори!$48:$50,Ори!$57:$57,Ори!$59:$60,Ори!$67:$68,Ори!$77:$78,Ори!$80:$80,Ори!$82:$86,Ори!$90:$97</oldFormula>
  </rdn>
  <rdn rId="0" localSheetId="11" customView="1" name="Z_5BFCA170_DEAE_4D2C_98A0_1E68B427AC01_.wvu.Rows" hidden="1" oldHidden="1">
    <formula>Сят!$19:$19,Сят!$45:$47,Сят!$57:$57,Сят!$59:$60,Сят!$67:$68,Сят!$82:$85,Сят!$89:$96</formula>
    <oldFormula>Сят!$19:$19,Сят!$45:$47,Сят!$57:$57,Сят!$59:$60,Сят!$67:$68,Сят!$82:$85,Сят!$89:$96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Тор!$19:$19,Тор!$50:$50,Тор!$57:$57,Тор!$59:$60,Тор!$67:$68,Тор!$74:$74,Тор!$78:$79,Тор!$82:$93</formula>
    <oldFormula>Тор!$19:$19,Тор!$50:$50,Тор!$57:$57,Тор!$59:$60,Тор!$67:$68,Тор!$74:$74,Тор!$78:$79,Тор!$82:$93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Юсь!$20:$24,Юсь!$40:$40,Юсь!$44:$49,Юсь!$58:$58,Юсь!$60:$61,Юсь!$68:$69,Юсь!$78:$79,Юсь!$82:$87,Юсь!$90:$97</formula>
    <oldFormula>Юсь!$20:$24,Юсь!$40:$40,Юсь!$44:$49,Юсь!$58:$58,Юсь!$60:$61,Юсь!$68:$69,Юсь!$78:$79,Юсь!$82:$87,Юсь!$90:$97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Яра!$19:$24,Яра!$46:$50,Яра!$58:$58,Яра!$60:$61,Яра!$68:$69,Яра!$79:$79,Яра!$82:$88,Яра!$91:$98</formula>
    <oldFormula>Яра!$19:$24,Яра!$46:$50,Яра!$58:$58,Яра!$60:$61,Яра!$68:$69,Яра!$79:$79,Яра!$82:$88,Яра!$91:$98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Яро!$19:$24,Яро!$29:$30,Яро!$32:$32,Яро!$43:$43,Яро!$54:$54,Яро!$56:$57,Яро!$64:$65,Яро!$74:$75,Яро!$79:$84,Яро!$86:$93</formula>
    <oldFormula>Яро!$19:$24,Яро!$29:$30,Яро!$32:$32,Яро!$43:$43,Яро!$54:$54,Яро!$56:$57,Яро!$64:$65,Яро!$74:$75,Яро!$79:$84,Яро!$86:$93</oldFormula>
  </rdn>
  <rdn rId="0" localSheetId="20" customView="1" name="Z_5BFCA170_DEAE_4D2C_98A0_1E68B427AC01_.wvu.Rows" hidden="1" oldHidden="1">
    <formula>Лист1!$82:$84</formula>
    <oldFormula>Лист1!$82:$84</oldFormula>
  </rdn>
  <rcv guid="{5BFCA170-DEAE-4D2C-98A0-1E68B427AC01}" action="add"/>
</revisions>
</file>

<file path=xl/revisions/revisionLog12811.xml><?xml version="1.0" encoding="utf-8"?>
<revisions xmlns="http://schemas.openxmlformats.org/spreadsheetml/2006/main" xmlns:r="http://schemas.openxmlformats.org/officeDocument/2006/relationships">
  <rcc rId="5807" sId="1">
    <oc r="E26">
      <f>D26/C26*100</f>
    </oc>
    <nc r="E26"/>
  </rcc>
  <rcc rId="5808" sId="1">
    <oc r="H26">
      <f>G26/F26*100</f>
    </oc>
    <nc r="H26"/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Кад!$19:$24,Кад!$44:$44,Кад!$56:$56,Кад!$58:$59,Кад!$66:$67,Кад!$88:$95</formula>
    <oldFormula>Кад!$19:$24,Кад!$44:$44,Кад!$56:$56,Кад!$58:$59,Кад!$66:$67,Кад!$88:$95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28111.xml><?xml version="1.0" encoding="utf-8"?>
<revisions xmlns="http://schemas.openxmlformats.org/spreadsheetml/2006/main" xmlns:r="http://schemas.openxmlformats.org/officeDocument/2006/relationships">
  <rcc rId="4324" sId="12" numFmtId="4">
    <oc r="C44">
      <v>802.58</v>
    </oc>
    <nc r="C44">
      <v>802.53499999999997</v>
    </nc>
  </rcc>
  <rcc rId="4325" sId="12" numFmtId="34">
    <oc r="D58">
      <v>468.96856000000002</v>
    </oc>
    <nc r="D58">
      <v>550.63148999999999</v>
    </nc>
  </rcc>
  <rcc rId="4326" sId="12" numFmtId="34">
    <oc r="D65">
      <v>67.228449999999995</v>
    </oc>
    <nc r="D65">
      <v>84.568089999999998</v>
    </nc>
  </rcc>
  <rcc rId="4327" sId="12" numFmtId="34">
    <oc r="D73">
      <v>122.87477</v>
    </oc>
    <nc r="D73">
      <v>218.94194999999999</v>
    </nc>
  </rcc>
  <rcc rId="4328" sId="12" numFmtId="34">
    <oc r="C75">
      <v>1814.5672300000001</v>
    </oc>
    <nc r="C75">
      <v>1814.52223</v>
    </nc>
  </rcc>
  <rcc rId="4329" sId="12" numFmtId="34">
    <oc r="D75">
      <v>479.24885999999998</v>
    </oc>
    <nc r="D75">
      <v>639.69236999999998</v>
    </nc>
  </rcc>
  <rcc rId="4330" sId="12" numFmtId="34">
    <oc r="D80">
      <v>166.15482</v>
    </oc>
    <nc r="D80">
      <v>201.29768000000001</v>
    </nc>
  </rcc>
  <rcc rId="4331" sId="12" numFmtId="34">
    <oc r="D82">
      <v>685.29499999999996</v>
    </oc>
    <nc r="D82">
      <v>701.46</v>
    </nc>
  </rcc>
  <rcc rId="4332" sId="12" numFmtId="34">
    <oc r="D97">
      <v>0</v>
    </oc>
    <nc r="D97">
      <v>10</v>
    </nc>
  </rcc>
  <rfmt sheetId="12" sqref="D96:F96" start="0" length="2147483647">
    <dxf>
      <font>
        <b/>
      </font>
    </dxf>
  </rfmt>
  <rfmt sheetId="12" sqref="D97">
    <dxf>
      <numFmt numFmtId="169" formatCode="_(* #,##0.0_);_(* \(#,##0.0\);_(* &quot;-&quot;??_);_(@_)"/>
    </dxf>
  </rfmt>
  <rcc rId="4333" sId="12" numFmtId="34">
    <oc r="D61">
      <v>0</v>
    </oc>
    <nc r="D61">
      <v>16.561</v>
    </nc>
  </rcc>
  <rcc rId="4334" sId="11">
    <oc r="D54" t="inlineStr">
      <is>
        <t>исполнено на 01.07.2018 г.</t>
      </is>
    </oc>
    <nc r="D54" t="inlineStr">
      <is>
        <t>исполнено на 01.08.2018 г.</t>
      </is>
    </nc>
  </rcc>
  <rcc rId="4335" sId="11">
    <oc r="D3" t="inlineStr">
      <is>
        <t>исполнен на 01.07.2018 г.</t>
      </is>
    </oc>
    <nc r="D3" t="inlineStr">
      <is>
        <t>исполнен на 01.08.2018 г.</t>
      </is>
    </nc>
  </rcc>
  <rcc rId="4336" sId="11">
    <oc r="A1" t="inlineStr">
      <is>
        <t xml:space="preserve">                     Анализ исполнения бюджета Сятракасинского сельского поселения на 01.07.2018 г.</t>
      </is>
    </oc>
    <nc r="A1" t="inlineStr">
      <is>
        <t xml:space="preserve">                     Анализ исполнения бюджета Сятракасинского сельского поселения на 01.08.2018 г.</t>
      </is>
    </nc>
  </rcc>
  <rcc rId="4337" sId="11" numFmtId="4">
    <oc r="D6">
      <v>60.618810000000003</v>
    </oc>
    <nc r="D6">
      <v>65.697249999999997</v>
    </nc>
  </rcc>
  <rcc rId="4338" sId="11" numFmtId="4">
    <oc r="D8">
      <v>109.11145999999999</v>
    </oc>
    <nc r="D8">
      <v>130.80531999999999</v>
    </nc>
  </rcc>
  <rcc rId="4339" sId="11" numFmtId="4">
    <oc r="D9">
      <v>0.82716000000000001</v>
    </oc>
    <nc r="D9">
      <v>1.0727800000000001</v>
    </nc>
  </rcc>
  <rcc rId="4340" sId="11" numFmtId="4">
    <oc r="D10">
      <v>164.50076000000001</v>
    </oc>
    <nc r="D10">
      <v>199.30312000000001</v>
    </nc>
  </rcc>
  <rcc rId="4341" sId="11" numFmtId="4">
    <oc r="D11">
      <v>-22.670120000000001</v>
    </oc>
    <nc r="D11">
      <v>-27.529299999999999</v>
    </nc>
  </rcc>
  <rcc rId="4342" sId="11" numFmtId="4">
    <oc r="D13">
      <v>28.719439999999999</v>
    </oc>
    <nc r="D13">
      <v>43.00244</v>
    </nc>
  </rcc>
  <rcc rId="4343" sId="11" numFmtId="4">
    <oc r="D15">
      <v>7.0553800000000004</v>
    </oc>
    <nc r="D15">
      <v>21.904419999999998</v>
    </nc>
  </rcc>
  <rcc rId="4344" sId="11" numFmtId="4">
    <oc r="D16">
      <v>207.40128000000001</v>
    </oc>
    <nc r="D16">
      <v>330.81223</v>
    </nc>
  </rcc>
  <rcc rId="4345" sId="11" numFmtId="4">
    <oc r="D28">
      <v>3.3868800000000001</v>
    </oc>
    <nc r="D28">
      <v>3.9513600000000002</v>
    </nc>
  </rcc>
  <rcc rId="4346" sId="11" numFmtId="4">
    <oc r="D41">
      <v>1654.77</v>
    </oc>
    <nc r="D41">
      <v>1823.615</v>
    </nc>
  </rcc>
  <rcc rId="4347" sId="11" numFmtId="4">
    <oc r="D43">
      <v>99.974999999999994</v>
    </oc>
    <nc r="D43">
      <v>268.69499999999999</v>
    </nc>
  </rcc>
  <rcc rId="4348" sId="11" numFmtId="4">
    <oc r="D44">
      <v>74.343999999999994</v>
    </oc>
    <nc r="D44">
      <v>100.7611</v>
    </nc>
  </rcc>
  <rcc rId="4349" sId="11" numFmtId="4">
    <oc r="C43">
      <v>1320.704</v>
    </oc>
    <nc r="C43">
      <v>1320.674</v>
    </nc>
  </rcc>
  <rcc rId="4350" sId="11" numFmtId="34">
    <oc r="D58">
      <v>605.97298000000001</v>
    </oc>
    <nc r="D58">
      <v>755.67742999999996</v>
    </nc>
  </rcc>
  <rcc rId="4351" sId="11" numFmtId="34">
    <oc r="D61">
      <v>0</v>
    </oc>
    <nc r="D61">
      <v>19.635999999999999</v>
    </nc>
  </rcc>
  <rcc rId="4352" sId="11" numFmtId="34">
    <oc r="D65">
      <v>67.252939999999995</v>
    </oc>
    <nc r="D65">
      <v>82.487160000000003</v>
    </nc>
  </rcc>
  <rcc rId="4353" sId="11" numFmtId="34">
    <oc r="D79">
      <v>184.60486</v>
    </oc>
    <nc r="D79">
      <v>465.80486000000002</v>
    </nc>
  </rcc>
  <rcc rId="4354" sId="11" numFmtId="34">
    <oc r="C79">
      <v>809.24099999999999</v>
    </oc>
    <nc r="C79">
      <v>809.21100000000001</v>
    </nc>
  </rcc>
  <rcc rId="4355" sId="11" numFmtId="34">
    <oc r="C74">
      <v>1910.0140200000001</v>
    </oc>
    <nc r="C74">
      <v>1910.0300199999999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82.xml><?xml version="1.0" encoding="utf-8"?>
<revisions xmlns="http://schemas.openxmlformats.org/spreadsheetml/2006/main" xmlns:r="http://schemas.openxmlformats.org/officeDocument/2006/relationships">
  <rcc rId="6546" sId="7" numFmtId="34">
    <oc r="D15">
      <v>24.65945</v>
    </oc>
    <nc r="D15">
      <v>68.353359999999995</v>
    </nc>
  </rcc>
  <rcc rId="6547" sId="7" numFmtId="34">
    <oc r="D16">
      <v>684.88558999999998</v>
    </oc>
    <nc r="D16">
      <v>1199.6814099999999</v>
    </nc>
  </rcc>
  <rcc rId="6548" sId="7" numFmtId="34">
    <oc r="D18">
      <v>18.3</v>
    </oc>
    <nc r="D18">
      <v>19.899999999999999</v>
    </nc>
  </rcc>
  <rcc rId="6549" sId="7" numFmtId="34">
    <oc r="D41">
      <v>730.37900000000002</v>
    </oc>
    <nc r="D41">
      <v>795.84199999999998</v>
    </nc>
  </rcc>
  <rcc rId="6550" sId="7" numFmtId="34">
    <oc r="C41">
      <v>1128.914</v>
    </oc>
    <nc r="C41">
      <v>1202.1279999999999</v>
    </nc>
  </rcc>
  <rcc rId="6551" sId="7" numFmtId="34">
    <oc r="D45">
      <v>100.7611</v>
    </oc>
    <nc r="D45">
      <v>126.14109999999999</v>
    </nc>
  </rcc>
  <rcc rId="6552" sId="7" numFmtId="34">
    <oc r="C47">
      <v>223.82599999999999</v>
    </oc>
    <nc r="C47">
      <v>226.32599999999999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821.xml><?xml version="1.0" encoding="utf-8"?>
<revisions xmlns="http://schemas.openxmlformats.org/spreadsheetml/2006/main" xmlns:r="http://schemas.openxmlformats.org/officeDocument/2006/relationships">
  <rcc rId="6061" sId="4" numFmtId="4">
    <oc r="D6">
      <v>40.681220000000003</v>
    </oc>
    <nc r="D6">
      <v>41.460700000000003</v>
    </nc>
  </rcc>
  <rcc rId="6062" sId="4" numFmtId="4">
    <oc r="D8">
      <v>55.216990000000003</v>
    </oc>
    <nc r="D8">
      <v>64.877650000000003</v>
    </nc>
  </rcc>
  <rcc rId="6063" sId="4" numFmtId="4">
    <oc r="D9">
      <v>0.45284999999999997</v>
    </oc>
    <nc r="D9">
      <v>0.55586999999999998</v>
    </nc>
  </rcc>
  <rcc rId="6064" sId="4" numFmtId="4">
    <oc r="D10">
      <v>84.132069999999999</v>
    </oc>
    <nc r="D10">
      <v>98.353139999999996</v>
    </nc>
  </rcc>
  <rcc rId="6065" sId="4" numFmtId="4">
    <oc r="D11">
      <v>-11.62097</v>
    </oc>
    <nc r="D11">
      <v>-15.12509</v>
    </nc>
  </rcc>
  <rcc rId="6066" sId="4" numFmtId="4">
    <oc r="D15">
      <v>3.2138300000000002</v>
    </oc>
    <nc r="D15">
      <v>12.642569999999999</v>
    </nc>
  </rcc>
  <rcc rId="6067" sId="4" numFmtId="4">
    <oc r="D16">
      <v>28.8337</v>
    </oc>
    <nc r="D16">
      <v>94.179630000000003</v>
    </nc>
  </rcc>
  <rcc rId="6068" sId="4" numFmtId="4">
    <oc r="D18">
      <v>3.2</v>
    </oc>
    <nc r="D18">
      <v>3.7</v>
    </nc>
  </rcc>
  <rcc rId="6069" sId="4" numFmtId="34">
    <oc r="C39">
      <f>1154.1+45.954</f>
    </oc>
    <nc r="C39">
      <v>1154.0999999999999</v>
    </nc>
  </rcc>
  <rcc rId="6070" sId="4" numFmtId="4">
    <oc r="D39">
      <v>798.53599999999994</v>
    </oc>
    <nc r="D39">
      <v>870.10199999999998</v>
    </nc>
  </rcc>
  <rcc rId="6071" sId="4" numFmtId="4">
    <oc r="D41">
      <v>84.132999999999996</v>
    </oc>
    <nc r="D41">
      <v>432.38</v>
    </nc>
  </rcc>
  <rcc rId="6072" sId="4" numFmtId="4">
    <oc r="D42">
      <v>47.426000000000002</v>
    </oc>
    <nc r="D42">
      <v>59.305999999999997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83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9.xml><?xml version="1.0" encoding="utf-8"?>
<revisions xmlns="http://schemas.openxmlformats.org/spreadsheetml/2006/main" xmlns:r="http://schemas.openxmlformats.org/officeDocument/2006/relationships">
  <rcc rId="6306" sId="4" numFmtId="34">
    <oc r="D75">
      <v>172.11521999999999</v>
    </oc>
    <nc r="D75">
      <v>172.11322000000001</v>
    </nc>
  </rcc>
  <rcc rId="6307" sId="4">
    <oc r="G93">
      <f>D93-2378.64464</f>
    </oc>
    <nc r="G93"/>
  </rcc>
  <rfmt sheetId="5" sqref="C4:D48">
    <dxf>
      <numFmt numFmtId="168" formatCode="0.00000"/>
    </dxf>
  </rfmt>
  <rfmt sheetId="5" sqref="C4:D48">
    <dxf>
      <numFmt numFmtId="175" formatCode="0.0000"/>
    </dxf>
  </rfmt>
  <rfmt sheetId="5" sqref="C4:D48">
    <dxf>
      <numFmt numFmtId="185" formatCode="0.000"/>
    </dxf>
  </rfmt>
  <rfmt sheetId="5" sqref="C4:D48">
    <dxf>
      <numFmt numFmtId="2" formatCode="0.00"/>
    </dxf>
  </rfmt>
  <rfmt sheetId="5" sqref="C4:D48">
    <dxf>
      <numFmt numFmtId="166" formatCode="0.0"/>
    </dxf>
  </rfmt>
  <rcc rId="6308" sId="5" numFmtId="4">
    <oc r="D5">
      <f>D6</f>
    </oc>
    <nc r="D5">
      <v>267.31795</v>
    </nc>
  </rcc>
  <rcc rId="6309" sId="5" numFmtId="4">
    <oc r="D8">
      <v>140.45489000000001</v>
    </oc>
    <nc r="D8">
      <v>165.02858000000001</v>
    </nc>
  </rcc>
  <rcc rId="6310" sId="5" numFmtId="4">
    <oc r="D9">
      <v>1.15191</v>
    </oc>
    <nc r="D9">
      <v>1.41401</v>
    </nc>
  </rcc>
  <rcc rId="6311" sId="5" numFmtId="4">
    <oc r="D10">
      <v>214.00582</v>
    </oc>
    <nc r="D10">
      <v>250.17977999999999</v>
    </nc>
  </rcc>
  <rcc rId="6312" sId="5" numFmtId="4">
    <oc r="D11">
      <v>-29.560199999999998</v>
    </oc>
    <nc r="D11">
      <v>-38.473559999999999</v>
    </nc>
  </rcc>
  <rcc rId="6313" sId="5" numFmtId="4">
    <oc r="D15">
      <v>49.1175</v>
    </oc>
    <nc r="D15">
      <v>103.58687999999999</v>
    </nc>
  </rcc>
  <rcc rId="6314" sId="5" numFmtId="4">
    <oc r="D16">
      <v>239.05992000000001</v>
    </oc>
    <nc r="D16">
      <v>493.83875999999998</v>
    </nc>
  </rcc>
  <rcc rId="6315" sId="5" numFmtId="4">
    <oc r="D31">
      <v>148.54501999999999</v>
    </oc>
    <nc r="D31">
      <v>153.99233000000001</v>
    </nc>
  </rcc>
  <rcc rId="6316" sId="5" numFmtId="4">
    <oc r="D42">
      <v>2442.337</v>
    </oc>
    <nc r="D42">
      <v>2661.2429999999999</v>
    </nc>
  </rcc>
  <rcc rId="6317" sId="5" numFmtId="4">
    <oc r="D44">
      <v>216.131</v>
    </oc>
    <nc r="D44">
      <v>1311.752</v>
    </nc>
  </rcc>
  <rcc rId="6318" sId="5" numFmtId="4">
    <oc r="D46">
      <v>99.724999999999994</v>
    </oc>
    <nc r="D46">
      <v>125.105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91.xml><?xml version="1.0" encoding="utf-8"?>
<revisions xmlns="http://schemas.openxmlformats.org/spreadsheetml/2006/main" xmlns:r="http://schemas.openxmlformats.org/officeDocument/2006/relationships">
  <rfmt sheetId="4" sqref="D38">
    <dxf>
      <numFmt numFmtId="177" formatCode="_(* #,##0.00000_);_(* \(#,##0.00000\);_(* &quot;-&quot;??_);_(@_)"/>
    </dxf>
  </rfmt>
  <rcc rId="6158" sId="4" numFmtId="4">
    <oc r="D6">
      <v>41.460700000000003</v>
    </oc>
    <nc r="D6">
      <v>41.475700000000003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2911.xml><?xml version="1.0" encoding="utf-8"?>
<revisions xmlns="http://schemas.openxmlformats.org/spreadsheetml/2006/main" xmlns:r="http://schemas.openxmlformats.org/officeDocument/2006/relationships">
  <rcc rId="5671" sId="2">
    <oc r="EX34">
      <v>597.54853000000003</v>
    </oc>
    <nc r="EX34">
      <v>234.75304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Кад!$19:$24,Кад!$44:$44,Кад!$56:$56,Кад!$58:$59,Кад!$66:$67,Кад!$88:$95</formula>
    <oldFormula>Кад!$19:$24,Кад!$44:$44,Кад!$56:$56,Кад!$58:$59,Кад!$66:$67,Кад!$88:$95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29111.xml><?xml version="1.0" encoding="utf-8"?>
<revisions xmlns="http://schemas.openxmlformats.org/spreadsheetml/2006/main" xmlns:r="http://schemas.openxmlformats.org/officeDocument/2006/relationships">
  <rcc rId="5331" sId="20">
    <oc r="B1" t="inlineStr">
      <is>
        <t xml:space="preserve">Группа по обслуживанию учреждени образования </t>
      </is>
    </oc>
    <nc r="B1"/>
  </rcc>
  <rcc rId="5332" sId="20">
    <oc r="G1" t="inlineStr">
      <is>
        <t>Количество штатных единиц</t>
      </is>
    </oc>
    <nc r="G1"/>
  </rcc>
  <rcc rId="5333" sId="20">
    <oc r="K1" t="inlineStr">
      <is>
        <t>Оклад</t>
      </is>
    </oc>
    <nc r="K1"/>
  </rcc>
  <rcc rId="5334" sId="20">
    <oc r="M1" t="inlineStr">
      <is>
        <t>Повышающий коэффициент к окладу</t>
      </is>
    </oc>
    <nc r="M1"/>
  </rcc>
  <rcc rId="5335" sId="20">
    <oc r="S1" t="inlineStr">
      <is>
        <t>Стимулирующие выплаты</t>
      </is>
    </oc>
    <nc r="S1"/>
  </rcc>
  <rcc rId="5336" sId="20">
    <oc r="S2" t="inlineStr">
      <is>
        <t>надбавка  за интенсивность и высокое качество выполняемых работ</t>
      </is>
    </oc>
    <nc r="S2"/>
  </rcc>
  <rcc rId="5337" sId="20">
    <oc r="Y2" t="inlineStr">
      <is>
        <t>выслуга лет</t>
      </is>
    </oc>
    <nc r="Y2"/>
  </rcc>
  <rcc rId="5338" sId="20">
    <oc r="B3" t="inlineStr">
      <is>
        <t>Должность</t>
      </is>
    </oc>
    <nc r="B3"/>
  </rcc>
  <rcc rId="5339" sId="20">
    <oc r="K3" t="inlineStr">
      <is>
        <t>сумма</t>
      </is>
    </oc>
    <nc r="K3"/>
  </rcc>
  <rcc rId="5340" sId="20">
    <oc r="M3" t="inlineStr">
      <is>
        <t>%</t>
      </is>
    </oc>
    <nc r="M3"/>
  </rcc>
  <rcc rId="5341" sId="20">
    <oc r="P3" t="inlineStr">
      <is>
        <t>сумма</t>
      </is>
    </oc>
    <nc r="P3"/>
  </rcc>
  <rcc rId="5342" sId="20">
    <oc r="S3" t="inlineStr">
      <is>
        <t>%</t>
      </is>
    </oc>
    <nc r="S3"/>
  </rcc>
  <rcc rId="5343" sId="20">
    <oc r="V3" t="inlineStr">
      <is>
        <t>сумма</t>
      </is>
    </oc>
    <nc r="V3"/>
  </rcc>
  <rcc rId="5344" sId="20">
    <oc r="Y3" t="inlineStr">
      <is>
        <t>%</t>
      </is>
    </oc>
    <nc r="Y3"/>
  </rcc>
  <rcc rId="5345" sId="20">
    <oc r="AC3" t="inlineStr">
      <is>
        <t>сумма</t>
      </is>
    </oc>
    <nc r="AC3"/>
  </rcc>
  <rcc rId="5346" sId="20">
    <oc r="A4">
      <v>1</v>
    </oc>
    <nc r="A4"/>
  </rcc>
  <rcc rId="5347" sId="20">
    <oc r="B4" t="inlineStr">
      <is>
        <t>Заместитель главного бухгалтера</t>
      </is>
    </oc>
    <nc r="B4"/>
  </rcc>
  <rcc rId="5348" sId="20">
    <oc r="G4">
      <v>1</v>
    </oc>
    <nc r="G4"/>
  </rcc>
  <rcc rId="5349" sId="20">
    <oc r="K4">
      <v>6532</v>
    </oc>
    <nc r="K4"/>
  </rcc>
  <rcc rId="5350" sId="20">
    <oc r="M4">
      <v>215</v>
    </oc>
    <nc r="M4"/>
  </rcc>
  <rcc rId="5351" sId="20">
    <oc r="P4">
      <v>14043.8</v>
    </oc>
    <nc r="P4"/>
  </rcc>
  <rcc rId="5352" sId="20">
    <oc r="S4">
      <v>80</v>
    </oc>
    <nc r="S4"/>
  </rcc>
  <rcc rId="5353" sId="20">
    <oc r="V4">
      <v>5225.6000000000004</v>
    </oc>
    <nc r="V4"/>
  </rcc>
  <rcc rId="5354" sId="20">
    <oc r="Y4">
      <v>20</v>
    </oc>
    <nc r="Y4"/>
  </rcc>
  <rcc rId="5355" sId="20">
    <oc r="AC4">
      <v>1306.4000000000001</v>
    </oc>
    <nc r="AC4"/>
  </rcc>
  <rcc rId="5356" sId="20">
    <oc r="A5">
      <v>2</v>
    </oc>
    <nc r="A5"/>
  </rcc>
  <rcc rId="5357" sId="20">
    <oc r="B5" t="inlineStr">
      <is>
        <t>Главный экономист</t>
      </is>
    </oc>
    <nc r="B5"/>
  </rcc>
  <rcc rId="5358" sId="20">
    <oc r="G5">
      <v>1</v>
    </oc>
    <nc r="G5"/>
  </rcc>
  <rcc rId="5359" sId="20">
    <oc r="K5">
      <v>6532</v>
    </oc>
    <nc r="K5"/>
  </rcc>
  <rcc rId="5360" sId="20">
    <oc r="M5">
      <v>165</v>
    </oc>
    <nc r="M5"/>
  </rcc>
  <rcc rId="5361" sId="20">
    <oc r="P5">
      <v>10777.8</v>
    </oc>
    <nc r="P5"/>
  </rcc>
  <rcc rId="5362" sId="20">
    <oc r="S5">
      <v>60</v>
    </oc>
    <nc r="S5"/>
  </rcc>
  <rcc rId="5363" sId="20">
    <oc r="V5">
      <v>3919.2</v>
    </oc>
    <nc r="V5"/>
  </rcc>
  <rcc rId="5364" sId="20">
    <oc r="Y5">
      <v>15</v>
    </oc>
    <nc r="Y5"/>
  </rcc>
  <rcc rId="5365" sId="20">
    <oc r="AC5">
      <v>979.8</v>
    </oc>
    <nc r="AC5"/>
  </rcc>
  <rcc rId="5366" sId="20">
    <oc r="A6">
      <v>3</v>
    </oc>
    <nc r="A6"/>
  </rcc>
  <rcc rId="5367" sId="20">
    <oc r="B6" t="inlineStr">
      <is>
        <t xml:space="preserve">Бухгалтер 1 категории </t>
      </is>
    </oc>
    <nc r="B6"/>
  </rcc>
  <rcc rId="5368" sId="20">
    <oc r="G6">
      <v>1</v>
    </oc>
    <nc r="G6"/>
  </rcc>
  <rcc rId="5369" sId="20">
    <oc r="K6">
      <v>5321</v>
    </oc>
    <nc r="K6"/>
  </rcc>
  <rcc rId="5370" sId="20">
    <oc r="M6">
      <v>150</v>
    </oc>
    <nc r="M6"/>
  </rcc>
  <rcc rId="5371" sId="20">
    <oc r="P6">
      <v>7981.5</v>
    </oc>
    <nc r="P6"/>
  </rcc>
  <rcc rId="5372" sId="20">
    <oc r="S6">
      <v>50</v>
    </oc>
    <nc r="S6"/>
  </rcc>
  <rcc rId="5373" sId="20">
    <oc r="V6">
      <v>2660.5</v>
    </oc>
    <nc r="V6"/>
  </rcc>
  <rcc rId="5374" sId="20">
    <oc r="Y6">
      <v>15</v>
    </oc>
    <nc r="Y6"/>
  </rcc>
  <rcc rId="5375" sId="20">
    <oc r="AC6">
      <v>798.15</v>
    </oc>
    <nc r="AC6"/>
  </rcc>
  <rcc rId="5376" sId="20">
    <oc r="A7">
      <v>4</v>
    </oc>
    <nc r="A7"/>
  </rcc>
  <rcc rId="5377" sId="20">
    <oc r="B7" t="inlineStr">
      <is>
        <t>Бухгалтер 1 категории</t>
      </is>
    </oc>
    <nc r="B7"/>
  </rcc>
  <rcc rId="5378" sId="20">
    <oc r="G7">
      <v>1</v>
    </oc>
    <nc r="G7"/>
  </rcc>
  <rcc rId="5379" sId="20">
    <oc r="K7">
      <v>5321</v>
    </oc>
    <nc r="K7"/>
  </rcc>
  <rcc rId="5380" sId="20">
    <oc r="M7">
      <v>150</v>
    </oc>
    <nc r="M7"/>
  </rcc>
  <rcc rId="5381" sId="20">
    <oc r="P7">
      <v>7981.5</v>
    </oc>
    <nc r="P7"/>
  </rcc>
  <rcc rId="5382" sId="20">
    <oc r="S7">
      <v>40</v>
    </oc>
    <nc r="S7"/>
  </rcc>
  <rcc rId="5383" sId="20">
    <oc r="V7">
      <v>2128.4</v>
    </oc>
    <nc r="V7"/>
  </rcc>
  <rcc rId="5384" sId="20">
    <oc r="Y7">
      <v>15</v>
    </oc>
    <nc r="Y7"/>
  </rcc>
  <rcc rId="5385" sId="20">
    <oc r="AC7">
      <v>798.15</v>
    </oc>
    <nc r="AC7"/>
  </rcc>
  <rcc rId="5386" sId="20">
    <oc r="A8">
      <v>5</v>
    </oc>
    <nc r="A8"/>
  </rcc>
  <rcc rId="5387" sId="20">
    <oc r="B8" t="inlineStr">
      <is>
        <t>Бухгалтер 1 категории</t>
      </is>
    </oc>
    <nc r="B8"/>
  </rcc>
  <rcc rId="5388" sId="20">
    <oc r="G8">
      <v>1</v>
    </oc>
    <nc r="G8"/>
  </rcc>
  <rcc rId="5389" sId="20">
    <oc r="K8">
      <v>5321</v>
    </oc>
    <nc r="K8"/>
  </rcc>
  <rcc rId="5390" sId="20">
    <oc r="M8">
      <v>150</v>
    </oc>
    <nc r="M8"/>
  </rcc>
  <rcc rId="5391" sId="20">
    <oc r="P8">
      <v>7981.5</v>
    </oc>
    <nc r="P8"/>
  </rcc>
  <rcc rId="5392" sId="20">
    <oc r="S8">
      <v>40</v>
    </oc>
    <nc r="S8"/>
  </rcc>
  <rcc rId="5393" sId="20">
    <oc r="V8">
      <v>2128.4</v>
    </oc>
    <nc r="V8"/>
  </rcc>
  <rcc rId="5394" sId="20">
    <oc r="Y8">
      <v>20</v>
    </oc>
    <nc r="Y8"/>
  </rcc>
  <rcc rId="5395" sId="20">
    <oc r="AC8">
      <v>1064.2</v>
    </oc>
    <nc r="AC8"/>
  </rcc>
  <rcc rId="5396" sId="20">
    <oc r="A9">
      <v>6</v>
    </oc>
    <nc r="A9"/>
  </rcc>
  <rcc rId="5397" sId="20">
    <oc r="B9" t="inlineStr">
      <is>
        <t>Ведущий бухгалтер</t>
      </is>
    </oc>
    <nc r="B9"/>
  </rcc>
  <rcc rId="5398" sId="20">
    <oc r="G9">
      <v>1</v>
    </oc>
    <nc r="G9"/>
  </rcc>
  <rcc rId="5399" sId="20">
    <oc r="K9">
      <v>6391</v>
    </oc>
    <nc r="K9"/>
  </rcc>
  <rcc rId="5400" sId="20">
    <oc r="M9">
      <v>150</v>
    </oc>
    <nc r="M9"/>
  </rcc>
  <rcc rId="5401" sId="20">
    <oc r="P9">
      <v>9586.5</v>
    </oc>
    <nc r="P9"/>
  </rcc>
  <rcc rId="5402" sId="20">
    <oc r="S9">
      <v>60</v>
    </oc>
    <nc r="S9"/>
  </rcc>
  <rcc rId="5403" sId="20">
    <oc r="V9">
      <v>3834.6</v>
    </oc>
    <nc r="V9"/>
  </rcc>
  <rcc rId="5404" sId="20">
    <oc r="Y9">
      <v>15</v>
    </oc>
    <nc r="Y9"/>
  </rcc>
  <rcc rId="5405" sId="20">
    <oc r="AC9">
      <v>958.65</v>
    </oc>
    <nc r="AC9"/>
  </rcc>
  <rcc rId="5406" sId="20">
    <oc r="A10">
      <v>7</v>
    </oc>
    <nc r="A10"/>
  </rcc>
  <rcc rId="5407" sId="20">
    <oc r="B10" t="inlineStr">
      <is>
        <t>Бухгалтер 1 категории</t>
      </is>
    </oc>
    <nc r="B10"/>
  </rcc>
  <rcc rId="5408" sId="20">
    <oc r="G10">
      <v>1</v>
    </oc>
    <nc r="G10"/>
  </rcc>
  <rcc rId="5409" sId="20">
    <oc r="K10">
      <v>5321</v>
    </oc>
    <nc r="K10"/>
  </rcc>
  <rcc rId="5410" sId="20">
    <oc r="M10">
      <v>150</v>
    </oc>
    <nc r="M10"/>
  </rcc>
  <rcc rId="5411" sId="20">
    <oc r="P10">
      <v>7981.5</v>
    </oc>
    <nc r="P10"/>
  </rcc>
  <rcc rId="5412" sId="20">
    <oc r="S10">
      <v>50</v>
    </oc>
    <nc r="S10"/>
  </rcc>
  <rcc rId="5413" sId="20">
    <oc r="V10">
      <v>2660.5</v>
    </oc>
    <nc r="V10"/>
  </rcc>
  <rcc rId="5414" sId="20">
    <oc r="Y10">
      <v>20</v>
    </oc>
    <nc r="Y10"/>
  </rcc>
  <rcc rId="5415" sId="20">
    <oc r="AC10">
      <v>1064.2</v>
    </oc>
    <nc r="AC10"/>
  </rcc>
  <rcc rId="5416" sId="20">
    <oc r="A11">
      <v>8</v>
    </oc>
    <nc r="A11"/>
  </rcc>
  <rcc rId="5417" sId="20">
    <oc r="B11" t="inlineStr">
      <is>
        <t>Ведущий бухгалтер</t>
      </is>
    </oc>
    <nc r="B11"/>
  </rcc>
  <rcc rId="5418" sId="20">
    <oc r="G11">
      <v>1</v>
    </oc>
    <nc r="G11"/>
  </rcc>
  <rcc rId="5419" sId="20">
    <oc r="K11">
      <v>6391</v>
    </oc>
    <nc r="K11"/>
  </rcc>
  <rcc rId="5420" sId="20">
    <oc r="M11">
      <v>150</v>
    </oc>
    <nc r="M11"/>
  </rcc>
  <rcc rId="5421" sId="20">
    <oc r="P11">
      <v>9586.5</v>
    </oc>
    <nc r="P11"/>
  </rcc>
  <rcc rId="5422" sId="20">
    <oc r="S11">
      <v>70</v>
    </oc>
    <nc r="S11"/>
  </rcc>
  <rcc rId="5423" sId="20">
    <oc r="V11">
      <v>4473.7</v>
    </oc>
    <nc r="V11"/>
  </rcc>
  <rcc rId="5424" sId="20">
    <oc r="Y11">
      <v>15</v>
    </oc>
    <nc r="Y11"/>
  </rcc>
  <rcc rId="5425" sId="20">
    <oc r="AC11">
      <v>958.65</v>
    </oc>
    <nc r="AC11"/>
  </rcc>
  <rcc rId="5426" sId="20">
    <oc r="A12">
      <v>9</v>
    </oc>
    <nc r="A12"/>
  </rcc>
  <rcc rId="5427" sId="20">
    <oc r="B12" t="inlineStr">
      <is>
        <t>Бухгалтер 1 категории</t>
      </is>
    </oc>
    <nc r="B12"/>
  </rcc>
  <rcc rId="5428" sId="20">
    <oc r="G12">
      <v>1</v>
    </oc>
    <nc r="G12"/>
  </rcc>
  <rcc rId="5429" sId="20">
    <oc r="K12">
      <v>5321</v>
    </oc>
    <nc r="K12"/>
  </rcc>
  <rcc rId="5430" sId="20">
    <oc r="M12">
      <v>150</v>
    </oc>
    <nc r="M12"/>
  </rcc>
  <rcc rId="5431" sId="20">
    <oc r="P12">
      <v>7981.5</v>
    </oc>
    <nc r="P12"/>
  </rcc>
  <rcc rId="5432" sId="20">
    <oc r="S12">
      <v>60</v>
    </oc>
    <nc r="S12"/>
  </rcc>
  <rcc rId="5433" sId="20">
    <oc r="V12">
      <v>3192.6</v>
    </oc>
    <nc r="V12"/>
  </rcc>
  <rcc rId="5434" sId="20">
    <oc r="AC12">
      <v>0</v>
    </oc>
    <nc r="AC12"/>
  </rcc>
  <rcc rId="5435" sId="20">
    <oc r="A13">
      <v>10</v>
    </oc>
    <nc r="A13"/>
  </rcc>
  <rcc rId="5436" sId="20">
    <oc r="B13" t="inlineStr">
      <is>
        <t>Бухгалтер 1 категории</t>
      </is>
    </oc>
    <nc r="B13"/>
  </rcc>
  <rcc rId="5437" sId="20">
    <oc r="G13">
      <v>1</v>
    </oc>
    <nc r="G13"/>
  </rcc>
  <rcc rId="5438" sId="20">
    <oc r="K13">
      <v>5321</v>
    </oc>
    <nc r="K13"/>
  </rcc>
  <rcc rId="5439" sId="20">
    <oc r="M13">
      <v>150</v>
    </oc>
    <nc r="M13"/>
  </rcc>
  <rcc rId="5440" sId="20">
    <oc r="P13">
      <v>7981.5</v>
    </oc>
    <nc r="P13"/>
  </rcc>
  <rcc rId="5441" sId="20">
    <oc r="S13">
      <v>30</v>
    </oc>
    <nc r="S13"/>
  </rcc>
  <rcc rId="5442" sId="20">
    <oc r="V13">
      <v>1596.3</v>
    </oc>
    <nc r="V13"/>
  </rcc>
  <rcc rId="5443" sId="20">
    <oc r="AC13">
      <v>0</v>
    </oc>
    <nc r="AC13"/>
  </rcc>
  <rcc rId="5444" sId="20">
    <oc r="A14">
      <v>11</v>
    </oc>
    <nc r="A14"/>
  </rcc>
  <rcc rId="5445" sId="20">
    <oc r="B14" t="inlineStr">
      <is>
        <t>Бухгалтер 1 категории</t>
      </is>
    </oc>
    <nc r="B14"/>
  </rcc>
  <rcc rId="5446" sId="20">
    <oc r="G14">
      <v>1</v>
    </oc>
    <nc r="G14"/>
  </rcc>
  <rcc rId="5447" sId="20">
    <oc r="K14">
      <v>5321</v>
    </oc>
    <nc r="K14"/>
  </rcc>
  <rcc rId="5448" sId="20">
    <oc r="M14">
      <v>150</v>
    </oc>
    <nc r="M14"/>
  </rcc>
  <rcc rId="5449" sId="20">
    <oc r="P14">
      <v>7981.5</v>
    </oc>
    <nc r="P14"/>
  </rcc>
  <rcc rId="5450" sId="20">
    <oc r="S14">
      <v>30</v>
    </oc>
    <nc r="S14"/>
  </rcc>
  <rcc rId="5451" sId="20">
    <oc r="V14">
      <v>1596.3</v>
    </oc>
    <nc r="V14"/>
  </rcc>
  <rcc rId="5452" sId="20">
    <oc r="Y14">
      <v>15</v>
    </oc>
    <nc r="Y14"/>
  </rcc>
  <rcc rId="5453" sId="20">
    <oc r="AC14">
      <v>798.15</v>
    </oc>
    <nc r="AC14"/>
  </rcc>
  <rcc rId="5454" sId="20">
    <oc r="A15">
      <v>12</v>
    </oc>
    <nc r="A15"/>
  </rcc>
  <rcc rId="5455" sId="20">
    <oc r="B15" t="inlineStr">
      <is>
        <t xml:space="preserve">Ведущий бухгалтер </t>
      </is>
    </oc>
    <nc r="B15"/>
  </rcc>
  <rcc rId="5456" sId="20">
    <oc r="G15">
      <v>1</v>
    </oc>
    <nc r="G15"/>
  </rcc>
  <rcc rId="5457" sId="20">
    <oc r="K15">
      <v>6391</v>
    </oc>
    <nc r="K15"/>
  </rcc>
  <rcc rId="5458" sId="20">
    <oc r="M15">
      <v>150</v>
    </oc>
    <nc r="M15"/>
  </rcc>
  <rcc rId="5459" sId="20">
    <oc r="P15">
      <v>9586.5</v>
    </oc>
    <nc r="P15"/>
  </rcc>
  <rcc rId="5460" sId="20">
    <oc r="S15">
      <v>60</v>
    </oc>
    <nc r="S15"/>
  </rcc>
  <rcc rId="5461" sId="20">
    <oc r="V15">
      <v>3834.6</v>
    </oc>
    <nc r="V15"/>
  </rcc>
  <rcc rId="5462" sId="20">
    <oc r="Y15">
      <v>15</v>
    </oc>
    <nc r="Y15"/>
  </rcc>
  <rcc rId="5463" sId="20">
    <oc r="AC15">
      <v>958.65</v>
    </oc>
    <nc r="AC15"/>
  </rcc>
  <rcc rId="5464" sId="20">
    <oc r="A16">
      <v>13</v>
    </oc>
    <nc r="A16"/>
  </rcc>
  <rcc rId="5465" sId="20">
    <oc r="B16" t="inlineStr">
      <is>
        <t>Бухгалтер 1 категории</t>
      </is>
    </oc>
    <nc r="B16"/>
  </rcc>
  <rcc rId="5466" sId="20">
    <oc r="G16">
      <v>1</v>
    </oc>
    <nc r="G16"/>
  </rcc>
  <rcc rId="5467" sId="20">
    <oc r="K16">
      <v>5321</v>
    </oc>
    <nc r="K16"/>
  </rcc>
  <rcc rId="5468" sId="20">
    <oc r="M16">
      <v>150</v>
    </oc>
    <nc r="M16"/>
  </rcc>
  <rcc rId="5469" sId="20">
    <oc r="P16">
      <v>7981.5</v>
    </oc>
    <nc r="P16"/>
  </rcc>
  <rcc rId="5470" sId="20">
    <oc r="S16">
      <v>60</v>
    </oc>
    <nc r="S16"/>
  </rcc>
  <rcc rId="5471" sId="20">
    <oc r="V16">
      <v>3192.6</v>
    </oc>
    <nc r="V16"/>
  </rcc>
  <rcc rId="5472" sId="20">
    <oc r="Y16">
      <v>15</v>
    </oc>
    <nc r="Y16"/>
  </rcc>
  <rcc rId="5473" sId="20">
    <oc r="AC16">
      <v>798.15</v>
    </oc>
    <nc r="AC16"/>
  </rcc>
  <rcc rId="5474" sId="20">
    <oc r="A17">
      <v>14</v>
    </oc>
    <nc r="A17"/>
  </rcc>
  <rcc rId="5475" sId="20">
    <oc r="B17" t="inlineStr">
      <is>
        <t>Бухгалтер 1 категории</t>
      </is>
    </oc>
    <nc r="B17"/>
  </rcc>
  <rcc rId="5476" sId="20">
    <oc r="G17">
      <v>1</v>
    </oc>
    <nc r="G17"/>
  </rcc>
  <rcc rId="5477" sId="20">
    <oc r="K17">
      <v>5321</v>
    </oc>
    <nc r="K17"/>
  </rcc>
  <rcc rId="5478" sId="20">
    <oc r="M17">
      <v>150</v>
    </oc>
    <nc r="M17"/>
  </rcc>
  <rcc rId="5479" sId="20">
    <oc r="P17">
      <v>7981.5</v>
    </oc>
    <nc r="P17"/>
  </rcc>
  <rcc rId="5480" sId="20">
    <oc r="S17">
      <v>30</v>
    </oc>
    <nc r="S17"/>
  </rcc>
  <rcc rId="5481" sId="20">
    <oc r="V17">
      <v>1596.3</v>
    </oc>
    <nc r="V17"/>
  </rcc>
  <rcc rId="5482" sId="20">
    <oc r="Y17">
      <v>15</v>
    </oc>
    <nc r="Y17"/>
  </rcc>
  <rcc rId="5483" sId="20">
    <oc r="AC17">
      <v>798.15</v>
    </oc>
    <nc r="AC17"/>
  </rcc>
  <rcc rId="5484" sId="20">
    <oc r="A18">
      <v>15</v>
    </oc>
    <nc r="A18"/>
  </rcc>
  <rcc rId="5485" sId="20">
    <oc r="B18" t="inlineStr">
      <is>
        <t>Бухгалтер 1 категории</t>
      </is>
    </oc>
    <nc r="B18"/>
  </rcc>
  <rcc rId="5486" sId="20">
    <oc r="G18">
      <v>1</v>
    </oc>
    <nc r="G18"/>
  </rcc>
  <rcc rId="5487" sId="20">
    <oc r="K18">
      <v>5321</v>
    </oc>
    <nc r="K18"/>
  </rcc>
  <rcc rId="5488" sId="20">
    <oc r="M18">
      <v>150</v>
    </oc>
    <nc r="M18"/>
  </rcc>
  <rcc rId="5489" sId="20">
    <oc r="P18">
      <v>7981.5</v>
    </oc>
    <nc r="P18"/>
  </rcc>
  <rcc rId="5490" sId="20">
    <oc r="S18">
      <v>50</v>
    </oc>
    <nc r="S18"/>
  </rcc>
  <rcc rId="5491" sId="20">
    <oc r="V18">
      <v>2660.5</v>
    </oc>
    <nc r="V18"/>
  </rcc>
  <rcc rId="5492" sId="20">
    <oc r="Y18">
      <v>15</v>
    </oc>
    <nc r="Y18"/>
  </rcc>
  <rcc rId="5493" sId="20">
    <oc r="AC18">
      <v>798.15</v>
    </oc>
    <nc r="AC18"/>
  </rcc>
  <rcc rId="5494" sId="20">
    <oc r="A19">
      <v>16</v>
    </oc>
    <nc r="A19"/>
  </rcc>
  <rcc rId="5495" sId="20">
    <oc r="B19" t="inlineStr">
      <is>
        <t>Бухгалтер 2 категории</t>
      </is>
    </oc>
    <nc r="B19"/>
  </rcc>
  <rcc rId="5496" sId="20">
    <oc r="G19">
      <v>1</v>
    </oc>
    <nc r="G19"/>
  </rcc>
  <rcc rId="5497" sId="20">
    <oc r="K19">
      <v>4850</v>
    </oc>
    <nc r="K19"/>
  </rcc>
  <rcc rId="5498" sId="20">
    <oc r="M19">
      <v>150</v>
    </oc>
    <nc r="M19"/>
  </rcc>
  <rcc rId="5499" sId="20">
    <oc r="P19">
      <v>7275</v>
    </oc>
    <nc r="P19"/>
  </rcc>
  <rcc rId="5500" sId="20">
    <oc r="S19">
      <v>60</v>
    </oc>
    <nc r="S19"/>
  </rcc>
  <rcc rId="5501" sId="20">
    <oc r="V19">
      <v>2910</v>
    </oc>
    <nc r="V19"/>
  </rcc>
  <rcc rId="5502" sId="20">
    <oc r="Y19">
      <v>15</v>
    </oc>
    <nc r="Y19"/>
  </rcc>
  <rcc rId="5503" sId="20">
    <oc r="AC19">
      <v>727.5</v>
    </oc>
    <nc r="AC19"/>
  </rcc>
  <rcc rId="5504" sId="20">
    <oc r="B20" t="inlineStr">
      <is>
        <t>Итого</t>
      </is>
    </oc>
    <nc r="B20"/>
  </rcc>
  <rcc rId="5505" sId="20">
    <oc r="G20">
      <v>16</v>
    </oc>
    <nc r="G20"/>
  </rcc>
  <rcc rId="5506" sId="20">
    <oc r="P20">
      <v>140671.1</v>
    </oc>
    <nc r="P20"/>
  </rcc>
  <rcc rId="5507" sId="20">
    <oc r="V20">
      <v>47610.1</v>
    </oc>
    <nc r="V20"/>
  </rcc>
  <rcc rId="5508" sId="20">
    <oc r="AC20">
      <v>12806.949999999997</v>
    </oc>
    <nc r="AC20"/>
  </rcc>
  <rcc rId="5509" sId="8" numFmtId="34">
    <oc r="D61">
      <v>68.039000000000001</v>
    </oc>
    <nc r="D61"/>
  </rcc>
  <rcc rId="5510" sId="9" numFmtId="34">
    <oc r="D61">
      <v>16.698</v>
    </oc>
    <nc r="D61"/>
  </rcc>
  <rcc rId="5511" sId="11" numFmtId="34">
    <oc r="D61">
      <v>19.635999999999999</v>
    </oc>
    <nc r="D61"/>
  </rcc>
  <rcc rId="5512" sId="12" numFmtId="34">
    <oc r="D61">
      <v>16.561</v>
    </oc>
    <nc r="D61"/>
  </rcc>
  <rcc rId="5513" sId="15" numFmtId="34">
    <oc r="D61">
      <v>32.152000000000001</v>
    </oc>
    <nc r="D61"/>
  </rcc>
  <rcc rId="5514" sId="17" numFmtId="34">
    <oc r="D62">
      <v>15.714</v>
    </oc>
    <nc r="D62"/>
  </rcc>
  <rcc rId="5515" sId="2">
    <nc r="CS17">
      <f>Кад!D47</f>
    </nc>
  </rcc>
  <rfmt sheetId="2" sqref="AT28">
    <dxf>
      <numFmt numFmtId="4" formatCode="#,##0.00"/>
    </dxf>
  </rfmt>
  <rfmt sheetId="2" sqref="AT28">
    <dxf>
      <numFmt numFmtId="173" formatCode="#,##0.000"/>
    </dxf>
  </rfmt>
  <rfmt sheetId="2" sqref="AT28">
    <dxf>
      <numFmt numFmtId="183" formatCode="#,##0.0000"/>
    </dxf>
  </rfmt>
  <rfmt sheetId="2" sqref="AT28">
    <dxf>
      <numFmt numFmtId="172" formatCode="#,##0.00000"/>
    </dxf>
  </rfmt>
  <rfmt sheetId="2" sqref="AT28">
    <dxf>
      <numFmt numFmtId="180" formatCode="#,##0.000000"/>
    </dxf>
  </rfmt>
  <rfmt sheetId="2" sqref="AT31">
    <dxf>
      <numFmt numFmtId="4" formatCode="#,##0.00"/>
    </dxf>
  </rfmt>
  <rfmt sheetId="2" sqref="AT31">
    <dxf>
      <numFmt numFmtId="173" formatCode="#,##0.000"/>
    </dxf>
  </rfmt>
  <rfmt sheetId="2" sqref="AT31">
    <dxf>
      <numFmt numFmtId="183" formatCode="#,##0.0000"/>
    </dxf>
  </rfmt>
  <rfmt sheetId="2" sqref="AT31">
    <dxf>
      <numFmt numFmtId="172" formatCode="#,##0.00000"/>
    </dxf>
  </rfmt>
  <rfmt sheetId="2" sqref="AT31">
    <dxf>
      <numFmt numFmtId="180" formatCode="#,##0.000000"/>
    </dxf>
  </rfmt>
  <rcc rId="5516" sId="2" numFmtId="4">
    <oc r="AT32">
      <v>34.62641</v>
    </oc>
    <nc r="AT32">
      <v>214</v>
    </nc>
  </rcc>
  <rcc rId="5517" sId="2">
    <oc r="AT34">
      <v>161.27672999999999</v>
    </oc>
    <nc r="AT34">
      <v>214.28019</v>
    </nc>
  </rcc>
  <rfmt sheetId="2" sqref="AT28">
    <dxf>
      <numFmt numFmtId="172" formatCode="#,##0.00000"/>
    </dxf>
  </rfmt>
  <rfmt sheetId="2" sqref="AT28">
    <dxf>
      <numFmt numFmtId="183" formatCode="#,##0.0000"/>
    </dxf>
  </rfmt>
  <rfmt sheetId="2" sqref="AT28">
    <dxf>
      <numFmt numFmtId="173" formatCode="#,##0.000"/>
    </dxf>
  </rfmt>
  <rfmt sheetId="2" sqref="AT28">
    <dxf>
      <numFmt numFmtId="4" formatCode="#,##0.00"/>
    </dxf>
  </rfmt>
  <rfmt sheetId="2" sqref="AT28">
    <dxf>
      <numFmt numFmtId="167" formatCode="#,##0.0"/>
    </dxf>
  </rfmt>
  <rcc rId="5518" sId="2" numFmtId="4">
    <oc r="CI34">
      <v>23769.017390000001</v>
    </oc>
    <nc r="CI34">
      <v>29173.917389999999</v>
    </nc>
  </rcc>
  <rcc rId="5519" sId="1">
    <oc r="D3" t="inlineStr">
      <is>
        <t>исполнено на 01.07.2018 г.</t>
      </is>
    </oc>
    <nc r="D3" t="inlineStr">
      <is>
        <t>исполнено на 01.08.2018 г.</t>
      </is>
    </nc>
  </rcc>
  <rcc rId="5520" sId="1">
    <oc r="G3" t="inlineStr">
      <is>
        <t>исполнено на 01.07.2018 г.</t>
      </is>
    </oc>
    <nc r="G3" t="inlineStr">
      <is>
        <t>исполнено на 01.08.2018 г.</t>
      </is>
    </nc>
  </rcc>
  <rcc rId="5521" sId="1">
    <oc r="J3" t="inlineStr">
      <is>
        <t>исполнено на 01.07.2018 г.</t>
      </is>
    </oc>
    <nc r="J3" t="inlineStr">
      <is>
        <t>исполнено на 01.08.2018 г.</t>
      </is>
    </nc>
  </rcc>
  <rcc rId="5522" sId="1" numFmtId="4">
    <oc r="C24">
      <v>567173.59115999995</v>
    </oc>
    <nc r="C24">
      <v>571093.59115999995</v>
    </nc>
  </rcc>
  <rcc rId="5523" sId="1" numFmtId="4">
    <oc r="D24">
      <v>217384.21599999999</v>
    </oc>
    <nc r="D24">
      <v>263421.46801000001</v>
    </nc>
  </rcc>
  <rcc rId="5524" sId="1" numFmtId="4">
    <oc r="C29">
      <v>60958.662620000003</v>
    </oc>
    <nc r="C29">
      <v>60974.962619999998</v>
    </nc>
  </rcc>
  <rcc rId="5525" sId="1" numFmtId="4">
    <oc r="D29">
      <v>27332.69313</v>
    </oc>
    <nc r="D29">
      <v>32516.45679</v>
    </nc>
  </rcc>
  <rcc rId="5526" sId="1" numFmtId="4">
    <oc r="D31">
      <v>2404.9962300000002</v>
    </oc>
    <nc r="D31">
      <v>2689.9189900000001</v>
    </nc>
  </rcc>
  <rcc rId="5527" sId="1" numFmtId="4">
    <oc r="C32">
      <v>182296.58246999999</v>
    </oc>
    <nc r="C32">
      <v>182306.97946999999</v>
    </nc>
  </rcc>
  <rcc rId="5528" sId="1" numFmtId="4">
    <oc r="D32">
      <v>19191.317470000002</v>
    </oc>
    <nc r="D32">
      <v>47358.225079999997</v>
    </nc>
  </rcc>
  <rcc rId="5529" sId="1" numFmtId="4">
    <oc r="C33">
      <v>22279.12815</v>
    </oc>
    <nc r="C33">
      <v>22382.531149999999</v>
    </nc>
  </rcc>
  <rcc rId="5530" sId="1" numFmtId="4">
    <oc r="D33">
      <v>4928.9943599999997</v>
    </oc>
    <nc r="D33">
      <v>6114.0200100000002</v>
    </nc>
  </rcc>
  <rcc rId="5531" sId="1" numFmtId="4">
    <oc r="C36">
      <v>51065.796430000002</v>
    </oc>
    <nc r="C36">
      <v>54855.696430000004</v>
    </nc>
  </rcc>
  <rcc rId="5532" sId="1" numFmtId="4">
    <oc r="D36">
      <v>23363.11781</v>
    </oc>
    <nc r="D36">
      <v>26901.88263</v>
    </nc>
  </rcc>
  <rcc rId="5533" sId="1" numFmtId="4">
    <oc r="D37">
      <v>5397.9820200000004</v>
    </oc>
    <nc r="D37">
      <v>8640.0196899999992</v>
    </nc>
  </rcc>
  <rcc rId="5534" sId="1" numFmtId="4">
    <oc r="D38">
      <v>3577.1689000000001</v>
    </oc>
    <nc r="D38">
      <v>3932.0378999999998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291111.xml><?xml version="1.0" encoding="utf-8"?>
<revisions xmlns="http://schemas.openxmlformats.org/spreadsheetml/2006/main" xmlns:r="http://schemas.openxmlformats.org/officeDocument/2006/relationships">
  <rcc rId="4806" sId="7" numFmtId="34">
    <oc r="C73">
      <v>2167.4796999999999</v>
    </oc>
    <nc r="C73">
      <v>2167.5173399999999</v>
    </nc>
  </rcc>
  <rcc rId="4807" sId="7" numFmtId="34">
    <oc r="D73">
      <v>319.55844999999999</v>
    </oc>
    <nc r="D73">
      <v>3619.55845</v>
    </nc>
  </rcc>
  <rcc rId="4808" sId="7" numFmtId="34">
    <oc r="D78">
      <v>456.87329</v>
    </oc>
    <nc r="D78">
      <v>515.83657000000005</v>
    </nc>
  </rcc>
  <rcc rId="4809" sId="7" numFmtId="34">
    <oc r="D80">
      <v>767.7</v>
    </oc>
    <nc r="D80">
      <v>791.7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4410" sId="3">
    <oc r="A2" t="inlineStr">
      <is>
        <t xml:space="preserve">                          Моргаушского района на 01.07.2018 г. </t>
      </is>
    </oc>
    <nc r="A2" t="inlineStr">
      <is>
        <t xml:space="preserve">                          Моргаушского района на 01.08.2018 г. </t>
      </is>
    </nc>
  </rcc>
  <rcc rId="4411" sId="3">
    <oc r="D3" t="inlineStr">
      <is>
        <t>исполнено на 01.07.2018 г.</t>
      </is>
    </oc>
    <nc r="D3" t="inlineStr">
      <is>
        <t>исполнено на 01.08.2018 г.</t>
      </is>
    </nc>
  </rcc>
  <rcc rId="4412" sId="3" numFmtId="4">
    <oc r="D6">
      <v>48356.804700000001</v>
    </oc>
    <nc r="D6">
      <v>56715.744480000001</v>
    </nc>
  </rcc>
  <rcc rId="4413" sId="3" numFmtId="4">
    <oc r="D8">
      <v>914.92639999999994</v>
    </oc>
    <nc r="D8">
      <v>1096.8348599999999</v>
    </nc>
  </rcc>
  <rcc rId="4414" sId="3" numFmtId="4">
    <oc r="D9">
      <v>6.9359099999999998</v>
    </oc>
    <nc r="D9">
      <v>8.9954199999999993</v>
    </nc>
  </rcc>
  <rcc rId="4415" sId="3" numFmtId="4">
    <oc r="D10">
      <v>1379.37943</v>
    </oc>
    <nc r="D10">
      <v>1671.2058199999999</v>
    </nc>
  </rcc>
  <rcc rId="4416" sId="3" numFmtId="4">
    <oc r="D11">
      <v>-190.09451999999999</v>
    </oc>
    <nc r="D11">
      <v>-230.84014999999999</v>
    </nc>
  </rcc>
  <rcc rId="4417" sId="3" numFmtId="4">
    <oc r="D15">
      <v>80.532709999999994</v>
    </oc>
    <nc r="D15">
      <v>100.37770999999999</v>
    </nc>
  </rcc>
  <rcc rId="4418" sId="3" numFmtId="4">
    <oc r="D19">
      <v>294.55542000000003</v>
    </oc>
    <nc r="D19">
      <v>402.44268</v>
    </nc>
  </rcc>
  <rcc rId="4419" sId="3" numFmtId="4">
    <oc r="D24">
      <v>1004.09048</v>
    </oc>
    <nc r="D24">
      <v>1220.48585</v>
    </nc>
  </rcc>
  <rcc rId="4420" sId="3" numFmtId="4">
    <oc r="D26">
      <v>332.49292000000003</v>
    </oc>
    <nc r="D26">
      <v>378.02417000000003</v>
    </nc>
  </rcc>
  <rcc rId="4421" sId="3" numFmtId="4">
    <oc r="D36">
      <v>5023.4437900000003</v>
    </oc>
    <nc r="D36">
      <v>6101.5873799999999</v>
    </nc>
  </rcc>
  <rcc rId="4422" sId="3" numFmtId="4">
    <oc r="D37">
      <v>224.13342</v>
    </oc>
    <nc r="D37">
      <v>241.25297</v>
    </nc>
  </rcc>
  <rcc rId="4423" sId="3" numFmtId="4">
    <oc r="D40">
      <v>228.86951999999999</v>
    </oc>
    <nc r="D40">
      <v>265.16532000000001</v>
    </nc>
  </rcc>
  <rcc rId="4424" sId="3" numFmtId="4">
    <oc r="D42">
      <v>491.14828999999997</v>
    </oc>
    <nc r="D42">
      <v>580.12419999999997</v>
    </nc>
  </rcc>
  <rcc rId="4425" sId="3" numFmtId="4">
    <oc r="D44">
      <v>179.50745000000001</v>
    </oc>
    <nc r="D44">
      <v>113.39815</v>
    </nc>
  </rcc>
  <rcc rId="4426" sId="3" numFmtId="4">
    <oc r="D48">
      <v>1138.04214</v>
    </oc>
    <nc r="D48">
      <v>1209.78988</v>
    </nc>
  </rcc>
  <rcc rId="4427" sId="3" numFmtId="4">
    <oc r="D52">
      <v>4.0869999999999997</v>
    </oc>
    <nc r="D52">
      <v>4.0875000000000004</v>
    </nc>
  </rcc>
  <rcc rId="4428" sId="3" numFmtId="4">
    <oc r="D53">
      <v>4.3</v>
    </oc>
    <nc r="D53">
      <v>9.3000000000000007</v>
    </nc>
  </rcc>
  <rcc rId="4429" sId="3" numFmtId="4">
    <oc r="D55">
      <v>25</v>
    </oc>
    <nc r="D55">
      <v>80</v>
    </nc>
  </rcc>
  <rcc rId="4430" sId="3" numFmtId="4">
    <oc r="D57">
      <v>71.900000000000006</v>
    </oc>
    <nc r="D57">
      <v>75.900000000000006</v>
    </nc>
  </rcc>
  <rcc rId="4431" sId="3" numFmtId="4">
    <oc r="D60">
      <v>40</v>
    </oc>
    <nc r="D60">
      <v>60</v>
    </nc>
  </rcc>
  <rcc rId="4432" sId="3" numFmtId="4">
    <oc r="D62">
      <v>148.10400999999999</v>
    </oc>
    <nc r="D62">
      <v>211.92401000000001</v>
    </nc>
  </rcc>
  <rcc rId="4433" sId="3" numFmtId="4">
    <oc r="D63">
      <v>4.5</v>
    </oc>
    <nc r="D63">
      <v>147</v>
    </nc>
  </rcc>
  <rcc rId="4434" sId="3" numFmtId="4">
    <oc r="D64">
      <v>168.07615999999999</v>
    </oc>
    <nc r="D64">
      <v>189.83174</v>
    </nc>
  </rcc>
  <rcc rId="4435" sId="3" numFmtId="4">
    <oc r="D67">
      <v>1366.2589599999999</v>
    </oc>
    <nc r="D67">
      <v>1641.98936</v>
    </nc>
  </rcc>
  <rcc rId="4436" sId="3" numFmtId="4">
    <oc r="D13">
      <v>5411.6827700000003</v>
    </oc>
    <nc r="D13">
      <v>7570.7759299999998</v>
    </nc>
  </rcc>
  <rcc rId="4437" sId="3" numFmtId="4">
    <oc r="D14">
      <v>887.15313000000003</v>
    </oc>
    <nc r="D14">
      <v>955.49938999999995</v>
    </nc>
  </rcc>
  <rcc rId="4438" sId="3" numFmtId="4">
    <oc r="D65">
      <v>5120.5199000000002</v>
    </oc>
    <nc r="D65">
      <v>5120.5715399999999</v>
    </nc>
  </rcc>
  <rcc rId="4439" sId="3" numFmtId="4">
    <oc r="D59">
      <v>10</v>
    </oc>
    <nc r="D59">
      <v>20</v>
    </nc>
  </rcc>
  <rcc rId="4440" sId="3" numFmtId="4">
    <oc r="D75">
      <v>8790</v>
    </oc>
    <nc r="D75">
      <v>10255</v>
    </nc>
  </rcc>
  <rcc rId="4441" sId="3" numFmtId="4">
    <oc r="D73">
      <v>3679.2</v>
    </oc>
    <nc r="D73">
      <v>5148.8</v>
    </nc>
  </rcc>
  <rcc rId="4442" sId="3" numFmtId="4">
    <oc r="D76">
      <v>15721.2531</v>
    </oc>
    <nc r="D76">
      <v>42248.324630000003</v>
    </nc>
  </rcc>
  <rcc rId="4443" sId="3" numFmtId="4">
    <oc r="D77">
      <v>189193.7629</v>
    </oc>
    <nc r="D77">
      <v>205769.34338000001</v>
    </nc>
  </rcc>
  <rcc rId="4444" sId="3" numFmtId="4">
    <oc r="D78">
      <v>9954.4439999999995</v>
    </oc>
    <nc r="D78">
      <v>10978.178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30.xml><?xml version="1.0" encoding="utf-8"?>
<revisions xmlns="http://schemas.openxmlformats.org/spreadsheetml/2006/main" xmlns:r="http://schemas.openxmlformats.org/officeDocument/2006/relationships">
  <rcc rId="6891" sId="18" numFmtId="4">
    <oc r="D13">
      <v>21.3873</v>
    </oc>
    <nc r="D13">
      <v>21.4968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301.xml><?xml version="1.0" encoding="utf-8"?>
<revisions xmlns="http://schemas.openxmlformats.org/spreadsheetml/2006/main" xmlns:r="http://schemas.openxmlformats.org/officeDocument/2006/relationships">
  <rcc rId="6842" sId="19" numFmtId="4">
    <oc r="C39">
      <v>940.2</v>
    </oc>
    <nc r="C39">
      <v>975.07100000000003</v>
    </nc>
  </rcc>
</revisions>
</file>

<file path=xl/revisions/revisionLog13011.xml><?xml version="1.0" encoding="utf-8"?>
<revisions xmlns="http://schemas.openxmlformats.org/spreadsheetml/2006/main" xmlns:r="http://schemas.openxmlformats.org/officeDocument/2006/relationships">
  <rcc rId="6347" sId="5" numFmtId="4">
    <oc r="D59">
      <v>907.99928</v>
    </oc>
    <nc r="D59">
      <v>1045.2935399999999</v>
    </nc>
  </rcc>
  <rcc rId="6348" sId="5" numFmtId="4">
    <oc r="D66">
      <v>87.04</v>
    </oc>
    <nc r="D66">
      <v>95.171859999999995</v>
    </nc>
  </rcc>
  <rcc rId="6349" sId="5" numFmtId="4">
    <oc r="D74">
      <v>389.49344000000002</v>
    </oc>
    <nc r="D74">
      <v>558.11780999999996</v>
    </nc>
  </rcc>
  <rcc rId="6350" sId="5" numFmtId="4">
    <oc r="D75">
      <v>1033.3210999999999</v>
    </oc>
    <nc r="D75">
      <v>2241.6111000000001</v>
    </nc>
  </rcc>
  <rcc rId="6351" sId="5" numFmtId="4">
    <oc r="D80">
      <v>360.91023000000001</v>
    </oc>
    <nc r="D80">
      <v>400.05903999999998</v>
    </nc>
  </rcc>
  <rcc rId="6352" sId="5" numFmtId="4">
    <oc r="D83">
      <v>1831.98137</v>
    </oc>
    <nc r="D83">
      <v>2033.7083700000001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30111.xml><?xml version="1.0" encoding="utf-8"?>
<revisions xmlns="http://schemas.openxmlformats.org/spreadsheetml/2006/main" xmlns:r="http://schemas.openxmlformats.org/officeDocument/2006/relationships">
  <rfmt sheetId="4" sqref="C38:D38">
    <dxf>
      <numFmt numFmtId="184" formatCode="_(* #,##0.000_);_(* \(#,##0.000\);_(* &quot;-&quot;??_);_(@_)"/>
    </dxf>
  </rfmt>
  <rfmt sheetId="4" sqref="C38:D38">
    <dxf>
      <numFmt numFmtId="165" formatCode="_(* #,##0.00_);_(* \(#,##0.00\);_(* &quot;-&quot;??_);_(@_)"/>
    </dxf>
  </rfmt>
  <rfmt sheetId="4" sqref="C38:D38">
    <dxf>
      <numFmt numFmtId="169" formatCode="_(* #,##0.0_);_(* \(#,##0.0\);_(* &quot;-&quot;??_);_(@_)"/>
    </dxf>
  </rfmt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Але!$19:$24,Але!$28:$33,Але!$36:$36,Але!$46:$46,Але!$53:$53,Але!$55:$57,Але!$63:$64,Але!$69:$69,Але!$71:$71,Але!$73:$74,Але!$78:$82,Але!$85:$92,Але!$141:$141</formula>
    <oldFormula>Але!$19:$24,Але!$28:$33,Але!$36:$36,Але!$46:$46,Але!$53:$53,Але!$55:$57,Але!$63:$64,Але!$69:$69,Але!$71:$71,Але!$73:$74,Але!$78:$82,Але!$85:$92,Але!$141:$141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301111.xml><?xml version="1.0" encoding="utf-8"?>
<revisions xmlns="http://schemas.openxmlformats.org/spreadsheetml/2006/main" xmlns:r="http://schemas.openxmlformats.org/officeDocument/2006/relationships">
  <rcc rId="5977" sId="1">
    <oc r="A1" t="inlineStr">
      <is>
        <t>Анализ исполнения консолидированного бюджета Моргаушского районана 01.08.2018 г.</t>
      </is>
    </oc>
    <nc r="A1" t="inlineStr">
      <is>
        <t>Анализ исполнения консолидированного бюджета Моргаушского районана 01.09.2018 г.</t>
      </is>
    </nc>
  </rcc>
  <rcc rId="5978" sId="1">
    <oc r="D3" t="inlineStr">
      <is>
        <t>исполнено на 01.08.2018 г.</t>
      </is>
    </oc>
    <nc r="D3" t="inlineStr">
      <is>
        <t>исполнено на 01.09.2018 г.</t>
      </is>
    </nc>
  </rcc>
  <rcc rId="5979" sId="1">
    <oc r="G3" t="inlineStr">
      <is>
        <t>исполнено на 01.08.2018 г.</t>
      </is>
    </oc>
    <nc r="G3" t="inlineStr">
      <is>
        <t>исполнено на 01.09.2018 г.</t>
      </is>
    </nc>
  </rcc>
  <rcc rId="5980" sId="1">
    <oc r="J3" t="inlineStr">
      <is>
        <t>исполнено на 01.08.2018 г.</t>
      </is>
    </oc>
    <nc r="J3" t="inlineStr">
      <is>
        <t>исполнено на 01.09.2018 г.</t>
      </is>
    </nc>
  </rcc>
  <rcc rId="5981" sId="2">
    <oc r="B5" t="inlineStr">
      <is>
        <t>об исполнении бюджетов поселений  Моргаушского района  на 1 июля 2018 г.</t>
      </is>
    </oc>
    <nc r="B5" t="inlineStr">
      <is>
        <t>об исполнении бюджетов поселений  Моргаушского района  на 1 сентября 2018 г.</t>
      </is>
    </nc>
  </rcc>
  <rfmt sheetId="3" sqref="C86:D86">
    <dxf>
      <numFmt numFmtId="1" formatCode="0"/>
    </dxf>
  </rfmt>
  <rcc rId="5982" sId="3">
    <oc r="D85" t="inlineStr">
      <is>
        <t xml:space="preserve">исполнено на 01.08.2018 г. </t>
      </is>
    </oc>
    <nc r="D85" t="inlineStr">
      <is>
        <t xml:space="preserve">исполнено на 01.09.2018 г. </t>
      </is>
    </nc>
  </rcc>
  <rcc rId="5983" sId="3">
    <oc r="D3" t="inlineStr">
      <is>
        <t>исполнено на 01.08.2018 г.</t>
      </is>
    </oc>
    <nc r="D3" t="inlineStr">
      <is>
        <t>исполнено на 01.09.2018 г.</t>
      </is>
    </nc>
  </rcc>
  <rcc rId="5984" sId="3">
    <oc r="A2" t="inlineStr">
      <is>
        <t xml:space="preserve">                          Моргаушского района на 01.08.2018 г. </t>
      </is>
    </oc>
    <nc r="A2" t="inlineStr">
      <is>
        <t xml:space="preserve">                          Моргаушского района на 01.09.2018 г. </t>
      </is>
    </nc>
  </rcc>
  <rfmt sheetId="4" sqref="C38:C44">
    <dxf>
      <numFmt numFmtId="176" formatCode="_(* #,##0.0000_);_(* \(#,##0.0000\);_(* &quot;-&quot;??_);_(@_)"/>
    </dxf>
  </rfmt>
  <rfmt sheetId="4" sqref="C38:C44">
    <dxf>
      <numFmt numFmtId="184" formatCode="_(* #,##0.000_);_(* \(#,##0.000\);_(* &quot;-&quot;??_);_(@_)"/>
    </dxf>
  </rfmt>
  <rfmt sheetId="4" sqref="C38:C44">
    <dxf>
      <numFmt numFmtId="165" formatCode="_(* #,##0.00_);_(* \(#,##0.00\);_(* &quot;-&quot;??_);_(@_)"/>
    </dxf>
  </rfmt>
  <rfmt sheetId="4" sqref="C38:C44">
    <dxf>
      <numFmt numFmtId="169" formatCode="_(* #,##0.0_);_(* \(#,##0.0\);_(* &quot;-&quot;??_);_(@_)"/>
    </dxf>
  </rfmt>
  <rfmt sheetId="4" sqref="C38:C44">
    <dxf>
      <numFmt numFmtId="179" formatCode="_(* #,##0_);_(* \(#,##0\);_(* &quot;-&quot;??_);_(@_)"/>
    </dxf>
  </rfmt>
  <rfmt sheetId="4" sqref="C38:C44">
    <dxf>
      <numFmt numFmtId="169" formatCode="_(* #,##0.0_);_(* \(#,##0.0\);_(* &quot;-&quot;??_);_(@_)"/>
    </dxf>
  </rfmt>
  <rcc rId="5985" sId="4">
    <oc r="A1" t="inlineStr">
      <is>
        <t xml:space="preserve">                     Анализ исполнения бюджета Александровского сельского поселения на 01.08.2018 г.</t>
      </is>
    </oc>
    <nc r="A1" t="inlineStr">
      <is>
        <t xml:space="preserve">                     Анализ исполнения бюджета Александровского сельского поселения на 01.09.2018 г.</t>
      </is>
    </nc>
  </rcc>
  <rcc rId="5986" sId="4">
    <oc r="D3" t="inlineStr">
      <is>
        <t>исполнен на 01.08.2018 г.</t>
      </is>
    </oc>
    <nc r="D3" t="inlineStr">
      <is>
        <t>исполнен на 01.09.2018 г.</t>
      </is>
    </nc>
  </rcc>
  <rfmt sheetId="4" sqref="D38">
    <dxf>
      <numFmt numFmtId="168" formatCode="0.00000"/>
    </dxf>
  </rfmt>
  <rfmt sheetId="4" sqref="D38">
    <dxf>
      <numFmt numFmtId="175" formatCode="0.0000"/>
    </dxf>
  </rfmt>
  <rfmt sheetId="4" sqref="D38">
    <dxf>
      <numFmt numFmtId="185" formatCode="0.000"/>
    </dxf>
  </rfmt>
  <rfmt sheetId="4" sqref="D38">
    <dxf>
      <numFmt numFmtId="2" formatCode="0.00"/>
    </dxf>
  </rfmt>
  <rfmt sheetId="4" sqref="D38">
    <dxf>
      <numFmt numFmtId="166" formatCode="0.0"/>
    </dxf>
  </rfmt>
  <rcc rId="5987" sId="4">
    <oc r="D50" t="inlineStr">
      <is>
        <t>исполнено на 01.08.2018 г.</t>
      </is>
    </oc>
    <nc r="D50" t="inlineStr">
      <is>
        <t>исполнено на 01.09.2018 г.</t>
      </is>
    </nc>
  </rcc>
  <rcc rId="5988" sId="5">
    <oc r="A1" t="inlineStr">
      <is>
        <t xml:space="preserve">                     Анализ исполнения бюджета Большесундырского сельского поселения на 01.08.2018 г.</t>
      </is>
    </oc>
    <nc r="A1" t="inlineStr">
      <is>
        <t xml:space="preserve">                     Анализ исполнения бюджета Большесундырского сельского поселения на 01.09.2018 г.</t>
      </is>
    </nc>
  </rcc>
  <rcc rId="5989" sId="5">
    <oc r="D3" t="inlineStr">
      <is>
        <t>исполнен на 01.08.2018 г.</t>
      </is>
    </oc>
    <nc r="D3" t="inlineStr">
      <is>
        <t>исполнен на 01.09.2018 г.</t>
      </is>
    </nc>
  </rcc>
  <rcc rId="5990" sId="5">
    <oc r="D55" t="inlineStr">
      <is>
        <t>исполнено на 01.08.2018 г</t>
      </is>
    </oc>
    <nc r="D55" t="inlineStr">
      <is>
        <t>исполнено на 01.09.2018 г</t>
      </is>
    </nc>
  </rcc>
  <rcc rId="5991" sId="6">
    <oc r="A1" t="inlineStr">
      <is>
        <t xml:space="preserve">                     Анализ исполнения бюджета Ильинского сельского поселения на 01.08.2018 г.</t>
      </is>
    </oc>
    <nc r="A1" t="inlineStr">
      <is>
        <t xml:space="preserve">                     Анализ исполнения бюджета Ильинского сельского поселения на 01.09.2018 г.</t>
      </is>
    </nc>
  </rcc>
  <rcc rId="5992" sId="6">
    <oc r="D3" t="inlineStr">
      <is>
        <t>исполнен на 01.08.2018 г.</t>
      </is>
    </oc>
    <nc r="D3" t="inlineStr">
      <is>
        <t>исполнен на 01.09.2018 г.</t>
      </is>
    </nc>
  </rcc>
  <rcc rId="5993" sId="6">
    <oc r="D55" t="inlineStr">
      <is>
        <t>исполнено на 01.08.2018 г.</t>
      </is>
    </oc>
    <nc r="D55" t="inlineStr">
      <is>
        <t>исполнено на 01.09.2018 г.</t>
      </is>
    </nc>
  </rcc>
  <rcc rId="5994" sId="7">
    <oc r="D53" t="inlineStr">
      <is>
        <t>исполнено на 01.08.2018 г.</t>
      </is>
    </oc>
    <nc r="D53" t="inlineStr">
      <is>
        <t>исполнено на 01.09.2018 г.</t>
      </is>
    </nc>
  </rcc>
  <rcc rId="5995" sId="7">
    <oc r="D3" t="inlineStr">
      <is>
        <t>исполнен на 01.08.2018 г.</t>
      </is>
    </oc>
    <nc r="D3" t="inlineStr">
      <is>
        <t>исполнен на 01.09.2018 г.</t>
      </is>
    </nc>
  </rcc>
  <rcc rId="5996" sId="7">
    <oc r="A1" t="inlineStr">
      <is>
        <t xml:space="preserve">                     Анализ исполнения бюджета Кадикасинского сельского поселения на 01.08.2018 г.</t>
      </is>
    </oc>
    <nc r="A1" t="inlineStr">
      <is>
        <t xml:space="preserve">                     Анализ исполнения бюджета Кадикасинского сельского поселения на 01.09.2018 г.</t>
      </is>
    </nc>
  </rcc>
  <rcc rId="5997" sId="8">
    <oc r="D54" t="inlineStr">
      <is>
        <t>исполнено на 01.08.2018 г.</t>
      </is>
    </oc>
    <nc r="D54" t="inlineStr">
      <is>
        <t>исполнено на 01.09.2018 г.</t>
      </is>
    </nc>
  </rcc>
  <rcc rId="5998" sId="8">
    <oc r="D3" t="inlineStr">
      <is>
        <t>исполнен на 01.08.2018 г.</t>
      </is>
    </oc>
    <nc r="D3" t="inlineStr">
      <is>
        <t>исполнен на 01.09.2018 г.</t>
      </is>
    </nc>
  </rcc>
  <rcc rId="5999" sId="8">
    <oc r="A1" t="inlineStr">
      <is>
        <t xml:space="preserve">                     Анализ исполнения бюджета Моргаушского сельского поселения на 01.08.2018 г.</t>
      </is>
    </oc>
    <nc r="A1" t="inlineStr">
      <is>
        <t xml:space="preserve">                     Анализ исполнения бюджета Моргаушского сельского поселения на 01.09.2018 г.</t>
      </is>
    </nc>
  </rcc>
  <rcc rId="6000" sId="9">
    <oc r="D54" t="inlineStr">
      <is>
        <t>исполнено на 01.08.2018 г.</t>
      </is>
    </oc>
    <nc r="D54" t="inlineStr">
      <is>
        <t>исполнено на 01.09.2018 г.</t>
      </is>
    </nc>
  </rcc>
  <rcc rId="6001" sId="9">
    <oc r="D3" t="inlineStr">
      <is>
        <t>исполнен на 01.08.2018 г.</t>
      </is>
    </oc>
    <nc r="D3" t="inlineStr">
      <is>
        <t>исполнен на 01.09.2018 г.</t>
      </is>
    </nc>
  </rcc>
  <rcc rId="6002" sId="9">
    <oc r="A1" t="inlineStr">
      <is>
        <t xml:space="preserve">                     Анализ исполнения бюджета Москакасинского сельского поселения на 01.08.2018 г.</t>
      </is>
    </oc>
    <nc r="A1" t="inlineStr">
      <is>
        <t xml:space="preserve">                     Анализ исполнения бюджета Москакасинского сельского поселения на 01.09.2018 г.</t>
      </is>
    </nc>
  </rcc>
  <rcc rId="6003" sId="10">
    <oc r="A1" t="inlineStr">
      <is>
        <t xml:space="preserve">                     Анализ исполнения бюджета Орининского сельского поселения на 01.08.2018 г.</t>
      </is>
    </oc>
    <nc r="A1" t="inlineStr">
      <is>
        <t xml:space="preserve">                     Анализ исполнения бюджета Орининского сельского поселения на 01.09.2018 г.</t>
      </is>
    </nc>
  </rcc>
  <rcc rId="6004" sId="10">
    <oc r="D3" t="inlineStr">
      <is>
        <t>исполнен на 01.08.2018 г.</t>
      </is>
    </oc>
    <nc r="D3" t="inlineStr">
      <is>
        <t>исполнен на 01.09.2018 г.</t>
      </is>
    </nc>
  </rcc>
  <rcc rId="6005" sId="10">
    <oc r="D54" t="inlineStr">
      <is>
        <t>исполнено на 01.08.2018 г.</t>
      </is>
    </oc>
    <nc r="D54" t="inlineStr">
      <is>
        <t>исполнено на 01.09.2018 г.</t>
      </is>
    </nc>
  </rcc>
  <rcc rId="6006" sId="11">
    <oc r="A1" t="inlineStr">
      <is>
        <t xml:space="preserve">                     Анализ исполнения бюджета Сятракасинского сельского поселения на 01.08.2018 г.</t>
      </is>
    </oc>
    <nc r="A1" t="inlineStr">
      <is>
        <t xml:space="preserve">                     Анализ исполнения бюджета Сятракасинского сельского поселения на 01.09.2018 г.</t>
      </is>
    </nc>
  </rcc>
  <rcc rId="6007" sId="11">
    <oc r="D3" t="inlineStr">
      <is>
        <t>исполнен на 01.08.2018 г.</t>
      </is>
    </oc>
    <nc r="D3" t="inlineStr">
      <is>
        <t>исполнен на 01.09.2018 г.</t>
      </is>
    </nc>
  </rcc>
  <rcc rId="6008" sId="11">
    <oc r="D54" t="inlineStr">
      <is>
        <t>исполнено на 01.08.2018 г.</t>
      </is>
    </oc>
    <nc r="D54" t="inlineStr">
      <is>
        <t>исполнено на 01.09.2018 г.</t>
      </is>
    </nc>
  </rcc>
  <rcc rId="6009" sId="12">
    <oc r="D54" t="inlineStr">
      <is>
        <t>исполнено на 01.08.2018 г.</t>
      </is>
    </oc>
    <nc r="D54" t="inlineStr">
      <is>
        <t>исполнено на 01.09.2018 г.</t>
      </is>
    </nc>
  </rcc>
  <rcc rId="6010" sId="12">
    <oc r="D3" t="inlineStr">
      <is>
        <t>исполнен на 01.08.2018 г.</t>
      </is>
    </oc>
    <nc r="D3" t="inlineStr">
      <is>
        <t>исполнен на 01.09.2018 г.</t>
      </is>
    </nc>
  </rcc>
  <rcc rId="6011" sId="12">
    <oc r="A1" t="inlineStr">
      <is>
        <t xml:space="preserve">                     Анализ исполнения бюджета Тораевского сельского поселения на 01.08.2018 г.</t>
      </is>
    </oc>
    <nc r="A1" t="inlineStr">
      <is>
        <t xml:space="preserve">                     Анализ исполнения бюджета Тораевского сельского поселения на 01.09.2018 г.</t>
      </is>
    </nc>
  </rcc>
  <rcc rId="6012" sId="13">
    <oc r="A1" t="inlineStr">
      <is>
        <t xml:space="preserve">                     Анализ исполнения бюджета Хорнойского сельского поселения на 01.08.2018 г.</t>
      </is>
    </oc>
    <nc r="A1" t="inlineStr">
      <is>
        <t xml:space="preserve">                     Анализ исполнения бюджета Хорнойского сельского поселения на 01.09.2018 г.</t>
      </is>
    </nc>
  </rcc>
  <rcc rId="6013" sId="13">
    <oc r="D3" t="inlineStr">
      <is>
        <t>исполнен на 01.08.2018 г.</t>
      </is>
    </oc>
    <nc r="D3" t="inlineStr">
      <is>
        <t>исполнен на 01.09.2018 г.</t>
      </is>
    </nc>
  </rcc>
  <rcc rId="6014" sId="13">
    <oc r="D52" t="inlineStr">
      <is>
        <t>исполнено на 01.08.2018 г.</t>
      </is>
    </oc>
    <nc r="D52" t="inlineStr">
      <is>
        <t>исполнено на 01.09.2018 г.</t>
      </is>
    </nc>
  </rcc>
  <rcc rId="6015" sId="14">
    <oc r="D54" t="inlineStr">
      <is>
        <t>исполнено на 01.08.2018 г.</t>
      </is>
    </oc>
    <nc r="D54" t="inlineStr">
      <is>
        <t>исполнено на 01.09.2018 г.</t>
      </is>
    </nc>
  </rcc>
  <rcc rId="6016" sId="14">
    <oc r="D3" t="inlineStr">
      <is>
        <t>исполнен на 01.08.2018 г.</t>
      </is>
    </oc>
    <nc r="D3" t="inlineStr">
      <is>
        <t>исполнен на 01.09.2018 г.</t>
      </is>
    </nc>
  </rcc>
  <rcc rId="6017" sId="14">
    <oc r="A1" t="inlineStr">
      <is>
        <t xml:space="preserve">                     Анализ исполнения бюджета Чуманкасинского сельского поселения на 01.08.2018 г.</t>
      </is>
    </oc>
    <nc r="A1" t="inlineStr">
      <is>
        <t xml:space="preserve">                     Анализ исполнения бюджета Чуманкасинского сельского поселения на 01.09.2018 г.</t>
      </is>
    </nc>
  </rcc>
  <rcc rId="6018" sId="15">
    <oc r="D54" t="inlineStr">
      <is>
        <t>исполнено на 01.08.2018 г.</t>
      </is>
    </oc>
    <nc r="D54" t="inlineStr">
      <is>
        <t>исполнено на 01.09.2018 г.</t>
      </is>
    </nc>
  </rcc>
  <rcc rId="6019" sId="15">
    <oc r="D3" t="inlineStr">
      <is>
        <t>исполнен на 01.08.2018 г.</t>
      </is>
    </oc>
    <nc r="D3" t="inlineStr">
      <is>
        <t>исполнен на 01.09.2018 г.</t>
      </is>
    </nc>
  </rcc>
  <rcc rId="6020" sId="15">
    <oc r="A1" t="inlineStr">
      <is>
        <t xml:space="preserve">                     Анализ исполнения бюджета Шатьмапосинского сельского поселения на 01.08.2018 г.</t>
      </is>
    </oc>
    <nc r="A1" t="inlineStr">
      <is>
        <t xml:space="preserve">                     Анализ исполнения бюджета Шатьмапосинского сельского поселения на 01.09.2018 г.</t>
      </is>
    </nc>
  </rcc>
  <rcc rId="6021" sId="16">
    <oc r="A1" t="inlineStr">
      <is>
        <t xml:space="preserve">                     Анализ исполнения бюджета Юнгинского сельского поселения на 01.08.2018 г.</t>
      </is>
    </oc>
    <nc r="A1" t="inlineStr">
      <is>
        <t xml:space="preserve">                     Анализ исполнения бюджета Юнгинского сельского поселения на 01.09.2018 г.</t>
      </is>
    </nc>
  </rcc>
  <rcc rId="6022" sId="16">
    <oc r="D3" t="inlineStr">
      <is>
        <t>исполнен на 01.08.2018 г.</t>
      </is>
    </oc>
    <nc r="D3" t="inlineStr">
      <is>
        <t>исполнен на 01.09.2018 г.</t>
      </is>
    </nc>
  </rcc>
  <rcc rId="6023" sId="16">
    <oc r="D53" t="inlineStr">
      <is>
        <t>исполнено на 01.08.2018 г.</t>
      </is>
    </oc>
    <nc r="D53" t="inlineStr">
      <is>
        <t>исполнено на 01.09.2018 г.</t>
      </is>
    </nc>
  </rcc>
  <rcc rId="6024" sId="17">
    <oc r="D55" t="inlineStr">
      <is>
        <t>исполнено на 01.08.2018г.</t>
      </is>
    </oc>
    <nc r="D55" t="inlineStr">
      <is>
        <t>исполнено на 01.09.2018г.</t>
      </is>
    </nc>
  </rcc>
  <rcc rId="6025" sId="17">
    <oc r="D3" t="inlineStr">
      <is>
        <t>исполнен на 01.08.2018 г.</t>
      </is>
    </oc>
    <nc r="D3" t="inlineStr">
      <is>
        <t>исполнен на 01.09.2018 г.</t>
      </is>
    </nc>
  </rcc>
  <rcc rId="6026" sId="17">
    <oc r="A1" t="inlineStr">
      <is>
        <t xml:space="preserve">                     Анализ исполнения бюджета Юськасинского сельского поселения на 01.08.2018 г.</t>
      </is>
    </oc>
    <nc r="A1" t="inlineStr">
      <is>
        <t xml:space="preserve">                     Анализ исполнения бюджета Юськасинского сельского поселения на 01.09.2018 г.</t>
      </is>
    </nc>
  </rcc>
  <rcc rId="6027" sId="18">
    <oc r="A1" t="inlineStr">
      <is>
        <t xml:space="preserve">                     Анализ исполнения бюджета Ярабайкасинского сельского поселения на 01.08.2018 г.</t>
      </is>
    </oc>
    <nc r="A1" t="inlineStr">
      <is>
        <t xml:space="preserve">                     Анализ исполнения бюджета Ярабайкасинского сельского поселения на 01.09.2018 г.</t>
      </is>
    </nc>
  </rcc>
  <rcc rId="6028" sId="18">
    <oc r="D3" t="inlineStr">
      <is>
        <t>исполнен на 01.08.2018 г.</t>
      </is>
    </oc>
    <nc r="D3" t="inlineStr">
      <is>
        <t>исполнен на 01.09.2018 г.</t>
      </is>
    </nc>
  </rcc>
  <rcc rId="6029" sId="18">
    <oc r="D55" t="inlineStr">
      <is>
        <t>исполнено на 01.08.2018 г.</t>
      </is>
    </oc>
    <nc r="D55" t="inlineStr">
      <is>
        <t>исполнено на 01.09.2018 г.</t>
      </is>
    </nc>
  </rcc>
  <rcc rId="6030" sId="19">
    <oc r="A1" t="inlineStr">
      <is>
        <t xml:space="preserve">                     Анализ исполнения бюджета Ярославского сельского поселения на 01.08.2018 г.</t>
      </is>
    </oc>
    <nc r="A1" t="inlineStr">
      <is>
        <t xml:space="preserve">                     Анализ исполнения бюджета Ярославского сельского поселения на 01.09.2018 г.</t>
      </is>
    </nc>
  </rcc>
  <rcc rId="6031" sId="19">
    <oc r="D3" t="inlineStr">
      <is>
        <t>исполнен на 01.08.2018 г.</t>
      </is>
    </oc>
    <nc r="D3" t="inlineStr">
      <is>
        <t>исполнен на 01.09.2018 г.</t>
      </is>
    </nc>
  </rcc>
  <rcc rId="6032" sId="19">
    <oc r="D51" t="inlineStr">
      <is>
        <t>исполнено на 01.08.2018 г.</t>
      </is>
    </oc>
    <nc r="D51" t="inlineStr">
      <is>
        <t>исполнено на 01.09.2018 г.</t>
      </is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</rdn>
  <rcv guid="{A54C432C-6C68-4B53-A75C-446EB3A61B2B}" action="add"/>
</revisions>
</file>

<file path=xl/revisions/revisionLog13011111.xml><?xml version="1.0" encoding="utf-8"?>
<revisions xmlns="http://schemas.openxmlformats.org/spreadsheetml/2006/main" xmlns:r="http://schemas.openxmlformats.org/officeDocument/2006/relationships">
  <ris rId="5836" sheetId="21" name="[анализ на 01.08.2018 - .xlsx]Лист2" sheetPosition="20"/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Консол!$22:$22,Консол!$43:$45,Консол!$82:$84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Иль!$19:$24,Иль!$30:$31,Иль!$33:$33,Иль!$45:$45,Иль!$50:$50,Иль!$60:$61,Иль!$68:$69,Иль!$77:$78,Иль!$80:$80,Иль!$82:$89,Иль!$92:$96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Кад!$19:$24,Кад!$44:$44,Кад!$56:$56,Кад!$58:$59,Кад!$66:$67,Кад!$82:$84,Кад!$88:$95</formula>
    <oldFormula>Кад!$19:$24,Кад!$44:$44,Кад!$56:$56,Кад!$58:$59,Кад!$66:$67,Кад!$88:$95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Мос!$19:$24,Мос!$44:$44,Мос!$47:$49,Мос!$57:$57,Мос!$59:$60,Мос!$67:$68,Мос!$80:$80,Мос!$82:$88,Мос!$93:$98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Ори!$19:$24,Ори!$32:$32,Ори!$44:$44,Ори!$48:$50,Ори!$57:$57,Ори!$59:$60,Ори!$67:$68,Ори!$77:$78,Ори!$80:$80,Ори!$82:$86,Ори!$90:$97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Сят!$19:$19,Сят!$45:$47,Сят!$57:$57,Сят!$59:$60,Сят!$67:$68,Сят!$82:$85,Сят!$89:$96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Тор!$19:$19,Тор!$50:$50,Тор!$57:$57,Тор!$59:$60,Тор!$67:$68,Тор!$74:$74,Тор!$78:$79,Тор!$82:$93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Юсь!$20:$24,Юсь!$40:$40,Юсь!$44:$49,Юсь!$58:$58,Юсь!$60:$61,Юсь!$68:$69,Юсь!$78:$79,Юсь!$82:$87,Юсь!$90:$97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Яра!$19:$24,Яра!$46:$50,Яра!$58:$58,Яра!$60:$61,Яра!$68:$69,Яра!$79:$79,Яра!$82:$88,Яра!$91:$98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Яро!$19:$24,Яро!$29:$30,Яро!$32:$32,Яро!$43:$43,Яро!$54:$54,Яро!$56:$57,Яро!$64:$65,Яро!$74:$75,Яро!$79:$84,Яро!$86:$93</formula>
    <oldFormula>Яро!$19:$24,Яро!$29:$30,Яро!$32:$32,Яро!$43:$43,Яро!$54:$54,Яро!$56:$57,Яро!$64:$65,Яро!$74:$75,Яро!$79:$83,Яро!$86:$93</oldFormula>
  </rdn>
  <rdn rId="0" localSheetId="20" customView="1" name="Z_5BFCA170_DEAE_4D2C_98A0_1E68B427AC01_.wvu.Rows" hidden="1" oldHidden="1">
    <formula>Лист1!$82:$84</formula>
  </rdn>
  <rcv guid="{5BFCA170-DEAE-4D2C-98A0-1E68B427AC01}" action="add"/>
</revisions>
</file>

<file path=xl/revisions/revisionLog1302.xml><?xml version="1.0" encoding="utf-8"?>
<revisions xmlns="http://schemas.openxmlformats.org/spreadsheetml/2006/main" xmlns:r="http://schemas.openxmlformats.org/officeDocument/2006/relationships">
  <rcc rId="6732" sId="8" numFmtId="4">
    <oc r="D6">
      <v>916.01430000000005</v>
    </oc>
    <nc r="D6">
      <v>1057.81862</v>
    </nc>
  </rcc>
  <rcc rId="6733" sId="8" numFmtId="4">
    <oc r="D8">
      <v>87.918340000000001</v>
    </oc>
    <nc r="D8">
      <v>103.30033</v>
    </nc>
  </rcc>
  <rcc rId="6734" sId="8" numFmtId="4">
    <oc r="D9">
      <v>0.72104000000000001</v>
    </oc>
    <nc r="D9">
      <v>0.88510999999999995</v>
    </nc>
  </rcc>
  <rcc rId="6735" sId="8" numFmtId="4">
    <oc r="D10">
      <v>133.95786000000001</v>
    </oc>
    <nc r="D10">
      <v>156.60111000000001</v>
    </nc>
  </rcc>
  <rcc rId="6736" sId="8" numFmtId="4">
    <oc r="D11">
      <v>-18.503270000000001</v>
    </oc>
    <nc r="D11">
      <v>-24.082630000000002</v>
    </nc>
  </rcc>
  <rcc rId="6737" sId="8" numFmtId="4">
    <oc r="D15">
      <v>53.876809999999999</v>
    </oc>
    <nc r="D15">
      <v>161.27687</v>
    </nc>
  </rcc>
  <rcc rId="6738" sId="8" numFmtId="4">
    <oc r="D16">
      <v>657.43588</v>
    </oc>
    <nc r="D16">
      <v>811.87428</v>
    </nc>
  </rcc>
  <rcc rId="6739" sId="8" numFmtId="4">
    <oc r="D41">
      <v>3108.998</v>
    </oc>
    <nc r="D41">
      <v>3387.6559999999999</v>
    </nc>
  </rcc>
  <rcc rId="6740" sId="8" numFmtId="4">
    <oc r="D43">
      <v>157.24199999999999</v>
    </oc>
    <nc r="D43">
      <v>171.66</v>
    </nc>
  </rcc>
  <rcc rId="6741" sId="8" numFmtId="4">
    <oc r="D13">
      <v>75.141279999999995</v>
    </oc>
    <nc r="D13">
      <v>75.141949999999994</v>
    </nc>
  </rcc>
  <rcc rId="6742" sId="8" numFmtId="34">
    <oc r="D58">
      <v>911.79267000000004</v>
    </oc>
    <nc r="D58">
      <v>1022.4704400000001</v>
    </nc>
  </rcc>
  <rcc rId="6743" sId="8" numFmtId="34">
    <nc r="D61">
      <v>68.039000000000001</v>
    </nc>
  </rcc>
  <rcc rId="6744" sId="8" numFmtId="34">
    <oc r="D74">
      <v>297.69054</v>
    </oc>
    <nc r="D74">
      <v>312.10854</v>
    </nc>
  </rcc>
  <rcc rId="6745" sId="8" numFmtId="34">
    <oc r="D79">
      <v>1355.42614</v>
    </oc>
    <nc r="D79">
      <v>1720.4601299999999</v>
    </nc>
  </rcc>
  <rcc rId="6746" sId="8" numFmtId="34">
    <oc r="D81">
      <v>1584</v>
    </oc>
    <nc r="D81">
      <v>1782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3021.xml><?xml version="1.0" encoding="utf-8"?>
<revisions xmlns="http://schemas.openxmlformats.org/spreadsheetml/2006/main" xmlns:r="http://schemas.openxmlformats.org/officeDocument/2006/relationships">
  <rcc rId="6411" sId="5">
    <oc r="G100">
      <f>D100-6500.84472</f>
    </oc>
    <nc r="G100"/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258" sId="14" numFmtId="4">
    <oc r="C42">
      <v>1.906663</v>
    </oc>
    <nc r="C42">
      <f>1897.5+9.163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Шать!$19:$19,Шать!$22:$25,Шать!$46:$49,Шать!$57:$57,Шать!$59:$61,Шать!$67:$68,Шать!$77:$78,Шать!$82:$86,Шать!$89:$96,Шать!$141:$141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fmt sheetId="14" sqref="C51:D52">
    <dxf>
      <numFmt numFmtId="4" formatCode="#,##0.00"/>
    </dxf>
  </rfmt>
  <rfmt sheetId="14" sqref="C51:D52">
    <dxf>
      <numFmt numFmtId="173" formatCode="#,##0.000"/>
    </dxf>
  </rfmt>
  <rfmt sheetId="14" sqref="C51:D52">
    <dxf>
      <numFmt numFmtId="183" formatCode="#,##0.0000"/>
    </dxf>
  </rfmt>
  <rfmt sheetId="14" sqref="C51:D52">
    <dxf>
      <numFmt numFmtId="172" formatCode="#,##0.00000"/>
    </dxf>
  </rfmt>
  <rfmt sheetId="14" sqref="C51:D52">
    <dxf>
      <numFmt numFmtId="180" formatCode="#,##0.000000"/>
    </dxf>
  </rfmt>
  <rfmt sheetId="14" sqref="C51:D52">
    <dxf>
      <numFmt numFmtId="184" formatCode="#,##0.0000000"/>
    </dxf>
  </rfmt>
  <rfmt sheetId="14" sqref="C51:D52">
    <dxf>
      <numFmt numFmtId="180" formatCode="#,##0.000000"/>
    </dxf>
  </rfmt>
  <rcc rId="229" sId="14" numFmtId="4">
    <oc r="D30">
      <v>16.198450000000001</v>
    </oc>
    <nc r="D30">
      <v>16.19961</v>
    </nc>
  </rcc>
  <rcc rId="230" sId="14" numFmtId="4">
    <oc r="D38">
      <v>-1.16E-3</v>
    </oc>
    <nc r="D38">
      <v>-1.1599999999999999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Чум!$19:$24,Чум!$31:$39,Чум!$46:$49,Чум!$57:$57,Чум!$59:$61,Чум!$67:$68,Чум!$77:$78,Чум!$82:$86,Чум!$89:$96,Чум!$141:$141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Шать!$19:$19,Шать!$22:$25,Шать!$46:$49,Шать!$57:$57,Шать!$59:$61,Шать!$67:$68,Шать!$77:$78,Шать!$82:$86,Шать!$89:$96,Шать!$141:$141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31111.xml><?xml version="1.0" encoding="utf-8"?>
<revisions xmlns="http://schemas.openxmlformats.org/spreadsheetml/2006/main" xmlns:r="http://schemas.openxmlformats.org/officeDocument/2006/relationships">
  <rcc rId="201" sId="14" numFmtId="4">
    <oc r="C42" t="inlineStr">
      <is>
        <t>1,906,663</t>
      </is>
    </oc>
    <nc r="C42">
      <v>1.906663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Чум!$19:$24,Чум!$31:$39,Чум!$46:$49,Чум!$57:$57,Чум!$59:$61,Чум!$67:$68,Чум!$77:$78,Чум!$82:$86,Чум!$89:$96,Чум!$141:$141</formula>
    <oldFormula>Чум!$19:$24,Чум!$31:$39,Чум!$46:$49,Чум!$57:$57,Чум!$59:$61,Чум!$67:$68,Чум!$77:$78,Чум!$82:$86,Чум!$89:$96,Чум!$141:$141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Шать!$19:$19,Шать!$22:$25,Шать!$46:$49,Шать!$57:$57,Шать!$59:$61,Шать!$67:$68,Шать!$77:$78,Шать!$82:$86,Шать!$89:$96,Шать!$141:$141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312.xml><?xml version="1.0" encoding="utf-8"?>
<revisions xmlns="http://schemas.openxmlformats.org/spreadsheetml/2006/main" xmlns:r="http://schemas.openxmlformats.org/officeDocument/2006/relationships">
  <rcc rId="286" sId="14">
    <nc r="G51">
      <f>D51-1785.283</f>
    </nc>
  </rcc>
  <rcc rId="287" sId="14" numFmtId="4">
    <oc r="D13">
      <v>69.827370000000002</v>
    </oc>
    <nc r="D13">
      <v>37.57996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Шать!$19:$19,Шать!$22:$25,Шать!$46:$49,Шать!$57:$57,Шать!$59:$61,Шать!$67:$68,Шать!$77:$78,Шать!$82:$86,Шать!$89:$96,Шать!$141:$141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313.xml><?xml version="1.0" encoding="utf-8"?>
<revisions xmlns="http://schemas.openxmlformats.org/spreadsheetml/2006/main" xmlns:r="http://schemas.openxmlformats.org/officeDocument/2006/relationships">
  <rcc rId="6513" sId="7" numFmtId="34">
    <oc r="D6">
      <v>231.94396</v>
    </oc>
    <nc r="D6">
      <v>272.32997</v>
    </nc>
  </rcc>
  <rcc rId="6514" sId="7" numFmtId="34">
    <oc r="D8">
      <v>179.05319</v>
    </oc>
    <nc r="D8">
      <v>210.37995000000001</v>
    </nc>
  </rcc>
  <rcc rId="6515" sId="7" numFmtId="34">
    <oc r="D9">
      <v>1.4684600000000001</v>
    </oc>
    <nc r="D9">
      <v>1.8025800000000001</v>
    </nc>
  </rcc>
  <rcc rId="6516" sId="7" numFmtId="34">
    <oc r="D10">
      <v>272.81662</v>
    </oc>
    <nc r="D10">
      <v>318.93153000000001</v>
    </nc>
  </rcc>
  <rcc rId="6517" sId="7" numFmtId="4">
    <oc r="D11">
      <v>-37.683619999999998</v>
    </oc>
    <nc r="D11">
      <v>-49.046460000000003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313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32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321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3211.xml><?xml version="1.0" encoding="utf-8"?>
<revisions xmlns="http://schemas.openxmlformats.org/spreadsheetml/2006/main" xmlns:r="http://schemas.openxmlformats.org/officeDocument/2006/relationships">
  <rcc rId="3160" sId="5" numFmtId="4">
    <oc r="C63">
      <v>0</v>
    </oc>
    <nc r="C63">
      <v>5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32111.xml><?xml version="1.0" encoding="utf-8"?>
<revisions xmlns="http://schemas.openxmlformats.org/spreadsheetml/2006/main" xmlns:r="http://schemas.openxmlformats.org/officeDocument/2006/relationships">
  <rcc rId="481" sId="15" numFmtId="34">
    <oc r="C58">
      <v>1087.1479999999999</v>
    </oc>
    <nc r="C58">
      <v>1100.9659999999999</v>
    </nc>
  </rcc>
  <rcc rId="482" sId="15" numFmtId="34">
    <oc r="D58">
      <v>388.84661</v>
    </oc>
    <nc r="D58">
      <v>511.92984999999999</v>
    </nc>
  </rcc>
  <rcc rId="483" sId="15" numFmtId="34">
    <oc r="C61">
      <v>0</v>
    </oc>
    <nc r="C61">
      <v>32.152000000000001</v>
    </nc>
  </rcc>
  <rcc rId="484" sId="15" numFmtId="34">
    <oc r="D61">
      <v>0</v>
    </oc>
    <nc r="D61">
      <v>32.152000000000001</v>
    </nc>
  </rcc>
  <rcc rId="485" sId="15" numFmtId="34">
    <oc r="C62">
      <v>5</v>
    </oc>
    <nc r="C62">
      <v>1</v>
    </nc>
  </rcc>
  <rcc rId="486" sId="15" numFmtId="34">
    <oc r="D63">
      <v>4.6425000000000001</v>
    </oc>
    <nc r="D63">
      <v>5.6425000000000001</v>
    </nc>
  </rcc>
  <rcc rId="487" sId="15" numFmtId="34">
    <oc r="D65">
      <v>24.747440000000001</v>
    </oc>
    <nc r="D65">
      <v>33.630549999999999</v>
    </nc>
  </rcc>
  <rcc rId="488" sId="15" numFmtId="34">
    <oc r="C72">
      <f>1.9+5.6</f>
    </oc>
    <nc r="C72">
      <v>8.2590000000000003</v>
    </nc>
  </rcc>
  <rcc rId="489" sId="15" numFmtId="34">
    <oc r="C73">
      <f>29.995+50</f>
    </oc>
    <nc r="C73">
      <v>60</v>
    </nc>
  </rcc>
  <rcc rId="490" sId="15" numFmtId="34">
    <oc r="D73">
      <v>5.6929699999999999</v>
    </oc>
    <nc r="D73">
      <v>5.5929700000000002</v>
    </nc>
  </rcc>
  <rcc rId="491" sId="15" numFmtId="34">
    <oc r="C74">
      <v>1131.4865299999999</v>
    </oc>
    <nc r="C74">
      <v>1130.08653</v>
    </nc>
  </rcc>
  <rcc rId="492" sId="15" numFmtId="34">
    <oc r="D74">
      <f>192.31038</f>
    </oc>
    <nc r="D74">
      <v>192.31038000000001</v>
    </nc>
  </rcc>
  <rcc rId="493" sId="15" numFmtId="34">
    <oc r="D75">
      <v>0</v>
    </oc>
    <nc r="D75">
      <v>6</v>
    </nc>
  </rcc>
  <rcc rId="494" sId="15" numFmtId="34">
    <oc r="C79">
      <f>148.6+70+5</f>
    </oc>
    <nc r="C79">
      <v>211.602</v>
    </nc>
  </rcc>
  <rcc rId="495" sId="15" numFmtId="34">
    <oc r="D79">
      <f>10+32.97192+5</f>
    </oc>
    <nc r="D79">
      <v>80.895979999999994</v>
    </nc>
  </rcc>
  <rcc rId="496" sId="15" numFmtId="34">
    <oc r="C81">
      <v>690.66250000000002</v>
    </oc>
    <nc r="C81">
      <v>689.50350000000003</v>
    </nc>
  </rcc>
  <rcc rId="497" sId="15" numFmtId="34">
    <oc r="D81">
      <v>276.70299999999997</v>
    </oc>
    <nc r="D81">
      <v>333.70299999999997</v>
    </nc>
  </rcc>
  <rcc rId="498" sId="15" numFmtId="34">
    <oc r="C88">
      <v>4</v>
    </oc>
    <nc r="C88">
      <v>5</v>
    </nc>
  </rcc>
  <rcc rId="499" sId="15" numFmtId="34">
    <oc r="D88">
      <v>3.9980000000000002</v>
    </oc>
    <nc r="D88">
      <v>5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33.xml><?xml version="1.0" encoding="utf-8"?>
<revisions xmlns="http://schemas.openxmlformats.org/spreadsheetml/2006/main" xmlns:r="http://schemas.openxmlformats.org/officeDocument/2006/relationships">
  <rcc rId="4044" sId="16" numFmtId="4">
    <oc r="C43">
      <v>457.19</v>
    </oc>
    <nc r="C43">
      <v>457.16199999999998</v>
    </nc>
  </rcc>
  <rcc rId="4045" sId="16" numFmtId="4">
    <oc r="C45">
      <v>0</v>
    </oc>
    <nc r="C45">
      <v>120</v>
    </nc>
  </rcc>
  <rcc rId="4046" sId="16" numFmtId="34">
    <oc r="D57">
      <v>640.58381999999995</v>
    </oc>
    <nc r="D57">
      <v>762.43084999999996</v>
    </nc>
  </rcc>
  <rcc rId="4047" sId="16" numFmtId="34">
    <oc r="D64">
      <v>35.529000000000003</v>
    </oc>
    <nc r="D64">
      <v>41.47</v>
    </nc>
  </rcc>
  <rcc rId="4048" sId="16" numFmtId="34">
    <oc r="D69">
      <v>4.2</v>
    </oc>
    <nc r="D69">
      <v>5.7</v>
    </nc>
  </rcc>
  <rcc rId="4049" sId="16" numFmtId="34">
    <oc r="D73">
      <v>336.48822000000001</v>
    </oc>
    <nc r="D73">
      <v>384.07621</v>
    </nc>
  </rcc>
  <rcc rId="4050" sId="16" numFmtId="34">
    <oc r="D74">
      <v>19.5</v>
    </oc>
    <nc r="D74">
      <v>23</v>
    </nc>
  </rcc>
  <rcc rId="4051" sId="16" numFmtId="34">
    <oc r="C74">
      <v>46.107999999999997</v>
    </oc>
    <nc r="C74">
      <v>59.107999999999997</v>
    </nc>
  </rcc>
  <rcc rId="4052" sId="16" numFmtId="34">
    <oc r="C78">
      <v>600.10599999999999</v>
    </oc>
    <nc r="C78">
      <v>707.07799999999997</v>
    </nc>
  </rcc>
  <rcc rId="4053" sId="16" numFmtId="34">
    <oc r="D78">
      <v>102.19947999999999</v>
    </oc>
    <nc r="D78">
      <v>106.15376000000001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33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33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331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34.xml><?xml version="1.0" encoding="utf-8"?>
<revisions xmlns="http://schemas.openxmlformats.org/spreadsheetml/2006/main" xmlns:r="http://schemas.openxmlformats.org/officeDocument/2006/relationships">
  <rcc rId="6843" sId="19" numFmtId="34">
    <oc r="D55">
      <v>699.62774000000002</v>
    </oc>
    <nc r="D55">
      <v>801.32872999999995</v>
    </nc>
  </rcc>
  <rcc rId="6844" sId="19" numFmtId="34">
    <oc r="D62">
      <v>38.918430000000001</v>
    </oc>
    <nc r="D62">
      <v>46.185540000000003</v>
    </nc>
  </rcc>
  <rcc rId="6845" sId="19" numFmtId="34">
    <oc r="D67">
      <v>13.106</v>
    </oc>
    <nc r="D67">
      <v>14.436</v>
    </nc>
  </rcc>
  <rcc rId="6846" sId="19" numFmtId="34">
    <oc r="D71">
      <f>219.00002+315.46284</f>
    </oc>
    <nc r="D71">
      <v>720.19110000000001</v>
    </nc>
  </rcc>
  <rcc rId="6847" sId="19" numFmtId="34">
    <oc r="D76">
      <f>13.13831+59.50675+4.9</f>
    </oc>
    <nc r="D76">
      <v>80.997519999999994</v>
    </nc>
  </rcc>
  <rcc rId="6848" sId="19" numFmtId="34">
    <oc r="D78">
      <v>435</v>
    </oc>
    <nc r="D78">
      <v>435.07100000000003</v>
    </nc>
  </rcc>
</revisions>
</file>

<file path=xl/revisions/revisionLog134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3411.xml><?xml version="1.0" encoding="utf-8"?>
<revisions xmlns="http://schemas.openxmlformats.org/spreadsheetml/2006/main" xmlns:r="http://schemas.openxmlformats.org/officeDocument/2006/relationships">
  <rfmt sheetId="4" sqref="C52:C84">
    <dxf>
      <numFmt numFmtId="176" formatCode="_(* #,##0.0000_);_(* \(#,##0.0000\);_(* &quot;-&quot;??_);_(@_)"/>
    </dxf>
  </rfmt>
  <rfmt sheetId="4" sqref="C52:C84">
    <dxf>
      <numFmt numFmtId="184" formatCode="_(* #,##0.000_);_(* \(#,##0.000\);_(* &quot;-&quot;??_);_(@_)"/>
    </dxf>
  </rfmt>
  <rfmt sheetId="4" sqref="C52:C84">
    <dxf>
      <numFmt numFmtId="165" formatCode="_(* #,##0.00_);_(* \(#,##0.00\);_(* &quot;-&quot;??_);_(@_)"/>
    </dxf>
  </rfmt>
  <rfmt sheetId="4" sqref="C52:C84">
    <dxf>
      <numFmt numFmtId="169" formatCode="_(* #,##0.0_);_(* \(#,##0.0\);_(* &quot;-&quot;??_);_(@_)"/>
    </dxf>
  </rfmt>
  <rcc rId="6215" sId="4" numFmtId="34">
    <oc r="D54">
      <v>615.05649000000005</v>
    </oc>
    <nc r="D54">
      <v>682.70488</v>
    </nc>
  </rcc>
  <rcc rId="6216" sId="4" numFmtId="34">
    <oc r="D61">
      <v>41.253</v>
    </oc>
    <nc r="D61">
      <v>48.521500000000003</v>
    </nc>
  </rcc>
  <rcc rId="6217" sId="4" numFmtId="34">
    <oc r="D65">
      <v>0</v>
    </oc>
    <nc r="D65">
      <v>2.80287</v>
    </nc>
  </rcc>
  <rcc rId="6218" sId="4" numFmtId="34">
    <oc r="D70">
      <v>283.22212000000002</v>
    </oc>
    <nc r="D70">
      <v>720.63467000000003</v>
    </nc>
  </rcc>
  <rcc rId="6219" sId="4" numFmtId="34">
    <oc r="D75">
      <v>172.11322000000001</v>
    </oc>
    <nc r="D75">
      <v>172.11521999999999</v>
    </nc>
  </rcc>
  <rcc rId="6220" sId="4" numFmtId="34">
    <oc r="D77">
      <v>719.48599999999999</v>
    </oc>
    <nc r="D77">
      <v>749.48599999999999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35.xml><?xml version="1.0" encoding="utf-8"?>
<revisions xmlns="http://schemas.openxmlformats.org/spreadsheetml/2006/main" xmlns:r="http://schemas.openxmlformats.org/officeDocument/2006/relationships">
  <rcc rId="6920" sId="18" numFmtId="34">
    <oc r="D59">
      <v>647.06447000000003</v>
    </oc>
    <nc r="D59">
      <v>732.42740000000003</v>
    </nc>
  </rcc>
  <rcc rId="6921" sId="18" numFmtId="34">
    <oc r="D66">
      <v>82.892449999999997</v>
    </oc>
    <nc r="D66">
      <v>108.21825</v>
    </nc>
  </rcc>
  <rcc rId="6922" sId="18" numFmtId="34">
    <oc r="D74">
      <f>1.0371+2.7129</f>
    </oc>
    <nc r="D74">
      <v>3.75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351.xml><?xml version="1.0" encoding="utf-8"?>
<revisions xmlns="http://schemas.openxmlformats.org/spreadsheetml/2006/main" xmlns:r="http://schemas.openxmlformats.org/officeDocument/2006/relationships">
  <rcc rId="6381" sId="5" odxf="1" dxf="1">
    <nc r="G100">
      <f>D100-6500.84472</f>
    </nc>
    <odxf>
      <numFmt numFmtId="0" formatCode="General"/>
    </odxf>
    <ndxf>
      <numFmt numFmtId="168" formatCode="0.00000"/>
    </ndxf>
  </rcc>
  <rcc rId="6382" sId="5" numFmtId="4">
    <oc r="D70">
      <v>0</v>
    </oc>
    <nc r="D70">
      <v>2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36.xml><?xml version="1.0" encoding="utf-8"?>
<revisions xmlns="http://schemas.openxmlformats.org/spreadsheetml/2006/main" xmlns:r="http://schemas.openxmlformats.org/officeDocument/2006/relationships">
  <rcc rId="6849" sId="18" numFmtId="4">
    <oc r="D6">
      <v>77.576430000000002</v>
    </oc>
    <nc r="D6">
      <v>82.744500000000002</v>
    </nc>
  </rcc>
</revisions>
</file>

<file path=xl/revisions/revisionLog1361.xml><?xml version="1.0" encoding="utf-8"?>
<revisions xmlns="http://schemas.openxmlformats.org/spreadsheetml/2006/main" xmlns:r="http://schemas.openxmlformats.org/officeDocument/2006/relationships">
  <rcc rId="6581" sId="7" numFmtId="34">
    <oc r="C41">
      <v>1202.1279999999999</v>
    </oc>
    <nc r="C41">
      <v>1128.914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37.xml><?xml version="1.0" encoding="utf-8"?>
<revisions xmlns="http://schemas.openxmlformats.org/spreadsheetml/2006/main" xmlns:r="http://schemas.openxmlformats.org/officeDocument/2006/relationships"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38.xml><?xml version="1.0" encoding="utf-8"?>
<revisions xmlns="http://schemas.openxmlformats.org/spreadsheetml/2006/main" xmlns:r="http://schemas.openxmlformats.org/officeDocument/2006/relationships">
  <rfmt sheetId="2" sqref="D14:D29">
    <dxf>
      <numFmt numFmtId="183" formatCode="#,##0.0000"/>
    </dxf>
  </rfmt>
  <rfmt sheetId="2" sqref="D14:D29">
    <dxf>
      <numFmt numFmtId="173" formatCode="#,##0.000"/>
    </dxf>
  </rfmt>
  <rfmt sheetId="2" sqref="D14:D29">
    <dxf>
      <numFmt numFmtId="4" formatCode="#,##0.00"/>
    </dxf>
  </rfmt>
  <rfmt sheetId="2" sqref="D14:D29">
    <dxf>
      <numFmt numFmtId="167" formatCode="#,##0.0"/>
    </dxf>
  </rfmt>
  <rfmt sheetId="2" sqref="CA14:CA29">
    <dxf>
      <numFmt numFmtId="183" formatCode="#,##0.0000"/>
    </dxf>
  </rfmt>
  <rfmt sheetId="2" sqref="CA14:CA29">
    <dxf>
      <numFmt numFmtId="173" formatCode="#,##0.000"/>
    </dxf>
  </rfmt>
  <rfmt sheetId="2" sqref="CA14:CA29">
    <dxf>
      <numFmt numFmtId="4" formatCode="#,##0.00"/>
    </dxf>
  </rfmt>
  <rfmt sheetId="2" sqref="CA14:CA29">
    <dxf>
      <numFmt numFmtId="167" formatCode="#,##0.0"/>
    </dxf>
  </rfmt>
  <rfmt sheetId="2" sqref="CA14:CA29">
    <dxf>
      <numFmt numFmtId="3" formatCode="#,##0"/>
    </dxf>
  </rfmt>
  <rfmt sheetId="2" sqref="CA14:CA29">
    <dxf>
      <numFmt numFmtId="167" formatCode="#,##0.0"/>
    </dxf>
  </rfmt>
  <rfmt sheetId="2" sqref="DH14:DH29">
    <dxf>
      <numFmt numFmtId="172" formatCode="#,##0.00000"/>
    </dxf>
  </rfmt>
  <rfmt sheetId="2" sqref="DH14:DH29">
    <dxf>
      <numFmt numFmtId="183" formatCode="#,##0.0000"/>
    </dxf>
  </rfmt>
  <rfmt sheetId="2" sqref="DH14:DH29">
    <dxf>
      <numFmt numFmtId="173" formatCode="#,##0.000"/>
    </dxf>
  </rfmt>
  <rfmt sheetId="2" sqref="DH14:DH29">
    <dxf>
      <numFmt numFmtId="4" formatCode="#,##0.00"/>
    </dxf>
  </rfmt>
  <rfmt sheetId="2" sqref="DH14:DH29">
    <dxf>
      <numFmt numFmtId="167" formatCode="#,##0.0"/>
    </dxf>
  </rfmt>
  <rfmt sheetId="2" sqref="DP15:DP29">
    <dxf>
      <numFmt numFmtId="3" formatCode="#,##0"/>
    </dxf>
  </rfmt>
  <rfmt sheetId="2" sqref="DP15:DP29">
    <dxf>
      <numFmt numFmtId="167" formatCode="#,##0.0"/>
    </dxf>
  </rfmt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591" sId="15">
    <oc r="E82">
      <f>SUM(D82/C82*100)</f>
    </oc>
    <nc r="E82">
      <f>SUM(D82/C82*100)</f>
    </nc>
  </rcc>
  <rcc rId="592" sId="15" numFmtId="34">
    <oc r="C88">
      <v>5</v>
    </oc>
    <nc r="C88">
      <v>4</v>
    </nc>
  </rcc>
  <rcc rId="593" sId="15" numFmtId="34">
    <oc r="D88">
      <v>5</v>
    </oc>
    <nc r="D88">
      <v>3.9980000000000002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438" sId="15" numFmtId="4">
    <oc r="D6">
      <v>14.642099999999999</v>
    </oc>
    <nc r="D6">
      <v>14.943250000000001</v>
    </nc>
  </rcc>
  <rcc rId="439" sId="15" numFmtId="4">
    <oc r="D8">
      <v>55.794550000000001</v>
    </oc>
    <nc r="D8">
      <v>67.523889999999994</v>
    </nc>
  </rcc>
  <rcc rId="440" sId="15" numFmtId="4">
    <oc r="D9">
      <v>0.41558</v>
    </oc>
    <nc r="D9">
      <v>0.51192000000000004</v>
    </nc>
  </rcc>
  <rcc rId="441" sId="15" numFmtId="4">
    <oc r="D10">
      <v>84.572010000000006</v>
    </oc>
    <nc r="D10">
      <v>101.80171</v>
    </nc>
  </rcc>
  <rcc rId="442" sId="15" numFmtId="4">
    <oc r="D11">
      <v>-11.552429999999999</v>
    </oc>
    <nc r="D11">
      <v>-14.02943</v>
    </nc>
  </rcc>
  <rcc rId="443" sId="15" numFmtId="4">
    <oc r="D13">
      <v>8.4648000000000003</v>
    </oc>
    <nc r="D13">
      <v>8.5609699999999993</v>
    </nc>
  </rcc>
  <rcc rId="444" sId="15" numFmtId="4">
    <oc r="D15">
      <v>3.2214299999999998</v>
    </oc>
    <nc r="D15">
      <v>3.6221100000000002</v>
    </nc>
  </rcc>
  <rcc rId="445" sId="15" numFmtId="4">
    <oc r="D16">
      <v>21.286909999999999</v>
    </oc>
    <nc r="D16">
      <v>22.8521</v>
    </nc>
  </rcc>
  <rfmt sheetId="15" sqref="C21:D21" start="0" length="2147483647">
    <dxf>
      <font>
        <b val="0"/>
      </font>
    </dxf>
  </rfmt>
  <rcc rId="446" sId="15" numFmtId="4">
    <oc r="D21">
      <v>0.55000000000000004</v>
    </oc>
    <nc r="D21">
      <v>0</v>
    </nc>
  </rcc>
  <rcc rId="447" sId="15" numFmtId="4">
    <oc r="D28">
      <v>10.837999999999999</v>
    </oc>
    <nc r="D28">
      <v>13.005599999999999</v>
    </nc>
  </rcc>
  <rcc rId="448" sId="15" numFmtId="4">
    <oc r="D30">
      <v>5.6929699999999999</v>
    </oc>
    <nc r="D30">
      <v>6.5733199999999998</v>
    </nc>
  </rcc>
  <rcc rId="449" sId="15" numFmtId="4">
    <oc r="C42">
      <f>1209.5+20.448</f>
    </oc>
    <nc r="C42">
      <v>1243.7660000000001</v>
    </nc>
  </rcc>
  <rcc rId="450" sId="15" numFmtId="4">
    <oc r="D42">
      <v>582.70299999999997</v>
    </oc>
    <nc r="D42">
      <v>761.779</v>
    </nc>
  </rcc>
  <rcc rId="451" sId="15" numFmtId="4">
    <oc r="C44">
      <v>726.52</v>
    </oc>
    <nc r="C44">
      <v>725.12</v>
    </nc>
  </rcc>
  <rcc rId="452" sId="15" numFmtId="4">
    <oc r="C45">
      <v>72.495999999999995</v>
    </oc>
    <nc r="C45">
      <v>73.254999999999995</v>
    </nc>
  </rcc>
  <rcc rId="453" sId="15" numFmtId="4">
    <oc r="D45">
      <v>29.605</v>
    </oc>
    <nc r="D45">
      <v>35.545999999999999</v>
    </nc>
  </rcc>
  <rfmt sheetId="15" sqref="C51:D52">
    <dxf>
      <numFmt numFmtId="165" formatCode="_(* #,##0.00_);_(* \(#,##0.00\);_(* &quot;-&quot;??_);_(@_)"/>
    </dxf>
  </rfmt>
  <rfmt sheetId="15" sqref="C51:D52">
    <dxf>
      <numFmt numFmtId="185" formatCode="_(* #,##0.000_);_(* \(#,##0.000\);_(* &quot;-&quot;??_);_(@_)"/>
    </dxf>
  </rfmt>
  <rfmt sheetId="15" sqref="C51:D52">
    <dxf>
      <numFmt numFmtId="176" formatCode="_(* #,##0.0000_);_(* \(#,##0.0000\);_(* &quot;-&quot;??_);_(@_)"/>
    </dxf>
  </rfmt>
  <rfmt sheetId="15" sqref="C51:D52">
    <dxf>
      <numFmt numFmtId="177" formatCode="_(* #,##0.00000_);_(* \(#,##0.00000\);_(* &quot;-&quot;??_);_(@_)"/>
    </dxf>
  </rfmt>
  <rfmt sheetId="15" sqref="C51:D52">
    <dxf>
      <numFmt numFmtId="186" formatCode="_(* #,##0.000000_);_(* \(#,##0.000000\);_(* &quot;-&quot;??_);_(@_)"/>
    </dxf>
  </rfmt>
  <rfmt sheetId="15" sqref="C51:D52">
    <dxf>
      <numFmt numFmtId="177" formatCode="_(* #,##0.00000_);_(* \(#,##0.00000\);_(* &quot;-&quot;??_);_(@_)"/>
    </dxf>
  </rfmt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c rId="399" sId="14" numFmtId="34">
    <oc r="C58">
      <v>1271.9290000000001</v>
    </oc>
    <nc r="C58">
      <v>1274.5630000000001</v>
    </nc>
  </rcc>
  <rcc rId="400" sId="14" numFmtId="34">
    <oc r="D58">
      <v>469.34219000000002</v>
    </oc>
    <nc r="D58">
      <v>564.85103000000004</v>
    </nc>
  </rcc>
  <rcc rId="401" sId="14" numFmtId="34">
    <oc r="D63">
      <v>10.3475</v>
    </oc>
    <nc r="D63">
      <v>11.3475</v>
    </nc>
  </rcc>
  <rcc rId="402" sId="14" numFmtId="34">
    <oc r="D65">
      <v>25.157160000000001</v>
    </oc>
    <nc r="D65">
      <v>34.226469999999999</v>
    </nc>
  </rcc>
  <rcc rId="403" sId="14" numFmtId="34">
    <oc r="C72">
      <f>2.4+6.35</f>
    </oc>
    <nc r="C72">
      <v>9.7089999999999996</v>
    </nc>
  </rcc>
  <rcc rId="404" sId="14" numFmtId="34">
    <oc r="C73">
      <f>39.96+35</f>
    </oc>
    <nc r="C73">
      <v>79.168999999999997</v>
    </nc>
  </rcc>
  <rcc rId="405" sId="14" numFmtId="34">
    <oc r="D73">
      <f>39.96+22.20834</f>
    </oc>
    <nc r="D73">
      <v>62.168340000000001</v>
    </nc>
  </rcc>
  <rcc rId="406" sId="14" numFmtId="34">
    <oc r="C74">
      <f>568.95153</f>
    </oc>
    <nc r="C74">
      <v>844.95153000000005</v>
    </nc>
  </rcc>
  <rcc rId="407" sId="14" numFmtId="34">
    <oc r="C79">
      <f>215+139.75+10+165.8</f>
    </oc>
    <nc r="C79">
      <v>490.59100000000001</v>
    </nc>
  </rcc>
  <rcc rId="408" sId="14">
    <oc r="D80">
      <f>SUM(D81)</f>
    </oc>
    <nc r="D80">
      <f>SUM(D81)</f>
    </nc>
  </rcc>
  <rcc rId="409" sId="14" numFmtId="34">
    <oc r="D79">
      <f>63.86694+65.37226+5.45+42.30164</f>
    </oc>
    <nc r="D79">
      <v>270.50054</v>
    </nc>
  </rcc>
  <rcc rId="410" sId="14" numFmtId="34">
    <oc r="D81">
      <v>363.67</v>
    </oc>
    <nc r="D81">
      <v>436.404</v>
    </nc>
  </rcc>
  <rfmt sheetId="14" sqref="C97:D97">
    <dxf>
      <numFmt numFmtId="4" formatCode="#,##0.00"/>
    </dxf>
  </rfmt>
  <rfmt sheetId="14" sqref="C97:D97">
    <dxf>
      <numFmt numFmtId="173" formatCode="#,##0.000"/>
    </dxf>
  </rfmt>
  <rfmt sheetId="14" sqref="C97:D97">
    <dxf>
      <numFmt numFmtId="183" formatCode="#,##0.0000"/>
    </dxf>
  </rfmt>
  <rfmt sheetId="14" sqref="C97:D97">
    <dxf>
      <numFmt numFmtId="172" formatCode="#,##0.00000"/>
    </dxf>
  </rfmt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Шать!$19:$19,Шать!$22:$25,Шать!$46:$49,Шать!$57:$57,Шать!$59:$61,Шать!$67:$68,Шать!$77:$78,Шать!$82:$86,Шать!$89:$96,Шать!$141:$141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41111.xml><?xml version="1.0" encoding="utf-8"?>
<revisions xmlns="http://schemas.openxmlformats.org/spreadsheetml/2006/main" xmlns:r="http://schemas.openxmlformats.org/officeDocument/2006/relationships">
  <rcc rId="371" sId="14">
    <oc r="G51">
      <f>D51-1785.283</f>
    </oc>
    <nc r="G51"/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Шать!$19:$19,Шать!$22:$25,Шать!$46:$49,Шать!$57:$57,Шать!$59:$61,Шать!$67:$68,Шать!$77:$78,Шать!$82:$86,Шать!$89:$96,Шать!$141:$141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411111.xml><?xml version="1.0" encoding="utf-8"?>
<revisions xmlns="http://schemas.openxmlformats.org/spreadsheetml/2006/main" xmlns:r="http://schemas.openxmlformats.org/officeDocument/2006/relationships">
  <rcc rId="343" sId="14" numFmtId="4">
    <oc r="D38">
      <v>-1.1599999999999999</v>
    </oc>
    <nc r="D38">
      <v>-1.16E-3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Шать!$19:$19,Шать!$22:$25,Шать!$46:$49,Шать!$57:$57,Шать!$59:$61,Шать!$67:$68,Шать!$77:$78,Шать!$82:$86,Шать!$89:$96,Шать!$141:$141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42.xml><?xml version="1.0" encoding="utf-8"?>
<revisions xmlns="http://schemas.openxmlformats.org/spreadsheetml/2006/main" xmlns:r="http://schemas.openxmlformats.org/officeDocument/2006/relationships">
  <rcc rId="7441" sId="16" numFmtId="4">
    <oc r="D6">
      <v>78.698899999999995</v>
    </oc>
    <nc r="D6">
      <v>78.698989999999995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421.xml><?xml version="1.0" encoding="utf-8"?>
<revisions xmlns="http://schemas.openxmlformats.org/spreadsheetml/2006/main" xmlns:r="http://schemas.openxmlformats.org/officeDocument/2006/relationships"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4211.xml><?xml version="1.0" encoding="utf-8"?>
<revisions xmlns="http://schemas.openxmlformats.org/spreadsheetml/2006/main" xmlns:r="http://schemas.openxmlformats.org/officeDocument/2006/relationships">
  <rcc rId="7199" sId="17" numFmtId="34">
    <nc r="D100">
      <v>3995.0082000000002</v>
    </nc>
  </rcc>
  <rcc rId="7200" sId="17" odxf="1" dxf="1">
    <nc r="E100">
      <f>D100-D98</f>
    </nc>
    <odxf>
      <numFmt numFmtId="0" formatCode="General"/>
    </odxf>
    <ndxf>
      <numFmt numFmtId="171" formatCode="_-* #,##0.00000_р_._-;\-* #,##0.00000_р_._-;_-* &quot;-&quot;?????_р_._-;_-@_-"/>
    </ndxf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42111.xml><?xml version="1.0" encoding="utf-8"?>
<revisions xmlns="http://schemas.openxmlformats.org/spreadsheetml/2006/main" xmlns:r="http://schemas.openxmlformats.org/officeDocument/2006/relationships">
  <rcc rId="771" sId="16" numFmtId="4">
    <oc r="D6">
      <v>50.571440000000003</v>
    </oc>
    <nc r="D6">
      <v>59.27881</v>
    </nc>
  </rcc>
  <rcc rId="772" sId="16" numFmtId="4">
    <oc r="D8">
      <v>86.093599999999995</v>
    </oc>
    <nc r="D8">
      <v>104.19253</v>
    </nc>
  </rcc>
  <rcc rId="773" sId="16" numFmtId="4">
    <oc r="D9">
      <v>0.64132</v>
    </oc>
    <nc r="D9">
      <v>0.78986000000000001</v>
    </nc>
  </rcc>
  <rcc rId="774" sId="16" numFmtId="4">
    <oc r="D10">
      <v>130.49847</v>
    </oc>
    <nc r="D10">
      <v>157.08475999999999</v>
    </nc>
  </rcc>
  <rcc rId="775" sId="16" numFmtId="4">
    <oc r="D11">
      <v>-17.825890000000001</v>
    </oc>
    <nc r="D11">
      <v>-21.648109999999999</v>
    </nc>
  </rcc>
  <rcc rId="776" sId="16" numFmtId="4">
    <oc r="D15">
      <v>38.196860000000001</v>
    </oc>
    <nc r="D15">
      <v>39.006</v>
    </nc>
  </rcc>
  <rcc rId="777" sId="16" numFmtId="4">
    <oc r="D16">
      <v>270.73365999999999</v>
    </oc>
    <nc r="D16">
      <v>344.15156000000002</v>
    </nc>
  </rcc>
  <rcc rId="778" sId="16" numFmtId="4">
    <oc r="D18">
      <v>4.5</v>
    </oc>
    <nc r="D18">
      <v>5.4</v>
    </nc>
  </rcc>
  <rcc rId="779" sId="16" numFmtId="4">
    <oc r="D27">
      <v>7.4729999999999999</v>
    </oc>
    <nc r="D27">
      <v>15.474</v>
    </nc>
  </rcc>
  <rcc rId="780" sId="16" numFmtId="4">
    <oc r="D28">
      <v>15.34375</v>
    </oc>
    <nc r="D28">
      <v>22.2685</v>
    </nc>
  </rcc>
  <rcc rId="781" sId="16" numFmtId="4">
    <oc r="D37">
      <v>0</v>
    </oc>
    <nc r="D37">
      <v>0.57999999999999996</v>
    </nc>
  </rcc>
  <rcc rId="782" sId="16" numFmtId="4">
    <oc r="C41">
      <f>845.985</f>
    </oc>
    <nc r="C41">
      <v>859.154</v>
    </nc>
  </rcc>
  <rcc rId="783" sId="16" numFmtId="4">
    <oc r="D41">
      <v>512.17700000000002</v>
    </oc>
    <nc r="D41">
      <v>632.57899999999995</v>
    </nc>
  </rcc>
  <rcc rId="784" sId="16" numFmtId="4">
    <oc r="C43">
      <v>491.39</v>
    </oc>
    <nc r="C43">
      <v>457.19</v>
    </nc>
  </rcc>
  <rcc rId="785" sId="16" numFmtId="4">
    <oc r="C44">
      <v>71.295000000000002</v>
    </oc>
    <nc r="C44">
      <v>1049.595</v>
    </nc>
  </rcc>
  <rcc rId="786" sId="16" numFmtId="4">
    <oc r="D44">
      <v>29.605</v>
    </oc>
    <nc r="D44">
      <v>35.545999999999999</v>
    </nc>
  </rcc>
  <rcc rId="787" sId="16" odxf="1" dxf="1">
    <oc r="A49">
      <v>3000000000</v>
    </oc>
    <nc r="A49">
      <v>2190000010</v>
    </nc>
    <ndxf>
      <font>
        <b val="0"/>
        <sz val="12"/>
        <name val="Times New Roman"/>
        <scheme val="none"/>
      </font>
    </ndxf>
  </rcc>
  <rcc rId="788" sId="16" odxf="1" dxf="1">
    <oc r="B49" t="inlineStr">
      <is>
        <t>ДОХОДЫ ОТ ПРЕДПРИНИМАТЕЛЬСКОЙ И ИНОЙ ПРИН.</t>
      </is>
    </oc>
    <nc r="B49" t="inlineStr">
      <is>
        <t>Возврат остатков субвенций и субсидий</t>
      </is>
    </nc>
    <odxf>
      <font>
        <b/>
        <sz val="12"/>
        <name val="Times New Roman"/>
        <scheme val="none"/>
      </font>
      <alignment vertical="top" wrapText="1" readingOrder="0"/>
    </odxf>
    <ndxf>
      <font>
        <b val="0"/>
        <sz val="12"/>
        <name val="Times New Roman"/>
        <scheme val="none"/>
      </font>
      <alignment vertical="bottom" wrapText="0" readingOrder="0"/>
    </ndxf>
  </rcc>
  <rcc rId="789" sId="16" numFmtId="4">
    <oc r="D49">
      <v>0</v>
    </oc>
    <nc r="D49">
      <v>-262.74074999999999</v>
    </nc>
  </rcc>
  <rfmt sheetId="16" sqref="C48:F49" start="0" length="2147483647">
    <dxf>
      <font>
        <b val="0"/>
      </font>
    </dxf>
  </rfmt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43.xml><?xml version="1.0" encoding="utf-8"?>
<revisions xmlns="http://schemas.openxmlformats.org/spreadsheetml/2006/main" xmlns:r="http://schemas.openxmlformats.org/officeDocument/2006/relationships">
  <rcc rId="6850" sId="18" numFmtId="4">
    <oc r="D8">
      <v>183.87798000000001</v>
    </oc>
    <nc r="D8">
      <v>216.04886999999999</v>
    </nc>
  </rcc>
  <rcc rId="6851" sId="18" numFmtId="4">
    <oc r="D9">
      <v>1.50804</v>
    </oc>
    <nc r="D9">
      <v>1.8511299999999999</v>
    </nc>
  </rcc>
  <rcc rId="6852" sId="18" numFmtId="4">
    <oc r="D10">
      <v>280.16791999999998</v>
    </oc>
    <nc r="D10">
      <v>327.52542</v>
    </nc>
  </rcc>
  <rcc rId="6853" sId="18" numFmtId="4">
    <oc r="D11">
      <v>-38.698979999999999</v>
    </oc>
    <nc r="D11">
      <v>-50.367959999999997</v>
    </nc>
  </rcc>
  <rcc rId="6854" sId="18" numFmtId="4">
    <oc r="D15">
      <v>12.11717</v>
    </oc>
    <nc r="D15">
      <v>44.308610000000002</v>
    </nc>
  </rcc>
  <rcc rId="6855" sId="18" numFmtId="4">
    <oc r="D16">
      <v>166.92617000000001</v>
    </oc>
    <nc r="D16">
      <v>441.88637</v>
    </nc>
  </rcc>
  <rcc rId="6856" sId="18" numFmtId="4">
    <oc r="D18">
      <v>11.95721</v>
    </oc>
    <nc r="D18">
      <v>12.487209999999999</v>
    </nc>
  </rcc>
  <rcc rId="6857" sId="18" numFmtId="4">
    <oc r="D27">
      <v>8.2575599999999998</v>
    </oc>
    <nc r="D27">
      <v>8.5763599999999993</v>
    </nc>
  </rcc>
  <rcc rId="6858" sId="18" numFmtId="4">
    <oc r="D42">
      <v>1162.423</v>
    </oc>
    <nc r="D42">
      <v>1272.0060000000001</v>
    </nc>
  </rcc>
  <rcc rId="6859" sId="18" numFmtId="4">
    <oc r="D44">
      <v>79.432000000000002</v>
    </oc>
    <nc r="D44">
      <v>2127.9686999999999</v>
    </nc>
  </rcc>
  <rcc rId="6860" sId="18" numFmtId="4">
    <oc r="D45">
      <v>100.7611</v>
    </oc>
    <nc r="D45">
      <v>126.14109999999999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8070" sId="14" numFmtId="4">
    <oc r="D30">
      <v>17.75225</v>
    </oc>
    <nc r="D30">
      <v>25.080850000000002</v>
    </nc>
  </rcc>
  <rcc rId="8071" sId="14" numFmtId="4">
    <oc r="D42">
      <v>1312.769</v>
    </oc>
    <nc r="D42">
      <v>1430.432</v>
    </nc>
  </rcc>
  <rcc rId="8072" sId="14" numFmtId="4">
    <oc r="D45">
      <v>48.463099999999997</v>
    </oc>
    <nc r="D45">
      <v>60.3431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c rId="707" sId="3" numFmtId="4">
    <oc r="D6">
      <v>39909.576970000002</v>
    </oc>
    <nc r="D6">
      <v>48356.804700000001</v>
    </nc>
  </rcc>
  <rcc rId="708" sId="3" numFmtId="4">
    <oc r="D8">
      <v>755.99780999999996</v>
    </oc>
    <nc r="D8">
      <v>914.92600000000004</v>
    </nc>
  </rcc>
  <rcc rId="709" sId="3" numFmtId="4">
    <oc r="D9">
      <v>5.63192</v>
    </oc>
    <nc r="D9">
      <v>6.9359099999999998</v>
    </nc>
  </rcc>
  <rcc rId="710" sId="3" numFmtId="4">
    <oc r="D10">
      <v>1145.9220800000001</v>
    </oc>
    <nc r="D10">
      <v>1379.37943</v>
    </nc>
  </rcc>
  <rcc rId="711" sId="3" numFmtId="4">
    <oc r="D11">
      <v>-156.5308</v>
    </oc>
    <nc r="D11">
      <v>-190.09451999999999</v>
    </nc>
  </rcc>
  <rcc rId="712" sId="3" numFmtId="4">
    <oc r="D13">
      <v>5247.5023199999996</v>
    </oc>
    <nc r="D13">
      <v>5411.6827700000003</v>
    </nc>
  </rcc>
  <rcc rId="713" sId="3" numFmtId="4">
    <oc r="D14">
      <v>824.33902</v>
    </oc>
    <nc r="D14">
      <v>887.15313000000003</v>
    </nc>
  </rcc>
  <rcc rId="714" sId="3" numFmtId="4">
    <oc r="D15">
      <v>60.672829999999998</v>
    </oc>
    <nc r="D15">
      <v>80.532709999999994</v>
    </nc>
  </rcc>
  <rcc rId="715" sId="3" numFmtId="4">
    <oc r="D19">
      <v>281.53149999999999</v>
    </oc>
    <nc r="D19">
      <v>294.55542000000003</v>
    </nc>
  </rcc>
  <rcc rId="716" sId="3" numFmtId="4">
    <oc r="D24">
      <v>808.61739999999998</v>
    </oc>
    <nc r="D24">
      <v>1004.09048</v>
    </nc>
  </rcc>
  <rcc rId="717" sId="3" numFmtId="4">
    <oc r="D26">
      <v>249.8075</v>
    </oc>
    <nc r="D26">
      <v>332.49292000000003</v>
    </nc>
  </rcc>
  <rcc rId="718" sId="3" numFmtId="4">
    <oc r="D37">
      <v>203.80455000000001</v>
    </oc>
    <nc r="D37">
      <v>224.13342</v>
    </nc>
  </rcc>
  <rcc rId="719" sId="3" numFmtId="4">
    <oc r="D40">
      <v>172.56522000000001</v>
    </oc>
    <nc r="D40">
      <v>228.86951999999999</v>
    </nc>
  </rcc>
  <rcc rId="720" sId="3" numFmtId="4">
    <oc r="D42">
      <v>484.13236999999998</v>
    </oc>
    <nc r="D42">
      <v>491.14828999999997</v>
    </nc>
  </rcc>
  <rcc rId="721" sId="3" numFmtId="4">
    <oc r="D44">
      <v>73.84</v>
    </oc>
    <nc r="D44">
      <v>179.50745000000001</v>
    </nc>
  </rcc>
  <rcc rId="722" sId="3" numFmtId="4">
    <oc r="C48">
      <v>3000</v>
    </oc>
    <nc r="C48">
      <v>6182.8</v>
    </nc>
  </rcc>
  <rcc rId="723" sId="3" numFmtId="4">
    <oc r="D48">
      <v>915.40837999999997</v>
    </oc>
    <nc r="D48">
      <v>1138.04214</v>
    </nc>
  </rcc>
  <rcc rId="724" sId="3" numFmtId="4">
    <oc r="D52">
      <v>1.9875</v>
    </oc>
    <nc r="D52">
      <v>4.0869999999999997</v>
    </nc>
  </rcc>
  <rcc rId="725" sId="3" numFmtId="4">
    <oc r="D53">
      <v>3.8500200000000002</v>
    </oc>
    <nc r="D53">
      <v>4.3</v>
    </nc>
  </rcc>
  <rcc rId="726" sId="3" numFmtId="4">
    <oc r="D57">
      <v>49</v>
    </oc>
    <nc r="D57">
      <v>71.900000000000006</v>
    </nc>
  </rcc>
  <rcc rId="727" sId="3" numFmtId="4">
    <oc r="D62">
      <v>116.54734999999999</v>
    </oc>
    <nc r="D62">
      <v>148.10400999999999</v>
    </nc>
  </rcc>
  <rcc rId="728" sId="3" numFmtId="4">
    <oc r="C65">
      <v>4835</v>
    </oc>
    <nc r="C65">
      <v>5035</v>
    </nc>
  </rcc>
  <rcc rId="729" sId="3" numFmtId="4">
    <oc r="D64">
      <v>144.03551999999999</v>
    </oc>
    <nc r="D64">
      <v>168.07615999999999</v>
    </nc>
  </rcc>
  <rcc rId="730" sId="3" numFmtId="4">
    <oc r="C67">
      <v>2245</v>
    </oc>
    <nc r="C67">
      <v>2595</v>
    </nc>
  </rcc>
  <rcc rId="731" sId="3" numFmtId="4">
    <oc r="D67">
      <v>1172.5296599999999</v>
    </oc>
    <nc r="D67">
      <v>1366.2589599999999</v>
    </nc>
  </rcc>
  <rcc rId="732" sId="3" numFmtId="4">
    <oc r="C13">
      <v>11515</v>
    </oc>
    <nc r="C13">
      <v>11115</v>
    </nc>
  </rcc>
  <rcc rId="733" sId="3" numFmtId="4">
    <oc r="C36">
      <v>7800</v>
    </oc>
    <nc r="C36">
      <v>8736.2999999999993</v>
    </nc>
  </rcc>
  <rcc rId="734" sId="3" numFmtId="4">
    <oc r="D36">
      <v>3980.1972300000002</v>
    </oc>
    <nc r="D36">
      <v>5023.4437900000003</v>
    </nc>
  </rcc>
  <rcc rId="735" sId="3" numFmtId="4">
    <oc r="C75">
      <v>0</v>
    </oc>
    <nc r="C75">
      <v>17580</v>
    </nc>
  </rcc>
  <rcc rId="736" sId="3" numFmtId="4">
    <oc r="D75">
      <v>0</v>
    </oc>
    <nc r="D75">
      <v>8790</v>
    </nc>
  </rcc>
  <rcc rId="737" sId="3" numFmtId="4">
    <oc r="D73">
      <v>10391</v>
    </oc>
    <nc r="D73">
      <v>3679.2</v>
    </nc>
  </rcc>
  <rcc rId="738" sId="3" numFmtId="4">
    <oc r="C77">
      <v>323984.88176000002</v>
    </oc>
    <nc r="C77">
      <v>329567.17882999999</v>
    </nc>
  </rcc>
  <rcc rId="739" sId="3" numFmtId="4">
    <oc r="D77">
      <v>147003.57389</v>
    </oc>
    <nc r="D77">
      <v>189193.7629</v>
    </nc>
  </rcc>
  <rcc rId="740" sId="3" numFmtId="4">
    <oc r="D78">
      <v>8413.01</v>
    </oc>
    <nc r="D78">
      <v>9954.4439999999995</v>
    </nc>
  </rcc>
  <rcc rId="741" sId="3" numFmtId="4">
    <oc r="D76">
      <v>11837.076719999999</v>
    </oc>
    <nc r="D76">
      <v>15721.2531</v>
    </nc>
  </rcc>
  <rfmt sheetId="3" sqref="C82:D82">
    <dxf>
      <numFmt numFmtId="2" formatCode="0.00"/>
    </dxf>
  </rfmt>
  <rfmt sheetId="3" sqref="C82:D82">
    <dxf>
      <numFmt numFmtId="183" formatCode="0.000"/>
    </dxf>
  </rfmt>
  <rfmt sheetId="3" sqref="C82:D82">
    <dxf>
      <numFmt numFmtId="175" formatCode="0.0000"/>
    </dxf>
  </rfmt>
  <rfmt sheetId="3" sqref="C82:D82">
    <dxf>
      <numFmt numFmtId="168" formatCode="0.00000"/>
    </dxf>
  </rfmt>
  <rfmt sheetId="3" sqref="C1:D1048576">
    <dxf>
      <numFmt numFmtId="178" formatCode="0.0000000"/>
    </dxf>
  </rfmt>
  <rfmt sheetId="3" sqref="C1:D1048576">
    <dxf>
      <numFmt numFmtId="184" formatCode="0.00000000"/>
    </dxf>
  </rfmt>
  <rfmt sheetId="3" sqref="C1:D1048576">
    <dxf>
      <numFmt numFmtId="178" formatCode="0.0000000"/>
    </dxf>
  </rfmt>
  <rcc rId="742" sId="3" numFmtId="4">
    <oc r="C73">
      <v>24937.9</v>
    </oc>
    <nc r="C73">
      <v>12497.1</v>
    </nc>
  </rcc>
  <rcc rId="743" sId="3" numFmtId="4">
    <oc r="C76">
      <v>225492.62393999999</v>
    </oc>
    <nc r="C76">
      <v>205924.41232999999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район!$17:$18,район!$20:$20,район!$28:$30,район!$49:$50,район!$74:$74,район!$81:$81,район!$98:$98,район!$103:$103,район!$130:$132</formula>
    <oldFormula>район!$17:$18,район!$20:$20,район!$28:$30,район!$49:$50,район!$74:$74,район!$81:$81,район!$98:$98,район!$103:$103,район!$130:$132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Яра!$A$1:$F$100</formula>
    <oldFormula>Яра!$A$1:$F$100</oldFormula>
  </rdn>
  <rdn rId="0" localSheetId="18" customView="1" name="Z_5BFCA170_DEAE_4D2C_98A0_1E68B427AC01_.wvu.Rows" hidden="1" oldHidden="1">
    <formula>Яра!$19:$24,Яра!$45:$49,Яра!$57:$57,Яра!$59:$60,Яра!$67:$68,Яра!$77:$77,Яра!$82:$86,Яра!$89:$96</formula>
    <oldFormula>Яра!$19:$24,Яра!$45:$49,Яра!$57:$57,Яра!$59:$60,Яра!$67:$68,Яра!$77:$77,Яра!$82:$86,Яра!$89:$96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51111.xml><?xml version="1.0" encoding="utf-8"?>
<revisions xmlns="http://schemas.openxmlformats.org/spreadsheetml/2006/main" xmlns:r="http://schemas.openxmlformats.org/officeDocument/2006/relationships">
  <rcc rId="556" sId="15" odxf="1" dxf="1">
    <oc r="E83">
      <f>SUM(D83/C83*100)</f>
    </oc>
    <nc r="E83">
      <f>SUM(D83/C83*100)</f>
    </nc>
    <odxf>
      <font>
        <b val="0"/>
        <sz val="12"/>
        <name val="Times New Roman"/>
        <scheme val="none"/>
      </font>
    </odxf>
    <ndxf>
      <font>
        <b/>
        <sz val="12"/>
        <name val="Times New Roman"/>
        <scheme val="none"/>
      </font>
    </ndxf>
  </rcc>
  <rcc rId="557" sId="15" odxf="1" dxf="1">
    <oc r="F83">
      <f>SUM(D83-C83)</f>
    </oc>
    <nc r="F83">
      <f>SUM(D83-C83)</f>
    </nc>
    <odxf>
      <font>
        <b val="0"/>
        <sz val="12"/>
        <name val="Times New Roman"/>
        <scheme val="none"/>
      </font>
    </odxf>
    <ndxf>
      <font>
        <b/>
        <sz val="12"/>
        <name val="Times New Roman"/>
        <scheme val="none"/>
      </font>
    </ndxf>
  </rcc>
  <rcc rId="558" sId="15" odxf="1" dxf="1">
    <oc r="E84">
      <f>SUM(D84/C84*100)</f>
    </oc>
    <nc r="E84">
      <f>SUM(D84/C84*100)</f>
    </nc>
    <odxf>
      <font>
        <b val="0"/>
        <sz val="12"/>
        <name val="Times New Roman"/>
        <scheme val="none"/>
      </font>
    </odxf>
    <ndxf>
      <font>
        <b/>
        <sz val="12"/>
        <name val="Times New Roman"/>
        <scheme val="none"/>
      </font>
    </ndxf>
  </rcc>
  <rcc rId="559" sId="15" odxf="1" dxf="1">
    <oc r="F84">
      <f>SUM(D84-C84)</f>
    </oc>
    <nc r="F84">
      <f>SUM(D84-C84)</f>
    </nc>
    <odxf>
      <font>
        <b val="0"/>
        <sz val="12"/>
        <name val="Times New Roman"/>
        <scheme val="none"/>
      </font>
    </odxf>
    <ndxf>
      <font>
        <b/>
        <sz val="12"/>
        <name val="Times New Roman"/>
        <scheme val="none"/>
      </font>
    </ndxf>
  </rcc>
  <rcc rId="560" sId="15" odxf="1" dxf="1">
    <oc r="E85">
      <f>SUM(D85/C85*100)</f>
    </oc>
    <nc r="E85">
      <f>SUM(D85/C85*100)</f>
    </nc>
    <odxf>
      <font>
        <b val="0"/>
        <sz val="12"/>
        <name val="Times New Roman"/>
        <scheme val="none"/>
      </font>
    </odxf>
    <ndxf>
      <font>
        <b/>
        <sz val="12"/>
        <name val="Times New Roman"/>
        <scheme val="none"/>
      </font>
    </ndxf>
  </rcc>
  <rcc rId="561" sId="15" odxf="1" dxf="1">
    <oc r="F85">
      <f>SUM(D85-C85)</f>
    </oc>
    <nc r="F85">
      <f>SUM(D85-C85)</f>
    </nc>
    <odxf>
      <font>
        <b val="0"/>
        <sz val="12"/>
        <name val="Times New Roman"/>
        <scheme val="none"/>
      </font>
    </odxf>
    <ndxf>
      <font>
        <b/>
        <sz val="12"/>
        <name val="Times New Roman"/>
        <scheme val="none"/>
      </font>
    </ndxf>
  </rcc>
  <rcc rId="562" sId="15" odxf="1" dxf="1">
    <nc r="E86">
      <f>SUM(D86/C86*100)</f>
    </nc>
    <odxf>
      <font>
        <b val="0"/>
        <sz val="12"/>
        <name val="Times New Roman"/>
        <scheme val="none"/>
      </font>
    </odxf>
    <ndxf>
      <font>
        <b/>
        <sz val="12"/>
        <name val="Times New Roman"/>
        <scheme val="none"/>
      </font>
    </ndxf>
  </rcc>
  <rcc rId="563" sId="15" odxf="1" dxf="1">
    <oc r="F86">
      <f>SUM(D86-C86)</f>
    </oc>
    <nc r="F86">
      <f>SUM(D86-C86)</f>
    </nc>
    <odxf>
      <font>
        <b val="0"/>
        <sz val="12"/>
        <name val="Times New Roman"/>
        <scheme val="none"/>
      </font>
    </odxf>
    <ndxf>
      <font>
        <b/>
        <sz val="12"/>
        <name val="Times New Roman"/>
        <scheme val="none"/>
      </font>
    </ndxf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511111.xml><?xml version="1.0" encoding="utf-8"?>
<revisions xmlns="http://schemas.openxmlformats.org/spreadsheetml/2006/main" xmlns:r="http://schemas.openxmlformats.org/officeDocument/2006/relationships">
  <rfmt sheetId="15" sqref="C97:D97">
    <dxf>
      <numFmt numFmtId="165" formatCode="_(* #,##0.00_);_(* \(#,##0.00\);_(* &quot;-&quot;??_);_(@_)"/>
    </dxf>
  </rfmt>
  <rfmt sheetId="15" sqref="C97:D97">
    <dxf>
      <numFmt numFmtId="185" formatCode="_(* #,##0.000_);_(* \(#,##0.000\);_(* &quot;-&quot;??_);_(@_)"/>
    </dxf>
  </rfmt>
  <rfmt sheetId="15" sqref="C97:D97">
    <dxf>
      <numFmt numFmtId="176" formatCode="_(* #,##0.0000_);_(* \(#,##0.0000\);_(* &quot;-&quot;??_);_(@_)"/>
    </dxf>
  </rfmt>
  <rfmt sheetId="15" sqref="C97:D97">
    <dxf>
      <numFmt numFmtId="177" formatCode="_(* #,##0.00000_);_(* \(#,##0.00000\);_(* &quot;-&quot;??_);_(@_)"/>
    </dxf>
  </rfmt>
  <rfmt sheetId="15" sqref="C97:D97">
    <dxf>
      <numFmt numFmtId="186" formatCode="_(* #,##0.000000_);_(* \(#,##0.000000\);_(* &quot;-&quot;??_);_(@_)"/>
    </dxf>
  </rfmt>
  <rfmt sheetId="15" sqref="C97:D97">
    <dxf>
      <numFmt numFmtId="177" formatCode="_(* #,##0.00000_);_(* \(#,##0.00000\);_(* &quot;-&quot;??_);_(@_)"/>
    </dxf>
  </rfmt>
  <rcc rId="527" sId="15" numFmtId="34">
    <oc r="C86">
      <v>0</v>
    </oc>
    <nc r="C86">
      <v>5</v>
    </nc>
  </rcc>
  <rcc rId="528" sId="15" numFmtId="34">
    <oc r="D86">
      <v>0</v>
    </oc>
    <nc r="D86">
      <v>5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5112.xml><?xml version="1.0" encoding="utf-8"?>
<revisions xmlns="http://schemas.openxmlformats.org/spreadsheetml/2006/main" xmlns:r="http://schemas.openxmlformats.org/officeDocument/2006/relationships">
  <rcc rId="3532" sId="19" numFmtId="34">
    <oc r="D66">
      <v>13.106</v>
    </oc>
    <nc r="D66">
      <v>0</v>
    </nc>
  </rcc>
  <rcc rId="3533" sId="19">
    <oc r="C78">
      <f>1043.7+500+3800</f>
    </oc>
    <nc r="C78">
      <f>1044.5+500+3800</f>
    </nc>
  </rcc>
  <rcc rId="3534" sId="18" numFmtId="4">
    <oc r="D6">
      <v>68.206090000000003</v>
    </oc>
    <nc r="D6">
      <v>77.576430000000002</v>
    </nc>
  </rcc>
  <rcc rId="3535" sId="18" numFmtId="4">
    <oc r="D8">
      <v>153.38209000000001</v>
    </oc>
    <nc r="D8">
      <v>183.87798000000001</v>
    </nc>
  </rcc>
  <rcc rId="3536" sId="18" numFmtId="4">
    <oc r="D9">
      <v>1.1628099999999999</v>
    </oc>
    <nc r="D9">
      <v>1.50804</v>
    </nc>
  </rcc>
  <rcc rId="3537" sId="18" numFmtId="4">
    <oc r="D10">
      <v>231.24493000000001</v>
    </oc>
    <nc r="D10">
      <v>280.16791999999998</v>
    </nc>
  </rcc>
  <rcc rId="3538" sId="18" numFmtId="4">
    <oc r="D11">
      <v>-31.86825</v>
    </oc>
    <nc r="D11">
      <v>-38.698979999999999</v>
    </nc>
  </rcc>
  <rcc rId="3539" sId="18" numFmtId="4">
    <oc r="D15">
      <v>9.0942100000000003</v>
    </oc>
    <nc r="D15">
      <v>12.11717</v>
    </nc>
  </rcc>
  <rcc rId="3540" sId="18" numFmtId="4">
    <oc r="D16">
      <v>129.94710000000001</v>
    </oc>
    <nc r="D16">
      <v>166.92617000000001</v>
    </nc>
  </rcc>
  <rcc rId="3541" sId="18" numFmtId="4">
    <oc r="D18">
      <v>11.257210000000001</v>
    </oc>
    <nc r="D18">
      <v>11.95721</v>
    </nc>
  </rcc>
  <rcc rId="3542" sId="18" numFmtId="4">
    <oc r="D27">
      <v>7.92056</v>
    </oc>
    <nc r="D27">
      <v>8.2575599999999998</v>
    </nc>
  </rcc>
  <rcc rId="3543" sId="18" numFmtId="4">
    <nc r="D29">
      <v>0</v>
    </nc>
  </rcc>
  <rfmt sheetId="18" sqref="D29">
    <dxf>
      <alignment horizontal="right" readingOrder="0"/>
    </dxf>
  </rfmt>
  <rcc rId="3544" sId="18" numFmtId="4">
    <oc r="D31">
      <v>19.015550000000001</v>
    </oc>
    <nc r="D31">
      <v>25.80283</v>
    </nc>
  </rcc>
  <rcc rId="3545" sId="18" numFmtId="4">
    <oc r="D42">
      <v>1052.8399999999999</v>
    </oc>
    <nc r="D42">
      <v>1162.423</v>
    </nc>
  </rcc>
  <rcc rId="3546" sId="18" numFmtId="4">
    <oc r="C42">
      <v>1821.173</v>
    </oc>
    <nc r="C42">
      <f>1767.2+53.973</f>
    </nc>
  </rcc>
  <rcc rId="3547" sId="18" numFmtId="4">
    <oc r="C44">
      <v>3340.65</v>
    </oc>
    <nc r="C44">
      <v>3340.6713599999998</v>
    </nc>
  </rcc>
  <rcc rId="3548" sId="18" numFmtId="4">
    <oc r="D45">
      <v>74.343999999999994</v>
    </oc>
    <nc r="D45">
      <v>100.7611</v>
    </nc>
  </rcc>
  <rcc rId="3549" sId="18" numFmtId="34">
    <oc r="D59">
      <v>565.63954999999999</v>
    </oc>
    <nc r="D59">
      <v>647.06447000000003</v>
    </nc>
  </rcc>
  <rcc rId="3550" sId="18" numFmtId="34">
    <oc r="D66">
      <v>68.358230000000006</v>
    </oc>
    <nc r="D66">
      <v>82.892449999999997</v>
    </nc>
  </rcc>
  <rcc rId="3551" sId="18" numFmtId="34">
    <oc r="D71">
      <v>4.9749999999999996</v>
    </oc>
    <nc r="D71">
      <v>5.7750000000000004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512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5121.xml><?xml version="1.0" encoding="utf-8"?>
<revisions xmlns="http://schemas.openxmlformats.org/spreadsheetml/2006/main" xmlns:r="http://schemas.openxmlformats.org/officeDocument/2006/relationships">
  <rcc rId="1230" sId="3" numFmtId="4">
    <oc r="C89">
      <v>22214.13</v>
    </oc>
    <nc r="C89">
      <v>22153.892</v>
    </nc>
  </rcc>
  <rcc rId="1231" sId="3" numFmtId="4">
    <oc r="D89">
      <v>8629.9460400000007</v>
    </oc>
    <nc r="D89">
      <v>10654.302830000001</v>
    </nc>
  </rcc>
  <rcc rId="1232" sId="3" numFmtId="4">
    <oc r="C91">
      <v>5469.76</v>
    </oc>
    <nc r="C91">
      <v>5346.16</v>
    </nc>
  </rcc>
  <rcc rId="1233" sId="3" numFmtId="4">
    <oc r="D91">
      <v>1920.18136</v>
    </oc>
    <nc r="D91">
      <v>2605.19319</v>
    </nc>
  </rcc>
  <rcc rId="1234" sId="3" numFmtId="4">
    <oc r="C92">
      <v>0</v>
    </oc>
    <nc r="C92">
      <v>90.55</v>
    </nc>
  </rcc>
  <rcc rId="1235" sId="3">
    <nc r="E92">
      <f>SUM(D92/C92*100)</f>
    </nc>
  </rcc>
  <rcc rId="1236" sId="3" numFmtId="4">
    <oc r="C93">
      <v>388.91</v>
    </oc>
    <nc r="C93">
      <v>490.29899999999998</v>
    </nc>
  </rcc>
  <rcc rId="1237" sId="3" numFmtId="4">
    <oc r="C94">
      <v>10704.15012</v>
    </oc>
    <nc r="C94">
      <v>10531.2</v>
    </nc>
  </rcc>
  <rcc rId="1238" sId="3" numFmtId="4">
    <oc r="D94">
      <v>3170.87347</v>
    </oc>
    <nc r="D94">
      <v>4248.2175800000005</v>
    </nc>
  </rcc>
  <rcc rId="1239" sId="3" numFmtId="4">
    <oc r="D96">
      <v>732.47</v>
    </oc>
    <nc r="D96">
      <v>882.37</v>
    </nc>
  </rcc>
  <rcc rId="1240" sId="3" numFmtId="4">
    <oc r="C99">
      <v>1555.6</v>
    </oc>
    <nc r="C99">
      <v>1582.6</v>
    </nc>
  </rcc>
  <rcc rId="1241" sId="3" numFmtId="4">
    <oc r="D99">
      <v>568.72438999999997</v>
    </oc>
    <nc r="D99">
      <v>758</v>
    </nc>
  </rcc>
  <rcc rId="1242" sId="3" numFmtId="4">
    <oc r="C100">
      <v>2722.8829999999998</v>
    </oc>
    <nc r="C100">
      <v>3025.4830000000002</v>
    </nc>
  </rcc>
  <rcc rId="1243" sId="3" numFmtId="4">
    <oc r="D100">
      <v>795.25741000000005</v>
    </oc>
    <nc r="D100">
      <v>1625.5952299999999</v>
    </nc>
  </rcc>
  <rcc rId="1244" sId="3" numFmtId="4">
    <oc r="C104">
      <v>72.400000000000006</v>
    </oc>
    <nc r="C104">
      <v>112.1</v>
    </nc>
  </rcc>
  <rcc rId="1245" sId="3" numFmtId="4">
    <oc r="C105">
      <v>177616.32</v>
    </oc>
    <nc r="C105">
      <v>162254.399</v>
    </nc>
  </rcc>
  <rcc rId="1246" sId="3" numFmtId="4">
    <oc r="D105">
      <v>10463.05774</v>
    </oc>
    <nc r="D105">
      <v>12967.88955</v>
    </nc>
  </rcc>
  <rcc rId="1247" sId="3" numFmtId="4">
    <oc r="C106">
      <v>1379.4</v>
    </oc>
    <nc r="C106">
      <v>1299.4000000000001</v>
    </nc>
  </rcc>
  <rcc rId="1248" sId="3" numFmtId="4">
    <oc r="D106">
      <v>634.60770000000002</v>
    </oc>
    <nc r="D106">
      <v>656.89769999999999</v>
    </nc>
  </rcc>
  <rcc rId="1249" sId="3" numFmtId="4">
    <oc r="D108">
      <v>52.918039999999998</v>
    </oc>
    <nc r="D108">
      <v>220.40289000000001</v>
    </nc>
  </rcc>
  <rcc rId="1250" sId="3" numFmtId="4">
    <oc r="C109">
      <v>5685.1063899999999</v>
    </oc>
    <nc r="C109">
      <v>7785.1063899999999</v>
    </nc>
  </rcc>
  <rcc rId="1251" sId="3" numFmtId="4">
    <oc r="D114">
      <v>40304.731800000001</v>
    </oc>
    <nc r="D114">
      <v>49851.014799999997</v>
    </nc>
  </rcc>
  <rcc rId="1252" sId="3" numFmtId="4">
    <oc r="D115">
      <v>115834.79403</v>
    </oc>
    <nc r="D115">
      <v>147295.22596000001</v>
    </nc>
  </rcc>
  <rcc rId="1253" sId="3" numFmtId="4">
    <oc r="C116">
      <v>16752.2</v>
    </oc>
    <nc r="C116">
      <v>18536.2</v>
    </nc>
  </rcc>
  <rcc rId="1254" sId="3" numFmtId="4">
    <oc r="D116">
      <v>8966.17</v>
    </oc>
    <nc r="D116">
      <v>10281.475</v>
    </nc>
  </rcc>
  <rcc rId="1255" sId="3" numFmtId="4">
    <oc r="C117">
      <v>5518</v>
    </oc>
    <nc r="C117">
      <v>5226.518</v>
    </nc>
  </rcc>
  <rcc rId="1256" sId="3" numFmtId="4">
    <oc r="D117">
      <v>3848.7279199999998</v>
    </oc>
    <nc r="D117">
      <v>4326.3855199999998</v>
    </nc>
  </rcc>
  <rcc rId="1257" sId="3" numFmtId="4">
    <oc r="D118">
      <v>3106.0565099999999</v>
    </oc>
    <nc r="D118">
      <v>3710.2228399999999</v>
    </nc>
  </rcc>
  <rcc rId="1258" sId="3" numFmtId="4">
    <oc r="C120">
      <v>45067.400430000002</v>
    </oc>
    <nc r="C120">
      <v>44000.600429999999</v>
    </nc>
  </rcc>
  <rcc rId="1259" sId="3" numFmtId="4">
    <oc r="D120">
      <v>16913.52289</v>
    </oc>
    <nc r="D120">
      <v>20175.80298</v>
    </nc>
  </rcc>
  <rcc rId="1260" sId="3" numFmtId="4">
    <oc r="D121">
      <v>412.88475</v>
    </oc>
    <nc r="D121">
      <v>543.85068000000001</v>
    </nc>
  </rcc>
  <rcc rId="1261" sId="3" numFmtId="4">
    <oc r="D123">
      <v>10.072190000000001</v>
    </oc>
    <nc r="D123">
      <v>15.01993</v>
    </nc>
  </rcc>
  <rcc rId="1262" sId="3" numFmtId="4">
    <oc r="C124">
      <v>25782.400000000001</v>
    </oc>
    <nc r="C124">
      <v>26410.543389999999</v>
    </nc>
  </rcc>
  <rcc rId="1263" sId="3" numFmtId="4">
    <oc r="D124">
      <v>2925.5279</v>
    </oc>
    <nc r="D124">
      <v>4853.2720099999997</v>
    </nc>
  </rcc>
  <rcc rId="1264" sId="3" numFmtId="4">
    <oc r="C126">
      <v>346.04500000000002</v>
    </oc>
    <nc r="C126">
      <v>351.79500000000002</v>
    </nc>
  </rcc>
  <rcc rId="1265" sId="3" numFmtId="4">
    <oc r="D126">
      <v>54.509990000000002</v>
    </oc>
    <nc r="D126">
      <v>63.339750000000002</v>
    </nc>
  </rcc>
  <rcc rId="1266" sId="3" numFmtId="4">
    <oc r="D128">
      <v>171.77</v>
    </oc>
    <nc r="D128">
      <v>208.22290000000001</v>
    </nc>
  </rcc>
  <rcc rId="1267" sId="3" numFmtId="4">
    <oc r="C129">
      <v>8411.2000000000007</v>
    </oc>
    <nc r="C129">
      <v>5360.3426099999997</v>
    </nc>
  </rcc>
  <rcc rId="1268" sId="3" numFmtId="4">
    <oc r="D129">
      <v>2910.7449999999999</v>
    </oc>
    <nc r="D129">
      <v>3279.5970000000002</v>
    </nc>
  </rcc>
  <rcc rId="1269" sId="3" numFmtId="4">
    <oc r="D138">
      <v>13692</v>
    </oc>
    <nc r="D138">
      <v>17742.400000000001</v>
    </nc>
  </rcc>
  <rcc rId="1270" sId="3" numFmtId="4">
    <oc r="C139">
      <v>4837.4939999999997</v>
    </oc>
    <nc r="C139">
      <v>5528.299</v>
    </nc>
  </rcc>
  <rcc rId="1271" sId="3" numFmtId="4">
    <oc r="C140">
      <v>675.6</v>
    </oc>
    <nc r="C140">
      <v>836.5</v>
    </nc>
  </rcc>
  <rcc rId="1272" sId="3" numFmtId="4">
    <oc r="D140">
      <v>0</v>
    </oc>
    <nc r="D140">
      <v>63.45</v>
    </nc>
  </rcc>
  <rrc rId="1273" sId="3" ref="A102:XFD102" action="insertRow">
    <undo index="24" exp="area" ref3D="1" dr="$A$135:$XFD$136" dn="Z_A54C432C_6C68_4B53_A75C_446EB3A61B2B_.wvu.Rows" sId="3"/>
    <undo index="22" exp="area" ref3D="1" dr="$A$130:$XFD$132" dn="Z_A54C432C_6C68_4B53_A75C_446EB3A61B2B_.wvu.Rows" sId="3"/>
    <undo index="20" exp="area" ref3D="1" dr="$A$103:$XFD$103" dn="Z_A54C432C_6C68_4B53_A75C_446EB3A61B2B_.wvu.Rows" sId="3"/>
    <undo index="16" exp="area" ref3D="1" dr="$A$130:$XFD$132" dn="Z_5BFCA170_DEAE_4D2C_98A0_1E68B427AC01_.wvu.Rows" sId="3"/>
    <undo index="14" exp="area" ref3D="1" dr="$A$103:$XFD$103" dn="Z_5BFCA170_DEAE_4D2C_98A0_1E68B427AC01_.wvu.Rows" sId="3"/>
    <undo index="38" exp="area" ref3D="1" dr="$A$135:$XFD$136" dn="Z_42584DC0_1D41_4C93_9B38_C388E7B8DAC4_.wvu.Rows" sId="3"/>
    <undo index="36" exp="area" ref3D="1" dr="$A$130:$XFD$132" dn="Z_42584DC0_1D41_4C93_9B38_C388E7B8DAC4_.wvu.Rows" sId="3"/>
    <undo index="34" exp="area" ref3D="1" dr="$A$110:$XFD$110" dn="Z_42584DC0_1D41_4C93_9B38_C388E7B8DAC4_.wvu.Rows" sId="3"/>
    <undo index="32" exp="area" ref3D="1" dr="$A$103:$XFD$103" dn="Z_42584DC0_1D41_4C93_9B38_C388E7B8DAC4_.wvu.Rows" sId="3"/>
    <undo index="24" exp="area" ref3D="1" dr="$A$135:$XFD$136" dn="Z_1718F1EE_9F48_4DBE_9531_3B70F9C4A5DD_.wvu.Rows" sId="3"/>
    <undo index="22" exp="area" ref3D="1" dr="$A$130:$XFD$132" dn="Z_1718F1EE_9F48_4DBE_9531_3B70F9C4A5DD_.wvu.Rows" sId="3"/>
    <undo index="20" exp="area" ref3D="1" dr="$A$103:$XFD$103" dn="Z_1718F1EE_9F48_4DBE_9531_3B70F9C4A5DD_.wvu.Rows" sId="3"/>
  </rrc>
  <rcc rId="1274" sId="3">
    <nc r="A102" t="inlineStr">
      <is>
        <t>0314</t>
      </is>
    </nc>
  </rcc>
  <rcc rId="1275" sId="3">
    <nc r="B102" t="inlineStr">
      <is>
        <t>Другие вопросы в области национальной безопасности</t>
      </is>
    </nc>
  </rcc>
  <rfmt sheetId="3" sqref="B102">
    <dxf>
      <alignment wrapText="0" readingOrder="0"/>
    </dxf>
  </rfmt>
  <rfmt sheetId="3" sqref="B102">
    <dxf>
      <alignment wrapText="1" readingOrder="0"/>
    </dxf>
  </rfmt>
  <rfmt sheetId="3" sqref="B102">
    <dxf>
      <alignment wrapText="0" readingOrder="0"/>
    </dxf>
  </rfmt>
  <rfmt sheetId="3" sqref="B10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B102:C102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3" sqref="B10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B102:C102">
    <dxf>
      <alignment wrapText="1" readingOrder="0"/>
    </dxf>
  </rfmt>
  <rcc rId="1276" sId="3" numFmtId="4">
    <nc r="C102">
      <v>94.05</v>
    </nc>
  </rcc>
  <rcc rId="1277" sId="3">
    <oc r="C97">
      <f>SUM(C99:C101)</f>
    </oc>
    <nc r="C97">
      <f>SUM(C99:C102)</f>
    </nc>
  </rcc>
  <rcc rId="1278" sId="3">
    <oc r="C114">
      <f>SUM(C115:C119)</f>
    </oc>
    <nc r="C114">
      <f>SUM(C115:C119)</f>
    </nc>
  </rcc>
  <rcc rId="1279" sId="3" numFmtId="4">
    <oc r="C115">
      <v>90005.5098</v>
    </oc>
    <nc r="C115">
      <v>94366.231979999997</v>
    </nc>
  </rcc>
  <rcc rId="1280" sId="3" numFmtId="4">
    <oc r="C116">
      <v>281528.27519999997</v>
    </oc>
    <nc r="C116">
      <v>288396.30241</v>
    </nc>
  </rcc>
  <rcc rId="1281" sId="3" numFmtId="4">
    <oc r="C126">
      <v>4836.38</v>
    </oc>
    <nc r="C126">
      <v>4817.8770699999995</v>
    </nc>
  </rcc>
  <rcc rId="1282" sId="3" numFmtId="4">
    <oc r="D126">
      <v>356.35032999999999</v>
    </oc>
    <nc r="D126">
      <v>456.35032999999999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51211.xml><?xml version="1.0" encoding="utf-8"?>
<revisions xmlns="http://schemas.openxmlformats.org/spreadsheetml/2006/main" xmlns:r="http://schemas.openxmlformats.org/officeDocument/2006/relationships">
  <rcc rId="1049" sId="18" numFmtId="4">
    <oc r="D6">
      <v>56.17165</v>
    </oc>
    <nc r="D6">
      <v>68.206090000000003</v>
    </nc>
  </rcc>
  <rcc rId="1050" sId="18" numFmtId="4">
    <oc r="D8">
      <v>126.73862</v>
    </oc>
    <nc r="D8">
      <v>153.38209000000001</v>
    </nc>
  </rcc>
  <rcc rId="1051" sId="18" numFmtId="4">
    <oc r="D9">
      <v>0.94411999999999996</v>
    </oc>
    <nc r="D9">
      <v>1.1628099999999999</v>
    </nc>
  </rcc>
  <rcc rId="1052" sId="18" numFmtId="4">
    <oc r="D10">
      <v>192.10714999999999</v>
    </oc>
    <nc r="D10">
      <v>231.24493000000001</v>
    </nc>
  </rcc>
  <rcc rId="1053" sId="18" numFmtId="4">
    <oc r="D11">
      <v>-26.24147</v>
    </oc>
    <nc r="D11">
      <v>-31.86825</v>
    </nc>
  </rcc>
  <rcc rId="1054" sId="18" numFmtId="4">
    <oc r="D13">
      <v>21.315300000000001</v>
    </oc>
    <nc r="D13">
      <v>21.3873</v>
    </nc>
  </rcc>
  <rcc rId="1055" sId="18" numFmtId="4">
    <oc r="D15">
      <v>8.8432099999999991</v>
    </oc>
    <nc r="D15">
      <v>9.0942100000000003</v>
    </nc>
  </rcc>
  <rcc rId="1056" sId="18" numFmtId="4">
    <oc r="D16">
      <v>129.27144999999999</v>
    </oc>
    <nc r="D16">
      <v>129.94710000000001</v>
    </nc>
  </rcc>
  <rcc rId="1057" sId="18" numFmtId="4">
    <oc r="D18">
      <v>10.157209999999999</v>
    </oc>
    <nc r="D18">
      <v>11.257210000000001</v>
    </nc>
  </rcc>
  <rcc rId="1058" sId="18" numFmtId="4">
    <oc r="D27">
      <v>7.7895599999999998</v>
    </oc>
    <nc r="D27">
      <v>7.92056</v>
    </nc>
  </rcc>
  <rfmt sheetId="18" sqref="D39:D40">
    <dxf>
      <numFmt numFmtId="175" formatCode="0.0000"/>
    </dxf>
  </rfmt>
  <rfmt sheetId="18" sqref="D39:D40">
    <dxf>
      <numFmt numFmtId="187" formatCode="0.000"/>
    </dxf>
  </rfmt>
  <rfmt sheetId="18" sqref="D39:D40">
    <dxf>
      <numFmt numFmtId="2" formatCode="0.00"/>
    </dxf>
  </rfmt>
  <rfmt sheetId="18" sqref="D39:D40">
    <dxf>
      <numFmt numFmtId="166" formatCode="0.0"/>
    </dxf>
  </rfmt>
  <rrc rId="1059" sId="18" ref="A29:XFD29" action="insertRow">
    <undo index="18" exp="area" ref3D="1" dr="$A$141:$XFD$141" dn="Z_A54C432C_6C68_4B53_A75C_446EB3A61B2B_.wvu.Rows" sId="18"/>
    <undo index="16" exp="area" ref3D="1" dr="$A$89:$XFD$96" dn="Z_A54C432C_6C68_4B53_A75C_446EB3A61B2B_.wvu.Rows" sId="18"/>
    <undo index="14" exp="area" ref3D="1" dr="$A$82:$XFD$86" dn="Z_A54C432C_6C68_4B53_A75C_446EB3A61B2B_.wvu.Rows" sId="18"/>
    <undo index="12" exp="area" ref3D="1" dr="$A$77:$XFD$78" dn="Z_A54C432C_6C68_4B53_A75C_446EB3A61B2B_.wvu.Rows" sId="18"/>
    <undo index="10" exp="area" ref3D="1" dr="$A$67:$XFD$68" dn="Z_A54C432C_6C68_4B53_A75C_446EB3A61B2B_.wvu.Rows" sId="18"/>
    <undo index="8" exp="area" ref3D="1" dr="$A$59:$XFD$61" dn="Z_A54C432C_6C68_4B53_A75C_446EB3A61B2B_.wvu.Rows" sId="18"/>
    <undo index="6" exp="area" ref3D="1" dr="$A$57:$XFD$57" dn="Z_A54C432C_6C68_4B53_A75C_446EB3A61B2B_.wvu.Rows" sId="18"/>
    <undo index="4" exp="area" ref3D="1" dr="$A$45:$XFD$49" dn="Z_A54C432C_6C68_4B53_A75C_446EB3A61B2B_.wvu.Rows" sId="18"/>
    <undo index="2" exp="area" ref3D="1" dr="$A$29:$XFD$38" dn="Z_A54C432C_6C68_4B53_A75C_446EB3A61B2B_.wvu.Rows" sId="18"/>
    <undo index="14" exp="area" ref3D="1" dr="$A$89:$XFD$96" dn="Z_5BFCA170_DEAE_4D2C_98A0_1E68B427AC01_.wvu.Rows" sId="18"/>
    <undo index="12" exp="area" ref3D="1" dr="$A$82:$XFD$86" dn="Z_5BFCA170_DEAE_4D2C_98A0_1E68B427AC01_.wvu.Rows" sId="18"/>
    <undo index="10" exp="area" ref3D="1" dr="$A$77:$XFD$77" dn="Z_5BFCA170_DEAE_4D2C_98A0_1E68B427AC01_.wvu.Rows" sId="18"/>
    <undo index="8" exp="area" ref3D="1" dr="$A$67:$XFD$68" dn="Z_5BFCA170_DEAE_4D2C_98A0_1E68B427AC01_.wvu.Rows" sId="18"/>
    <undo index="6" exp="area" ref3D="1" dr="$A$59:$XFD$60" dn="Z_5BFCA170_DEAE_4D2C_98A0_1E68B427AC01_.wvu.Rows" sId="18"/>
    <undo index="4" exp="area" ref3D="1" dr="$A$57:$XFD$57" dn="Z_5BFCA170_DEAE_4D2C_98A0_1E68B427AC01_.wvu.Rows" sId="18"/>
    <undo index="2" exp="area" ref3D="1" dr="$A$45:$XFD$49" dn="Z_5BFCA170_DEAE_4D2C_98A0_1E68B427AC01_.wvu.Rows" sId="18"/>
    <undo index="16" exp="area" ref3D="1" dr="$A$89:$XFD$96" dn="Z_42584DC0_1D41_4C93_9B38_C388E7B8DAC4_.wvu.Rows" sId="18"/>
    <undo index="14" exp="area" ref3D="1" dr="$A$82:$XFD$86" dn="Z_42584DC0_1D41_4C93_9B38_C388E7B8DAC4_.wvu.Rows" sId="18"/>
    <undo index="12" exp="area" ref3D="1" dr="$A$77:$XFD$78" dn="Z_42584DC0_1D41_4C93_9B38_C388E7B8DAC4_.wvu.Rows" sId="18"/>
    <undo index="10" exp="area" ref3D="1" dr="$A$67:$XFD$68" dn="Z_42584DC0_1D41_4C93_9B38_C388E7B8DAC4_.wvu.Rows" sId="18"/>
    <undo index="8" exp="area" ref3D="1" dr="$A$59:$XFD$61" dn="Z_42584DC0_1D41_4C93_9B38_C388E7B8DAC4_.wvu.Rows" sId="18"/>
    <undo index="6" exp="area" ref3D="1" dr="$A$57:$XFD$57" dn="Z_42584DC0_1D41_4C93_9B38_C388E7B8DAC4_.wvu.Rows" sId="18"/>
    <undo index="4" exp="area" ref3D="1" dr="$A$45:$XFD$49" dn="Z_42584DC0_1D41_4C93_9B38_C388E7B8DAC4_.wvu.Rows" sId="18"/>
    <undo index="2" exp="area" ref3D="1" dr="$A$31:$XFD$35" dn="Z_42584DC0_1D41_4C93_9B38_C388E7B8DAC4_.wvu.Rows" sId="18"/>
    <undo index="18" exp="area" ref3D="1" dr="$A$141:$XFD$141" dn="Z_1718F1EE_9F48_4DBE_9531_3B70F9C4A5DD_.wvu.Rows" sId="18"/>
    <undo index="16" exp="area" ref3D="1" dr="$A$89:$XFD$96" dn="Z_1718F1EE_9F48_4DBE_9531_3B70F9C4A5DD_.wvu.Rows" sId="18"/>
    <undo index="14" exp="area" ref3D="1" dr="$A$82:$XFD$86" dn="Z_1718F1EE_9F48_4DBE_9531_3B70F9C4A5DD_.wvu.Rows" sId="18"/>
    <undo index="12" exp="area" ref3D="1" dr="$A$77:$XFD$78" dn="Z_1718F1EE_9F48_4DBE_9531_3B70F9C4A5DD_.wvu.Rows" sId="18"/>
    <undo index="10" exp="area" ref3D="1" dr="$A$67:$XFD$68" dn="Z_1718F1EE_9F48_4DBE_9531_3B70F9C4A5DD_.wvu.Rows" sId="18"/>
    <undo index="8" exp="area" ref3D="1" dr="$A$59:$XFD$61" dn="Z_1718F1EE_9F48_4DBE_9531_3B70F9C4A5DD_.wvu.Rows" sId="18"/>
    <undo index="6" exp="area" ref3D="1" dr="$A$57:$XFD$57" dn="Z_1718F1EE_9F48_4DBE_9531_3B70F9C4A5DD_.wvu.Rows" sId="18"/>
    <undo index="4" exp="area" ref3D="1" dr="$A$45:$XFD$49" dn="Z_1718F1EE_9F48_4DBE_9531_3B70F9C4A5DD_.wvu.Rows" sId="18"/>
    <undo index="2" exp="area" ref3D="1" dr="$A$29:$XFD$38" dn="Z_1718F1EE_9F48_4DBE_9531_3B70F9C4A5DD_.wvu.Rows" sId="18"/>
  </rrc>
  <rcc rId="1060" sId="18">
    <nc r="A29">
      <v>1110532510</v>
    </nc>
  </rcc>
  <rcc rId="1061" sId="18" numFmtId="4">
    <nc r="C29">
      <v>0</v>
    </nc>
  </rcc>
  <rcc rId="1062" sId="18" numFmtId="4">
    <nc r="D29">
      <v>53.003459999999997</v>
    </nc>
  </rcc>
  <rcc rId="1063" sId="18">
    <nc r="E29">
      <f>SUM(D29/C29*100)</f>
    </nc>
  </rcc>
  <rcc rId="1064" sId="18">
    <nc r="F29">
      <f>SUM(D29-C29)</f>
    </nc>
  </rcc>
  <rcc rId="1065" sId="18">
    <nc r="B29" t="inlineStr">
      <is>
        <t>Доходы от платы об установлении сервитута</t>
      </is>
    </nc>
  </rcc>
  <rcc rId="1066" sId="18">
    <oc r="D26">
      <f>D27+D28</f>
    </oc>
    <nc r="D26">
      <f>D27+D28+D29</f>
    </nc>
  </rcc>
  <rcc rId="1067" sId="18" numFmtId="4">
    <oc r="D31">
      <v>11.376289999999999</v>
    </oc>
    <nc r="D31">
      <v>19.015550000000001</v>
    </nc>
  </rcc>
  <rcc rId="1068" sId="18" numFmtId="4">
    <oc r="D39">
      <v>0</v>
    </oc>
    <nc r="D39">
      <v>-4.2979999999999997E-2</v>
    </nc>
  </rcc>
  <rcc rId="1069" sId="18" numFmtId="4">
    <oc r="C42">
      <v>1793.3240000000001</v>
    </oc>
    <nc r="C42">
      <v>1821.173</v>
    </nc>
  </rcc>
  <rcc rId="1070" sId="18" numFmtId="4">
    <oc r="D42">
      <v>851.39</v>
    </oc>
    <nc r="D42">
      <v>1052.8399999999999</v>
    </nc>
  </rcc>
  <rcc rId="1071" sId="18" numFmtId="4">
    <oc r="C43">
      <v>0</v>
    </oc>
    <nc r="C43">
      <v>70</v>
    </nc>
  </rcc>
  <rcc rId="1072" sId="18" numFmtId="4">
    <oc r="C44">
      <v>2815.8</v>
    </oc>
    <nc r="C44">
      <v>3340.65</v>
    </nc>
  </rcc>
  <rcc rId="1073" sId="18" numFmtId="4">
    <oc r="C45">
      <v>154.47999999999999</v>
    </oc>
    <nc r="C45">
      <v>155.91800000000001</v>
    </nc>
  </rcc>
  <rcc rId="1074" sId="18" numFmtId="4">
    <oc r="D45">
      <v>61.649000000000001</v>
    </oc>
    <nc r="D45">
      <v>74.343999999999994</v>
    </nc>
  </rcc>
  <rcc rId="1075" sId="18" numFmtId="4">
    <oc r="C51">
      <v>511</v>
    </oc>
    <nc r="C51">
      <v>663.69299999999998</v>
    </nc>
  </rcc>
  <rcc rId="1076" sId="18" numFmtId="34">
    <oc r="C59">
      <v>1255.8240000000001</v>
    </oc>
    <nc r="C59">
      <v>1283.673</v>
    </nc>
  </rcc>
  <rcc rId="1077" sId="18" numFmtId="34">
    <oc r="D59">
      <v>455.94173999999998</v>
    </oc>
    <nc r="D59">
      <v>565.63954999999999</v>
    </nc>
  </rcc>
  <rcc rId="1078" sId="18" numFmtId="34">
    <oc r="D64">
      <f>3.357+12.45</f>
    </oc>
    <nc r="D64">
      <v>16.806999999999999</v>
    </nc>
  </rcc>
  <rcc rId="1079" sId="18" numFmtId="34">
    <oc r="D66">
      <v>53.423999999999999</v>
    </oc>
    <nc r="D66">
      <v>68.358230000000006</v>
    </nc>
  </rcc>
  <rrc rId="1080" sId="18" ref="A72:XFD72" action="insertRow">
    <undo index="18" exp="area" ref3D="1" dr="$A$142:$XFD$142" dn="Z_A54C432C_6C68_4B53_A75C_446EB3A61B2B_.wvu.Rows" sId="18"/>
    <undo index="16" exp="area" ref3D="1" dr="$A$90:$XFD$97" dn="Z_A54C432C_6C68_4B53_A75C_446EB3A61B2B_.wvu.Rows" sId="18"/>
    <undo index="14" exp="area" ref3D="1" dr="$A$83:$XFD$87" dn="Z_A54C432C_6C68_4B53_A75C_446EB3A61B2B_.wvu.Rows" sId="18"/>
    <undo index="12" exp="area" ref3D="1" dr="$A$78:$XFD$79" dn="Z_A54C432C_6C68_4B53_A75C_446EB3A61B2B_.wvu.Rows" sId="18"/>
    <undo index="14" exp="area" ref3D="1" dr="$A$90:$XFD$97" dn="Z_5BFCA170_DEAE_4D2C_98A0_1E68B427AC01_.wvu.Rows" sId="18"/>
    <undo index="12" exp="area" ref3D="1" dr="$A$83:$XFD$87" dn="Z_5BFCA170_DEAE_4D2C_98A0_1E68B427AC01_.wvu.Rows" sId="18"/>
    <undo index="10" exp="area" ref3D="1" dr="$A$78:$XFD$78" dn="Z_5BFCA170_DEAE_4D2C_98A0_1E68B427AC01_.wvu.Rows" sId="18"/>
    <undo index="16" exp="area" ref3D="1" dr="$A$90:$XFD$97" dn="Z_42584DC0_1D41_4C93_9B38_C388E7B8DAC4_.wvu.Rows" sId="18"/>
    <undo index="14" exp="area" ref3D="1" dr="$A$83:$XFD$87" dn="Z_42584DC0_1D41_4C93_9B38_C388E7B8DAC4_.wvu.Rows" sId="18"/>
    <undo index="12" exp="area" ref3D="1" dr="$A$78:$XFD$79" dn="Z_42584DC0_1D41_4C93_9B38_C388E7B8DAC4_.wvu.Rows" sId="18"/>
    <undo index="18" exp="area" ref3D="1" dr="$A$142:$XFD$142" dn="Z_1718F1EE_9F48_4DBE_9531_3B70F9C4A5DD_.wvu.Rows" sId="18"/>
    <undo index="16" exp="area" ref3D="1" dr="$A$90:$XFD$97" dn="Z_1718F1EE_9F48_4DBE_9531_3B70F9C4A5DD_.wvu.Rows" sId="18"/>
    <undo index="14" exp="area" ref3D="1" dr="$A$83:$XFD$87" dn="Z_1718F1EE_9F48_4DBE_9531_3B70F9C4A5DD_.wvu.Rows" sId="18"/>
    <undo index="12" exp="area" ref3D="1" dr="$A$78:$XFD$79" dn="Z_1718F1EE_9F48_4DBE_9531_3B70F9C4A5DD_.wvu.Rows" sId="18"/>
  </rrc>
  <rcc rId="1081" sId="18">
    <nc r="A72" t="inlineStr">
      <is>
        <t>0314</t>
      </is>
    </nc>
  </rcc>
  <rcc rId="1082" sId="18">
    <nc r="B72" t="inlineStr">
      <is>
        <t>Другие вопросы в области национльной безопасности</t>
      </is>
    </nc>
  </rcc>
  <rcc rId="1083" sId="18" numFmtId="34">
    <nc r="C72">
      <v>50</v>
    </nc>
  </rcc>
  <rcc rId="1084" sId="18">
    <oc r="D73">
      <f>SUM(D74:D77)</f>
    </oc>
    <nc r="D73">
      <f>SUM(D74:D77)</f>
    </nc>
  </rcc>
  <rcc rId="1085" sId="18" numFmtId="34">
    <nc r="D72">
      <v>0</v>
    </nc>
  </rcc>
  <rcc rId="1086" sId="18">
    <nc r="E72">
      <f>SUM(D72/C72*100)</f>
    </nc>
  </rcc>
  <rcc rId="1087" sId="18">
    <nc r="F72">
      <f>SUM(D72-C72)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Яра!$19:$24,Яра!$30:$39,Яра!$46:$50,Яра!$58:$58,Яра!$60:$62,Яра!$68:$69,Яра!$79:$80,Яра!$84:$88,Яра!$91:$98,Яра!$143:$143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513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52.xml><?xml version="1.0" encoding="utf-8"?>
<revisions xmlns="http://schemas.openxmlformats.org/spreadsheetml/2006/main" xmlns:r="http://schemas.openxmlformats.org/officeDocument/2006/relationships"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521.xml><?xml version="1.0" encoding="utf-8"?>
<revisions xmlns="http://schemas.openxmlformats.org/spreadsheetml/2006/main" xmlns:r="http://schemas.openxmlformats.org/officeDocument/2006/relationships">
  <rcc rId="5589" sId="3">
    <oc r="D85" t="inlineStr">
      <is>
        <t xml:space="preserve">исполнено на 01.07.2018 г. </t>
      </is>
    </oc>
    <nc r="D85" t="inlineStr">
      <is>
        <t xml:space="preserve">исполнено на 01.08.2018 г. </t>
      </is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Кад!$19:$24,Кад!$44:$44,Кад!$56:$56,Кад!$58:$59,Кад!$66:$67,Кад!$88:$95</formula>
    <oldFormula>Кад!$19:$24,Кад!$44:$44,Кад!$56:$56,Кад!$58:$59,Кад!$66:$67,Кад!$88:$95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c rId="994" sId="17" numFmtId="4">
    <oc r="D6">
      <v>43.227449999999997</v>
    </oc>
    <nc r="D6">
      <v>56.835360000000001</v>
    </nc>
  </rcc>
  <rcc rId="995" sId="17" numFmtId="4">
    <oc r="D8">
      <v>116.02311</v>
    </oc>
    <nc r="D8">
      <v>140.41391999999999</v>
    </nc>
  </rcc>
  <rcc rId="996" sId="17" numFmtId="4">
    <oc r="D9">
      <v>0.86429</v>
    </oc>
    <nc r="D9">
      <v>1.0645</v>
    </nc>
  </rcc>
  <rcc rId="997" sId="17" numFmtId="4">
    <oc r="D10">
      <v>175.86488</v>
    </oc>
    <nc r="D10">
      <v>211.69361000000001</v>
    </nc>
  </rcc>
  <rcc rId="998" sId="17" numFmtId="4">
    <oc r="D11">
      <v>-24.022770000000001</v>
    </oc>
    <nc r="D11">
      <v>-29.17389</v>
    </nc>
  </rcc>
  <rcc rId="999" sId="17" numFmtId="4">
    <oc r="D16">
      <v>20.194389999999999</v>
    </oc>
    <nc r="D16">
      <v>23.492540000000002</v>
    </nc>
  </rcc>
  <rcc rId="1000" sId="17" numFmtId="4">
    <oc r="D18">
      <v>2.4500000000000002</v>
    </oc>
    <nc r="D18">
      <v>2.75</v>
    </nc>
  </rcc>
  <rcc rId="1001" sId="17" numFmtId="4">
    <oc r="D28">
      <v>16</v>
    </oc>
    <nc r="D28">
      <v>18</v>
    </nc>
  </rcc>
  <rcc rId="1002" sId="17" numFmtId="4">
    <oc r="D30">
      <v>210.48895999999999</v>
    </oc>
    <nc r="D30">
      <v>272.65098</v>
    </nc>
  </rcc>
  <rcc rId="1003" sId="17" numFmtId="4">
    <oc r="C39">
      <f>2759.4+6.529</f>
    </oc>
    <nc r="C39">
      <v>2768.5630000000001</v>
    </nc>
  </rcc>
  <rcc rId="1004" sId="17" numFmtId="4">
    <oc r="D39">
      <v>1329.404</v>
    </oc>
    <nc r="D39">
      <v>1737.9559999999999</v>
    </nc>
  </rcc>
  <rcc rId="1005" sId="17" numFmtId="4">
    <oc r="C42">
      <v>2033.31</v>
    </oc>
    <nc r="C42">
      <v>1977.41</v>
    </nc>
  </rcc>
  <rcc rId="1006" sId="17" numFmtId="4">
    <oc r="C43">
      <v>155.68100000000001</v>
    </oc>
    <nc r="C43">
      <v>157.59899999999999</v>
    </nc>
  </rcc>
  <rcc rId="1007" sId="17" numFmtId="4">
    <oc r="D43">
      <v>61.649000000000001</v>
    </oc>
    <nc r="D43">
      <v>74.343999999999994</v>
    </nc>
  </rcc>
  <rfmt sheetId="17" sqref="C52:D53">
    <dxf>
      <numFmt numFmtId="3" formatCode="#,##0"/>
    </dxf>
  </rfmt>
  <rfmt sheetId="17" sqref="C52:D53">
    <dxf>
      <numFmt numFmtId="167" formatCode="#,##0.0"/>
    </dxf>
  </rfmt>
  <rfmt sheetId="17" sqref="C52:D53">
    <dxf>
      <numFmt numFmtId="4" formatCode="#,##0.00"/>
    </dxf>
  </rfmt>
  <rfmt sheetId="17" sqref="C52:D53">
    <dxf>
      <numFmt numFmtId="173" formatCode="#,##0.000"/>
    </dxf>
  </rfmt>
  <rfmt sheetId="17" sqref="C52:D53">
    <dxf>
      <numFmt numFmtId="183" formatCode="#,##0.0000"/>
    </dxf>
  </rfmt>
  <rfmt sheetId="17" sqref="C52:D53">
    <dxf>
      <numFmt numFmtId="172" formatCode="#,##0.00000"/>
    </dxf>
  </rfmt>
  <rcc rId="1008" sId="17" numFmtId="34">
    <oc r="C59">
      <v>1244.9290000000001</v>
    </oc>
    <nc r="C59">
      <v>1247.5630000000001</v>
    </nc>
  </rcc>
  <rcc rId="1009" sId="17" numFmtId="34">
    <oc r="D59">
      <v>511.02166</v>
    </oc>
    <nc r="D59">
      <v>609.54551000000004</v>
    </nc>
  </rcc>
  <rcc rId="1010" sId="17" numFmtId="34">
    <oc r="C62">
      <v>0</v>
    </oc>
    <nc r="C62">
      <v>15.714</v>
    </nc>
  </rcc>
  <rcc rId="1011" sId="17" numFmtId="34">
    <oc r="D62">
      <v>0</v>
    </oc>
    <nc r="D62">
      <v>15.714</v>
    </nc>
  </rcc>
  <rcc rId="1012" sId="17" numFmtId="34">
    <oc r="D64">
      <v>3.2565</v>
    </oc>
    <nc r="D64">
      <v>4.2565</v>
    </nc>
  </rcc>
  <rcc rId="1013" sId="17" numFmtId="34">
    <oc r="D66">
      <v>51.163519999999998</v>
    </oc>
    <nc r="D66">
      <v>65.899519999999995</v>
    </nc>
  </rcc>
  <rcc rId="1014" sId="17" numFmtId="34">
    <oc r="C73">
      <f>4.8+12.7</f>
    </oc>
    <nc r="C73">
      <v>19.417999999999999</v>
    </nc>
  </rcc>
  <rcc rId="1015" sId="17" numFmtId="34">
    <oc r="D73">
      <v>0</v>
    </oc>
    <nc r="D73">
      <v>4.5359999999999996</v>
    </nc>
  </rcc>
  <rcc rId="1016" sId="17" numFmtId="34">
    <oc r="D74">
      <v>108.523</v>
    </oc>
    <nc r="D74">
      <v>136.28536</v>
    </nc>
  </rcc>
  <rcc rId="1017" sId="17" numFmtId="34">
    <oc r="D75">
      <v>294</v>
    </oc>
    <nc r="D75">
      <v>643.81600000000003</v>
    </nc>
  </rcc>
  <rcc rId="1018" sId="17" numFmtId="34">
    <oc r="C80">
      <f>110+181.275+10+390.5</f>
    </oc>
    <nc r="C80">
      <v>635.875</v>
    </nc>
  </rcc>
  <rcc rId="1019" sId="17" numFmtId="34">
    <oc r="D80">
      <f>76.25686+57.4984+10</f>
    </oc>
    <nc r="D80">
      <v>143.75525999999999</v>
    </nc>
  </rcc>
  <rcc rId="1020" sId="17" numFmtId="34">
    <oc r="C82">
      <v>4326.7235000000001</v>
    </oc>
    <nc r="C82">
      <v>4311.0095000000001</v>
    </nc>
  </rcc>
  <rcc rId="1021" sId="17" numFmtId="34">
    <oc r="D82">
      <f>853.99523+10</f>
    </oc>
    <nc r="D82">
      <v>971.76966000000004</v>
    </nc>
  </rcc>
  <rfmt sheetId="17" sqref="C98:D98">
    <dxf>
      <numFmt numFmtId="4" formatCode="#,##0.00"/>
    </dxf>
  </rfmt>
  <rfmt sheetId="17" sqref="C98:D98">
    <dxf>
      <numFmt numFmtId="173" formatCode="#,##0.000"/>
    </dxf>
  </rfmt>
  <rfmt sheetId="17" sqref="C98:D98">
    <dxf>
      <numFmt numFmtId="183" formatCode="#,##0.0000"/>
    </dxf>
  </rfmt>
  <rfmt sheetId="17" sqref="C98:D98">
    <dxf>
      <numFmt numFmtId="172" formatCode="#,##0.00000"/>
    </dxf>
  </rfmt>
  <rfmt sheetId="17" sqref="C98:D98">
    <dxf>
      <numFmt numFmtId="180" formatCode="#,##0.000000"/>
    </dxf>
  </rfmt>
  <rfmt sheetId="17" sqref="C98:D98">
    <dxf>
      <numFmt numFmtId="172" formatCode="#,##0.00000"/>
    </dxf>
  </rfmt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c rId="873" sId="16" numFmtId="4">
    <oc r="C44">
      <v>1049.595</v>
    </oc>
    <nc r="C44">
      <v>71.573999999999998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c rId="679" sId="15">
    <oc r="G97">
      <f>D97-1213.75523</f>
    </oc>
    <nc r="G97"/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cc rId="650" sId="15" odxf="1" dxf="1">
    <nc r="G97">
      <f>D97-1213.75523</f>
    </nc>
    <odxf>
      <numFmt numFmtId="0" formatCode="General"/>
    </odxf>
    <ndxf>
      <numFmt numFmtId="171" formatCode="_-* #,##0.00000_р_._-;\-* #,##0.00000_р_._-;_-* &quot;-&quot;?????_р_._-;_-@_-"/>
    </ndxf>
  </rcc>
  <rcc rId="651" sId="15" numFmtId="34">
    <oc r="D73">
      <v>5.5929700000000002</v>
    </oc>
    <nc r="D73">
      <v>5.6929699999999999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611111.xml><?xml version="1.0" encoding="utf-8"?>
<revisions xmlns="http://schemas.openxmlformats.org/spreadsheetml/2006/main" xmlns:r="http://schemas.openxmlformats.org/officeDocument/2006/relationships">
  <rcc rId="621" sId="15">
    <oc r="C97">
      <f>C56+C64+C66+C71+C76+C80+C87</f>
    </oc>
    <nc r="C97">
      <f>C56+C64+C66+C71+C76+C80+C87+C82</f>
    </nc>
  </rcc>
  <rcc rId="622" sId="15">
    <oc r="D97">
      <f>D56+D64+D71+D76+D80+D66+D87</f>
    </oc>
    <nc r="D97">
      <f>D56+D64+D66+D71+D76+D80+D87+D82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c rId="9162" sId="2">
    <oc r="CC34">
      <v>28169.9</v>
    </oc>
    <nc r="CC34">
      <v>28718.624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c rId="8840" sId="2">
    <oc r="C34">
      <v>105220.32939</v>
    </oc>
    <nc r="C34">
      <v>105222.82939</v>
    </nc>
  </rcc>
  <rcc rId="8841" sId="2" numFmtId="4">
    <oc r="D34">
      <v>42981.5766</v>
    </oc>
    <nc r="D34">
      <v>55122.991220000004</v>
    </nc>
  </rcc>
  <rcc rId="8842" sId="2">
    <oc r="G34">
      <v>14381.29061</v>
    </oc>
    <nc r="G34">
      <v>19544.389309999999</v>
    </nc>
  </rcc>
  <rcc rId="8843" sId="2" numFmtId="4">
    <oc r="J34">
      <v>2762.4214000000002</v>
    </oc>
    <nc r="J34">
      <v>3130.01404</v>
    </nc>
  </rcc>
  <rcc rId="8844" sId="2">
    <oc r="M34">
      <v>2023.19391</v>
    </oc>
    <nc r="M34">
      <v>2377.1674800000001</v>
    </nc>
  </rcc>
  <rcc rId="8845" sId="2">
    <oc r="P34">
      <v>16.59271</v>
    </oc>
    <nc r="P34">
      <v>20.36788</v>
    </nc>
  </rcc>
  <rcc rId="8846" sId="2">
    <oc r="S34">
      <v>3082.6641100000002</v>
    </oc>
    <nc r="S34">
      <v>3603.7348299999999</v>
    </nc>
  </rcc>
  <rcc rId="8847" sId="2">
    <oc r="V34">
      <v>-425.80167</v>
    </oc>
    <nc r="V34">
      <v>-554.19476999999995</v>
    </nc>
  </rcc>
  <rcc rId="8848" sId="2" numFmtId="4">
    <oc r="Y34">
      <v>409.50015000000002</v>
    </oc>
    <nc r="Y34">
      <v>409.61032</v>
    </nc>
  </rcc>
  <rcc rId="8849" sId="2">
    <oc r="AB34">
      <v>332.43540999999999</v>
    </oc>
    <nc r="AB34">
      <v>850.13383999999996</v>
    </nc>
  </rcc>
  <rcc rId="8850" sId="2">
    <oc r="AE34">
      <v>4618.2175800000005</v>
    </oc>
    <nc r="AE34">
      <v>7979.81178</v>
    </nc>
  </rcc>
  <rcc rId="8851" sId="2">
    <oc r="AH34">
      <v>97.60821</v>
    </oc>
    <nc r="AH34">
      <v>104.42821000000001</v>
    </nc>
  </rcc>
  <rcc rId="8852" sId="2">
    <oc r="AQ34">
      <v>129.90133</v>
    </oc>
    <nc r="AQ34">
      <v>162.91130000000001</v>
    </nc>
  </rcc>
  <rcc rId="8853" sId="2">
    <oc r="AT34">
      <v>214.28019</v>
    </oc>
    <nc r="AT34">
      <v>174.95706000000001</v>
    </nc>
  </rcc>
  <rcc rId="8854" sId="2">
    <oc r="AZ34">
      <v>594.85609999999997</v>
    </oc>
    <nc r="AZ34">
      <v>633.03202999999996</v>
    </nc>
  </rcc>
  <rcc rId="8855" sId="2">
    <oc r="BZ34">
      <v>68036.687390000006</v>
    </oc>
    <nc r="BZ34">
      <v>68039.187390000006</v>
    </nc>
  </rcc>
  <rcc rId="8856" sId="2">
    <oc r="CA34">
      <v>28600.28599</v>
    </oc>
    <nc r="CA34">
      <v>35578.601909999998</v>
    </nc>
  </rcc>
  <rcc rId="8857" sId="2">
    <oc r="CC34">
      <v>28718.624</v>
    </oc>
    <nc r="CC34">
      <v>28169.9</v>
    </nc>
  </rcc>
  <rcc rId="8858" sId="2">
    <oc r="CD34">
      <v>19489.2</v>
    </oc>
    <nc r="CD34">
      <v>21225.200000000001</v>
    </nc>
  </rcc>
  <rcc rId="8859" sId="2">
    <oc r="CJ34">
      <v>3181.7246500000001</v>
    </oc>
    <nc r="CJ34">
      <v>8124.3405700000003</v>
    </nc>
  </rcc>
  <rcc rId="8860" sId="2">
    <oc r="CM34">
      <v>1192.441</v>
    </oc>
    <nc r="CM34">
      <v>1492.1410000000001</v>
    </nc>
  </rcc>
  <rcc rId="8861" sId="2">
    <oc r="CR34">
      <v>3187.7710000000002</v>
    </oc>
    <nc r="CR34">
      <v>3190.2710000000002</v>
    </nc>
  </rcc>
  <rcc rId="8862" sId="2" numFmtId="4">
    <oc r="DG34">
      <v>110782.44586000001</v>
    </oc>
    <nc r="DG34">
      <v>110784.94586000001</v>
    </nc>
  </rcc>
  <rcc rId="8863" sId="2" numFmtId="4">
    <oc r="DH34">
      <v>42746.823559999997</v>
    </oc>
    <nc r="DH34">
      <v>54530.107960000001</v>
    </nc>
  </rcc>
  <rcc rId="8864" sId="2" numFmtId="4">
    <oc r="DK34">
      <v>11693.79364</v>
    </oc>
    <nc r="DK34">
      <v>13370.60628</v>
    </nc>
  </rcc>
  <rcc rId="8865" sId="2" numFmtId="4">
    <oc r="DN34">
      <v>11586.062180000001</v>
    </oc>
    <nc r="DN34">
      <v>13248.32482</v>
    </nc>
  </rcc>
  <rcc rId="8866" sId="2" numFmtId="4">
    <oc r="DW34">
      <v>107.73146</v>
    </oc>
    <nc r="DW34">
      <v>122.28146</v>
    </nc>
  </rcc>
  <rcc rId="8867" sId="2" numFmtId="4">
    <oc r="DV34">
      <v>118.65349999999999</v>
    </oc>
    <nc r="DV34">
      <v>129.95349999999999</v>
    </nc>
  </rcc>
  <rcc rId="8868" sId="2" numFmtId="4">
    <oc r="DZ34">
      <v>963.95861000000002</v>
    </oc>
    <nc r="DZ34">
      <v>1150.5051000000001</v>
    </nc>
  </rcc>
  <rcc rId="8869" sId="2" numFmtId="4">
    <oc r="EC34">
      <v>35.000999999999998</v>
    </oc>
    <nc r="EC34">
      <v>53.549610000000001</v>
    </nc>
  </rcc>
  <rcc rId="8870" sId="2" numFmtId="4">
    <oc r="EE34">
      <v>34927.941469999998</v>
    </oc>
    <nc r="EE34">
      <v>34886.041469999996</v>
    </nc>
  </rcc>
  <rcc rId="8871" sId="2" numFmtId="4">
    <oc r="EF34">
      <v>10389.833199999999</v>
    </oc>
    <nc r="EF34">
      <v>17581.038140000001</v>
    </nc>
  </rcc>
  <rcc rId="8872" sId="2" numFmtId="4">
    <oc r="EH34">
      <v>18705.429390000001</v>
    </oc>
    <nc r="EH34">
      <v>18779.829389999999</v>
    </nc>
  </rcc>
  <rcc rId="8873" sId="2" numFmtId="4">
    <oc r="EI34">
      <v>5822.8146699999998</v>
    </oc>
    <nc r="EI34">
      <v>6710.6686799999998</v>
    </nc>
  </rcc>
  <rcc rId="8874" sId="2" numFmtId="4">
    <oc r="EK34">
      <v>32714.446</v>
    </oc>
    <nc r="EK34">
      <v>32684.446</v>
    </nc>
  </rcc>
  <rcc rId="8875" sId="2" numFmtId="4">
    <oc r="EL34">
      <v>13725.802439999999</v>
    </oc>
    <nc r="EL34">
      <v>15548.120150000001</v>
    </nc>
  </rcc>
  <rcc rId="8876" sId="2">
    <oc r="EX34">
      <v>234.75304</v>
    </oc>
    <nc r="EX34">
      <v>592.88325999999995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c rId="966" sId="16" numFmtId="34">
    <oc r="D62">
      <v>2.7585000000000002</v>
    </oc>
    <nc r="D62">
      <v>3.7585000000000002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7111.xml><?xml version="1.0" encoding="utf-8"?>
<revisions xmlns="http://schemas.openxmlformats.org/spreadsheetml/2006/main" xmlns:r="http://schemas.openxmlformats.org/officeDocument/2006/relationships">
  <rfmt sheetId="16" sqref="C50:D51">
    <dxf>
      <numFmt numFmtId="4" formatCode="#,##0.00"/>
    </dxf>
  </rfmt>
  <rfmt sheetId="16" sqref="C50:D51">
    <dxf>
      <numFmt numFmtId="173" formatCode="#,##0.000"/>
    </dxf>
  </rfmt>
  <rfmt sheetId="16" sqref="C50:D51">
    <dxf>
      <numFmt numFmtId="183" formatCode="#,##0.0000"/>
    </dxf>
  </rfmt>
  <rfmt sheetId="16" sqref="C50:D51">
    <dxf>
      <numFmt numFmtId="172" formatCode="#,##0.00000"/>
    </dxf>
  </rfmt>
  <rcc rId="845" sId="16" numFmtId="4">
    <oc r="D16">
      <v>344.15156000000002</v>
    </oc>
    <nc r="D16">
      <v>344.15152999999998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71111.xml><?xml version="1.0" encoding="utf-8"?>
<revisions xmlns="http://schemas.openxmlformats.org/spreadsheetml/2006/main" xmlns:r="http://schemas.openxmlformats.org/officeDocument/2006/relationships">
  <rcc rId="817" sId="3" numFmtId="4">
    <oc r="D8">
      <v>914.92600000000004</v>
    </oc>
    <nc r="D8">
      <v>914.92639999999994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район!$17:$18,район!$20:$20,район!$28:$30,район!$49:$50,район!$74:$74,район!$81:$81,район!$98:$98,район!$103:$103,район!$130:$132</formula>
    <oldFormula>район!$17:$18,район!$20:$20,район!$28:$30,район!$49:$50,район!$74:$74,район!$81:$81,район!$98:$98,район!$103:$103,район!$130:$132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Яра!$A$1:$F$100</formula>
    <oldFormula>Яра!$A$1:$F$100</oldFormula>
  </rdn>
  <rdn rId="0" localSheetId="18" customView="1" name="Z_5BFCA170_DEAE_4D2C_98A0_1E68B427AC01_.wvu.Rows" hidden="1" oldHidden="1">
    <formula>Яра!$19:$24,Яра!$45:$49,Яра!$57:$57,Яра!$59:$60,Яра!$67:$68,Яра!$77:$77,Яра!$82:$86,Яра!$89:$96</formula>
    <oldFormula>Яра!$19:$24,Яра!$45:$49,Яра!$57:$57,Яра!$59:$60,Яра!$67:$68,Яра!$77:$77,Яра!$82:$86,Яра!$89:$96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712.xml><?xml version="1.0" encoding="utf-8"?>
<revisions xmlns="http://schemas.openxmlformats.org/spreadsheetml/2006/main" xmlns:r="http://schemas.openxmlformats.org/officeDocument/2006/relationships">
  <rcc rId="7781" sId="15" numFmtId="34">
    <oc r="D79">
      <v>80.895979999999994</v>
    </oc>
    <nc r="D79">
      <v>85.996440000000007</v>
    </nc>
  </rcc>
  <rcc rId="7782" sId="15" numFmtId="34">
    <oc r="D81">
      <v>389.70299999999997</v>
    </oc>
    <nc r="D81">
      <v>449.70299999999997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7121.xml><?xml version="1.0" encoding="utf-8"?>
<revisions xmlns="http://schemas.openxmlformats.org/spreadsheetml/2006/main" xmlns:r="http://schemas.openxmlformats.org/officeDocument/2006/relationships">
  <rcc rId="7625" sId="15" numFmtId="4">
    <oc r="D6">
      <v>18.85566</v>
    </oc>
    <nc r="D6">
      <v>22.319800000000001</v>
    </nc>
  </rcc>
  <rcc rId="7626" sId="15" numFmtId="4">
    <oc r="D8">
      <v>80.949190000000002</v>
    </oc>
    <nc r="D8">
      <v>95.111879999999999</v>
    </nc>
  </rcc>
  <rcc rId="7627" sId="15" numFmtId="4">
    <oc r="D9">
      <v>0.66388999999999998</v>
    </oc>
    <nc r="D9">
      <v>0.81491000000000002</v>
    </nc>
  </rcc>
  <rcc rId="7628" sId="15" numFmtId="4">
    <oc r="D10">
      <v>123.33923</v>
    </oc>
    <nc r="D10">
      <v>144.18756999999999</v>
    </nc>
  </rcc>
  <rcc rId="7629" sId="15" numFmtId="4">
    <oc r="D11">
      <v>-17.036539999999999</v>
    </oc>
    <nc r="D11">
      <v>-22.17361</v>
    </nc>
  </rcc>
  <rcc rId="7630" sId="15" numFmtId="4">
    <oc r="D15">
      <v>7.1638299999999999</v>
    </oc>
    <nc r="D15">
      <v>13.47983</v>
    </nc>
  </rcc>
  <rcc rId="7631" sId="15" numFmtId="4">
    <oc r="D16">
      <v>43.003819999999997</v>
    </oc>
    <nc r="D16">
      <v>116.18959</v>
    </nc>
  </rcc>
  <rcc rId="7632" sId="15" numFmtId="4">
    <oc r="D18">
      <v>0.7</v>
    </oc>
    <nc r="D18">
      <v>0.8</v>
    </nc>
  </rcc>
  <rcc rId="7633" sId="15" numFmtId="4">
    <oc r="D28">
      <v>15.1732</v>
    </oc>
    <nc r="D28">
      <v>17.34</v>
    </nc>
  </rcc>
  <rcc rId="7634" sId="15" numFmtId="4">
    <oc r="D42">
      <v>836.779</v>
    </oc>
    <nc r="D42">
      <v>911.779</v>
    </nc>
  </rcc>
  <rcc rId="7635" sId="15" numFmtId="4">
    <oc r="D44">
      <v>84.072999999999993</v>
    </oc>
    <nc r="D44">
      <v>373.72300000000001</v>
    </nc>
  </rcc>
  <rcc rId="7636" sId="15" numFmtId="4">
    <oc r="D45">
      <v>48.463099999999997</v>
    </oc>
    <nc r="D45">
      <v>60.3431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Юнг!$19:$24,Юнг!$31:$33,Юнг!$38:$38,Юнг!$46:$47,Юнг!$56:$56,Юнг!$58:$60,Юнг!$66:$68,Юнг!$76:$77,Юнг!$81:$85,Юнг!$88:$95,Юнг!$141:$141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712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72.xml><?xml version="1.0" encoding="utf-8"?>
<revisions xmlns="http://schemas.openxmlformats.org/spreadsheetml/2006/main" xmlns:r="http://schemas.openxmlformats.org/officeDocument/2006/relationships">
  <rcc rId="7470" sId="16" numFmtId="4">
    <oc r="D35">
      <v>0</v>
    </oc>
    <nc r="D35">
      <v>1.17597</v>
    </nc>
  </rcc>
  <rfmt sheetId="16" sqref="D34" start="0" length="2147483647">
    <dxf>
      <font>
        <b/>
      </font>
    </dxf>
  </rfmt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Юнг!$19:$24,Юнг!$31:$33,Юнг!$38:$38,Юнг!$46:$47,Юнг!$56:$56,Юнг!$58:$60,Юнг!$66:$68,Юнг!$76:$77,Юнг!$81:$85,Юнг!$88:$95,Юнг!$141:$141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721.xml><?xml version="1.0" encoding="utf-8"?>
<revisions xmlns="http://schemas.openxmlformats.org/spreadsheetml/2006/main" xmlns:r="http://schemas.openxmlformats.org/officeDocument/2006/relationships"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7211.xml><?xml version="1.0" encoding="utf-8"?>
<revisions xmlns="http://schemas.openxmlformats.org/spreadsheetml/2006/main" xmlns:r="http://schemas.openxmlformats.org/officeDocument/2006/relationships">
  <rcc rId="7164" sId="17" numFmtId="34">
    <oc r="D59">
      <v>752.03458999999998</v>
    </oc>
    <nc r="D59">
      <v>868.05613000000005</v>
    </nc>
  </rcc>
  <rcc rId="7165" sId="17" numFmtId="34">
    <nc r="D62">
      <v>0</v>
    </nc>
  </rcc>
  <rcc rId="7166" sId="17" numFmtId="34">
    <oc r="D66">
      <v>80.835520000000002</v>
    </oc>
    <nc r="D66">
      <v>101.3372</v>
    </nc>
  </rcc>
  <rcc rId="7167" sId="17" numFmtId="34">
    <oc r="D74">
      <v>147.41399999999999</v>
    </oc>
    <nc r="D74">
      <v>157.28800000000001</v>
    </nc>
  </rcc>
  <rcc rId="7168" sId="17" numFmtId="34">
    <oc r="D75">
      <v>643.81600000000003</v>
    </oc>
    <nc r="D75">
      <v>1110.2813799999999</v>
    </nc>
  </rcc>
  <rcc rId="7169" sId="17" numFmtId="34">
    <oc r="D80">
      <v>461.51398</v>
    </oc>
    <nc r="D80">
      <v>546.24532999999997</v>
    </nc>
  </rcc>
  <rcc rId="7170" sId="17" numFmtId="34">
    <oc r="D82">
      <v>1078.7696599999999</v>
    </oc>
    <nc r="D82">
      <v>1185.5796600000001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72111.xml><?xml version="1.0" encoding="utf-8"?>
<revisions xmlns="http://schemas.openxmlformats.org/spreadsheetml/2006/main" xmlns:r="http://schemas.openxmlformats.org/officeDocument/2006/relationships">
  <rcc rId="7066" sId="18" numFmtId="34">
    <oc r="D76">
      <v>3472.9372100000001</v>
    </oc>
    <nc r="D76">
      <v>3475.9372100000001</v>
    </nc>
  </rcc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Rows" hidden="1" oldHidden="1">
    <formula>Справка!$33:$33</formula>
    <oldFormula>Справка!$33:$33</oldFormula>
  </rdn>
  <rdn rId="0" localSheetId="2" customView="1" name="Z_B30CE22D_C12F_4E12_8BB9_3AAE0A6991CC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B30CE22D_C12F_4E12_8BB9_3AAE0A6991CC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B30CE22D_C12F_4E12_8BB9_3AAE0A6991CC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B30CE22D_C12F_4E12_8BB9_3AAE0A6991CC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B30CE22D_C12F_4E12_8BB9_3AAE0A6991CC_.wvu.PrintArea" hidden="1" oldHidden="1">
    <formula>Иль!$A$1:$F$103</formula>
    <oldFormula>Иль!$A$1:$F$103</oldFormula>
  </rdn>
  <rdn rId="0" localSheetId="6" customView="1" name="Z_B30CE22D_C12F_4E12_8BB9_3AAE0A6991CC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B30CE22D_C12F_4E12_8BB9_3AAE0A6991CC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B30CE22D_C12F_4E12_8BB9_3AAE0A6991CC_.wvu.PrintArea" hidden="1" oldHidden="1">
    <formula>Мор!$A$1:$F$100</formula>
    <oldFormula>Мор!$A$1:$F$100</oldFormula>
  </rdn>
  <rdn rId="0" localSheetId="8" customView="1" name="Z_B30CE22D_C12F_4E12_8BB9_3AAE0A6991CC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B30CE22D_C12F_4E12_8BB9_3AAE0A6991CC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B30CE22D_C12F_4E12_8BB9_3AAE0A6991CC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B30CE22D_C12F_4E12_8BB9_3AAE0A6991CC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B30CE22D_C12F_4E12_8BB9_3AAE0A6991CC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B30CE22D_C12F_4E12_8BB9_3AAE0A6991CC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B30CE22D_C12F_4E12_8BB9_3AAE0A6991CC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B30CE22D_C12F_4E12_8BB9_3AAE0A6991CC_.wvu.PrintArea" hidden="1" oldHidden="1">
    <formula>Юнг!$A$1:$F$99</formula>
    <oldFormula>Юнг!$A$1:$F$99</oldFormula>
  </rdn>
  <rdn rId="0" localSheetId="16" customView="1" name="Z_B30CE22D_C12F_4E12_8BB9_3AAE0A6991CC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B30CE22D_C12F_4E12_8BB9_3AAE0A6991CC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B30CE22D_C12F_4E12_8BB9_3AAE0A6991CC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7211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Кад!$19:$24,Кад!$44:$44,Кад!$56:$56,Кад!$58:$59,Кад!$66:$67,Кад!$88:$95</formula>
    <oldFormula>Кад!$19:$24,Кад!$44:$44,Кад!$56:$56,Кад!$58:$59,Кад!$66:$67,Кад!$88:$95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c rId="4673" sId="3" numFmtId="4">
    <oc r="D89">
      <v>10654.302830000001</v>
    </oc>
    <nc r="D89">
      <v>12601.11951</v>
    </nc>
  </rcc>
  <rcc rId="4674" sId="3" numFmtId="4">
    <oc r="D91">
      <v>2605.19319</v>
    </oc>
    <nc r="D91">
      <v>3086.5507600000001</v>
    </nc>
  </rcc>
  <rcc rId="4675" sId="3" numFmtId="4">
    <oc r="D94">
      <v>4248.2175800000005</v>
    </oc>
    <nc r="D94">
      <v>4868.8685800000003</v>
    </nc>
  </rcc>
  <rcc rId="4676" sId="3" numFmtId="4">
    <oc r="D96">
      <v>882.37</v>
    </oc>
    <nc r="D96">
      <v>1182.07</v>
    </nc>
  </rcc>
  <rcc rId="4677" sId="3" numFmtId="4">
    <oc r="D99">
      <v>758</v>
    </oc>
    <nc r="D99">
      <v>780.67529000000002</v>
    </nc>
  </rcc>
  <rcc rId="4678" sId="3" numFmtId="4">
    <oc r="D100">
      <v>1625.5952299999999</v>
    </oc>
    <nc r="D100">
      <v>1874.2427</v>
    </nc>
  </rcc>
  <rcc rId="4679" sId="3" numFmtId="4">
    <oc r="D105">
      <v>18</v>
    </oc>
    <nc r="D105">
      <v>34.670999999999999</v>
    </nc>
  </rcc>
  <rcc rId="4680" sId="3" numFmtId="4">
    <oc r="D106">
      <v>12967.88955</v>
    </oc>
    <nc r="D106">
      <v>38945.051330000002</v>
    </nc>
  </rcc>
  <rcc rId="4681" sId="3" numFmtId="4">
    <oc r="D107">
      <v>656.89769999999999</v>
    </oc>
    <nc r="D107">
      <v>770.23519999999996</v>
    </nc>
  </rcc>
  <rcc rId="4682" sId="3" numFmtId="4">
    <oc r="D109">
      <v>220.40289000000001</v>
    </oc>
    <nc r="D109">
      <v>291.20533999999998</v>
    </nc>
  </rcc>
  <rcc rId="4683" sId="3" numFmtId="4">
    <oc r="D115">
      <v>49851.014799999997</v>
    </oc>
    <nc r="D115">
      <v>55829.402800000003</v>
    </nc>
  </rcc>
  <rcc rId="4684" sId="3" numFmtId="4">
    <oc r="D116">
      <v>147295.22596000001</v>
    </oc>
    <nc r="D116">
      <v>158915.51517999999</v>
    </nc>
  </rcc>
  <rcc rId="4685" sId="3" numFmtId="4">
    <oc r="D117">
      <v>10281.475</v>
    </oc>
    <nc r="D117">
      <v>11140.598</v>
    </nc>
  </rcc>
  <rcc rId="4686" sId="3" numFmtId="4">
    <oc r="D118">
      <v>4326.3855199999998</v>
    </oc>
    <nc r="D118">
      <v>4328.3855199999998</v>
    </nc>
  </rcc>
  <rcc rId="4687" sId="3" numFmtId="4">
    <oc r="D119">
      <v>3710.2228399999999</v>
    </oc>
    <nc r="D119">
      <v>4297.1285699999999</v>
    </nc>
  </rcc>
  <rcc rId="4688" sId="3" numFmtId="4">
    <oc r="C121">
      <v>44000.600429999999</v>
    </oc>
    <nc r="C121">
      <v>47800.600429999999</v>
    </nc>
  </rcc>
  <rcc rId="4689" sId="3" numFmtId="4">
    <oc r="D121">
      <v>20175.80298</v>
    </oc>
    <nc r="D121">
      <v>23415.308870000001</v>
    </nc>
  </rcc>
  <rcc rId="4690" sId="3" numFmtId="4">
    <oc r="D122">
      <v>543.85068000000001</v>
    </oc>
    <nc r="D122">
      <v>738.94931999999994</v>
    </nc>
  </rcc>
  <rcc rId="4691" sId="3" numFmtId="4">
    <oc r="D124">
      <v>15.01993</v>
    </oc>
    <nc r="D124">
      <v>19.967669999999998</v>
    </nc>
  </rcc>
  <rcc rId="4692" sId="3" numFmtId="4">
    <oc r="D125">
      <v>4853.2720099999997</v>
    </oc>
    <nc r="D125">
      <v>7079.2670099999996</v>
    </nc>
  </rcc>
  <rcc rId="4693" sId="3" numFmtId="4">
    <oc r="D126">
      <v>456.35032999999999</v>
    </oc>
    <nc r="D126">
      <v>1458.0827999999999</v>
    </nc>
  </rcc>
  <rcc rId="4694" sId="3" numFmtId="4">
    <oc r="D127">
      <v>63.339750000000002</v>
    </oc>
    <nc r="D127">
      <v>72.702209999999994</v>
    </nc>
  </rcc>
  <rcc rId="4695" sId="3" numFmtId="4">
    <oc r="D130">
      <v>3279.5970000000002</v>
    </oc>
    <nc r="D130">
      <v>3618.1950000000002</v>
    </nc>
  </rcc>
  <rcc rId="4696" sId="3" numFmtId="4">
    <oc r="D135">
      <v>0</v>
    </oc>
    <nc r="D135">
      <v>0.65</v>
    </nc>
  </rcc>
  <rcc rId="4697" sId="3" numFmtId="4">
    <oc r="D136">
      <f>D137</f>
    </oc>
    <nc r="D136">
      <v>0</v>
    </nc>
  </rcc>
  <rcc rId="4698" sId="3" numFmtId="4">
    <oc r="D139">
      <v>17742.400000000001</v>
    </oc>
    <nc r="D139">
      <v>19489.2</v>
    </nc>
  </rcc>
  <rcc rId="4699" sId="3" numFmtId="4">
    <oc r="D140">
      <v>1733.5</v>
    </oc>
    <nc r="D140">
      <v>1931.5</v>
    </nc>
  </rcc>
  <rcc rId="4700" sId="3" numFmtId="4">
    <oc r="C141">
      <v>836.5</v>
    </oc>
    <nc r="C141">
      <v>956.5</v>
    </nc>
  </rcc>
  <rcc rId="4701" sId="3" numFmtId="4">
    <oc r="D141">
      <v>63.45</v>
    </oc>
    <nc r="D141">
      <v>410.53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8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81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81111.xml><?xml version="1.0" encoding="utf-8"?>
<revisions xmlns="http://schemas.openxmlformats.org/spreadsheetml/2006/main" xmlns:r="http://schemas.openxmlformats.org/officeDocument/2006/relationships">
  <rcc rId="1142" sId="18">
    <oc r="C67">
      <f>C71+C70</f>
    </oc>
    <nc r="C67">
      <f>C71+C70+C72</f>
    </nc>
  </rcc>
  <rcc rId="1143" sId="18" numFmtId="34">
    <oc r="C74">
      <v>13.75</v>
    </oc>
    <nc r="C74">
      <v>15.188000000000001</v>
    </nc>
  </rcc>
  <rcc rId="1144" sId="18" numFmtId="34">
    <oc r="C76">
      <v>4502.9683299999997</v>
    </oc>
    <nc r="C76">
      <v>5136.4613300000001</v>
    </nc>
  </rcc>
  <rcc rId="1145" sId="18" numFmtId="34">
    <oc r="D76">
      <f>248.22402</f>
    </oc>
    <nc r="D76">
      <v>248.22402</v>
    </nc>
  </rcc>
  <rcc rId="1146" sId="18" numFmtId="34">
    <oc r="D81">
      <f>135.12922+9.0445+10.9</f>
    </oc>
    <nc r="D81">
      <v>239.56307000000001</v>
    </nc>
  </rcc>
  <rcc rId="1147" sId="18" numFmtId="34">
    <oc r="C83">
      <v>2866.9650000000001</v>
    </oc>
    <nc r="C83">
      <v>2982.0149999999999</v>
    </nc>
  </rcc>
  <rcc rId="1148" sId="18" numFmtId="34">
    <oc r="D83">
      <v>1549.6823999999999</v>
    </oc>
    <nc r="D83">
      <v>1705.3824</v>
    </nc>
  </rcc>
  <rfmt sheetId="18" sqref="C99:D99">
    <dxf>
      <numFmt numFmtId="4" formatCode="#,##0.00"/>
    </dxf>
  </rfmt>
  <rfmt sheetId="18" sqref="C99:D99">
    <dxf>
      <numFmt numFmtId="173" formatCode="#,##0.000"/>
    </dxf>
  </rfmt>
  <rfmt sheetId="18" sqref="C99:D99">
    <dxf>
      <numFmt numFmtId="183" formatCode="#,##0.0000"/>
    </dxf>
  </rfmt>
  <rfmt sheetId="18" sqref="C99:D99">
    <dxf>
      <numFmt numFmtId="172" formatCode="#,##0.00000"/>
    </dxf>
  </rfmt>
  <rfmt sheetId="18" sqref="C52:D53">
    <dxf>
      <numFmt numFmtId="4" formatCode="#,##0.00"/>
    </dxf>
  </rfmt>
  <rfmt sheetId="18" sqref="C52:D53">
    <dxf>
      <numFmt numFmtId="173" formatCode="#,##0.000"/>
    </dxf>
  </rfmt>
  <rfmt sheetId="18" sqref="C52:D53">
    <dxf>
      <numFmt numFmtId="183" formatCode="#,##0.0000"/>
    </dxf>
  </rfmt>
  <rfmt sheetId="18" sqref="C52:D53">
    <dxf>
      <numFmt numFmtId="172" formatCode="#,##0.00000"/>
    </dxf>
  </rfmt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811111.xml><?xml version="1.0" encoding="utf-8"?>
<revisions xmlns="http://schemas.openxmlformats.org/spreadsheetml/2006/main" xmlns:r="http://schemas.openxmlformats.org/officeDocument/2006/relationships">
  <rfmt sheetId="16" sqref="C96:D96">
    <dxf>
      <numFmt numFmtId="4" formatCode="#,##0.00"/>
    </dxf>
  </rfmt>
  <rfmt sheetId="16" sqref="C96:D96">
    <dxf>
      <numFmt numFmtId="173" formatCode="#,##0.000"/>
    </dxf>
  </rfmt>
  <rfmt sheetId="16" sqref="C96:D96">
    <dxf>
      <numFmt numFmtId="183" formatCode="#,##0.0000"/>
    </dxf>
  </rfmt>
  <rfmt sheetId="16" sqref="C96:D96">
    <dxf>
      <numFmt numFmtId="172" formatCode="#,##0.00000"/>
    </dxf>
  </rfmt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8111111.xml><?xml version="1.0" encoding="utf-8"?>
<revisions xmlns="http://schemas.openxmlformats.org/spreadsheetml/2006/main" xmlns:r="http://schemas.openxmlformats.org/officeDocument/2006/relationships">
  <rcc rId="901" sId="16" numFmtId="34">
    <oc r="C57">
      <v>1415.9849999999999</v>
    </oc>
    <nc r="C57">
      <v>1429.154</v>
    </nc>
  </rcc>
  <rcc rId="902" sId="16" numFmtId="34">
    <oc r="D57">
      <v>508.46789000000001</v>
    </oc>
    <nc r="D57">
      <v>640.58381999999995</v>
    </nc>
  </rcc>
  <rcc rId="903" sId="16" numFmtId="34">
    <oc r="D64">
      <v>23.938040000000001</v>
    </oc>
    <nc r="D64">
      <v>35.529000000000003</v>
    </nc>
  </rcc>
  <rcc rId="904" sId="16" numFmtId="34">
    <oc r="D69">
      <v>3.6</v>
    </oc>
    <nc r="D69">
      <v>4.2</v>
    </nc>
  </rcc>
  <rcc rId="905" sId="16" numFmtId="34">
    <oc r="C71">
      <f>0.7+3.05</f>
    </oc>
    <nc r="C71">
      <v>4.0289999999999999</v>
    </nc>
  </rcc>
  <rcc rId="906" sId="16" numFmtId="34">
    <oc r="C72">
      <v>1205</v>
    </oc>
    <nc r="C72">
      <v>1135</v>
    </nc>
  </rcc>
  <rcc rId="907" sId="16" numFmtId="34">
    <oc r="D72">
      <f>165.72332+10.4745</f>
    </oc>
    <nc r="D72">
      <v>176.19782000000001</v>
    </nc>
  </rcc>
  <rcc rId="908" sId="16" numFmtId="34">
    <oc r="D73">
      <v>199.28822</v>
    </oc>
    <nc r="D73">
      <v>336.48822000000001</v>
    </nc>
  </rcc>
  <rcc rId="909" sId="16" numFmtId="34">
    <oc r="C78">
      <f>204.106+142+8+200.2</f>
    </oc>
    <nc r="C78">
      <v>600.10599999999999</v>
    </nc>
  </rcc>
  <rcc rId="910" sId="16" numFmtId="34">
    <oc r="D78">
      <f>90.24378+8</f>
    </oc>
    <nc r="D78">
      <v>102.19947999999999</v>
    </nc>
  </rcc>
  <rcc rId="911" sId="16" numFmtId="34">
    <oc r="C87">
      <v>30</v>
    </oc>
    <nc r="C87">
      <v>20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8112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81121.xml><?xml version="1.0" encoding="utf-8"?>
<revisions xmlns="http://schemas.openxmlformats.org/spreadsheetml/2006/main" xmlns:r="http://schemas.openxmlformats.org/officeDocument/2006/relationships">
  <rcc rId="1337" sId="18">
    <nc r="G52">
      <f>D52-2544.01908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82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82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8211.xml><?xml version="1.0" encoding="utf-8"?>
<revisions xmlns="http://schemas.openxmlformats.org/spreadsheetml/2006/main" xmlns:r="http://schemas.openxmlformats.org/officeDocument/2006/relationships">
  <rcc rId="3402" sId="19" numFmtId="4">
    <oc r="D6">
      <v>54.864519999999999</v>
    </oc>
    <nc r="D6">
      <v>59.970820000000003</v>
    </nc>
  </rcc>
  <rcc rId="3403" sId="19" numFmtId="4">
    <oc r="D8">
      <v>88.094080000000005</v>
    </oc>
    <nc r="D8">
      <v>105.60921999999999</v>
    </nc>
  </rcc>
  <rcc rId="3404" sId="19" numFmtId="4">
    <oc r="D9">
      <v>0.66781999999999997</v>
    </oc>
    <nc r="D9">
      <v>0.86609000000000003</v>
    </nc>
  </rcc>
  <rcc rId="3405" sId="19" numFmtId="4">
    <oc r="D10">
      <v>132.81415000000001</v>
    </oc>
    <nc r="D10">
      <v>160.91278</v>
    </nc>
  </rcc>
  <rcc rId="3406" sId="19" numFmtId="4">
    <oc r="D11">
      <v>-18.303239999999999</v>
    </oc>
    <nc r="D11">
      <v>-22.226420000000001</v>
    </nc>
  </rcc>
  <rcc rId="3407" sId="19" numFmtId="4">
    <oc r="D15">
      <v>14.23786</v>
    </oc>
    <nc r="D15">
      <v>17.93036</v>
    </nc>
  </rcc>
  <rcc rId="3408" sId="19" numFmtId="4">
    <oc r="D16">
      <v>100.59296999999999</v>
    </oc>
    <nc r="D16">
      <v>154.93550999999999</v>
    </nc>
  </rcc>
  <rcc rId="3409" sId="19">
    <oc r="C39">
      <v>975.07100000000003</v>
    </oc>
    <nc r="C39">
      <f>940.2+34.871</f>
    </nc>
  </rcc>
  <rcc rId="3410" sId="19" numFmtId="4">
    <oc r="D39">
      <v>592.18700000000001</v>
    </oc>
    <nc r="D39">
      <f>650.488</f>
    </nc>
  </rcc>
  <rcc rId="3411" sId="19" numFmtId="4">
    <oc r="D40">
      <v>296.5</v>
    </oc>
    <nc r="D40">
      <v>494.5</v>
    </nc>
  </rcc>
  <rcc rId="3412" sId="19" numFmtId="4">
    <oc r="D41">
      <v>46.32</v>
    </oc>
    <nc r="D41">
      <v>235.59700000000001</v>
    </nc>
  </rcc>
  <rcc rId="3413" sId="19" numFmtId="4">
    <oc r="D42">
      <v>35.542000000000002</v>
    </oc>
    <nc r="D42">
      <v>49.496200000000002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82111.xml><?xml version="1.0" encoding="utf-8"?>
<revisions xmlns="http://schemas.openxmlformats.org/spreadsheetml/2006/main" xmlns:r="http://schemas.openxmlformats.org/officeDocument/2006/relationships">
  <rcc rId="1756" sId="2">
    <oc r="C34">
      <v>100251.06539</v>
    </oc>
    <nc r="C34">
      <v>99695.429390000005</v>
    </nc>
  </rcc>
  <rcc rId="1757" sId="2" numFmtId="4">
    <oc r="D34">
      <v>29525.99682</v>
    </oc>
    <nc r="D34">
      <v>35772.129390000002</v>
    </nc>
  </rcc>
  <rcc rId="1758" sId="2">
    <oc r="F34">
      <v>36710.241999999998</v>
    </oc>
    <nc r="F34">
      <v>37183.642</v>
    </nc>
  </rcc>
  <rcc rId="1759" sId="2">
    <oc r="G34">
      <v>9693.4837399999997</v>
    </oc>
    <nc r="G34">
      <v>11224.61074</v>
    </nc>
  </rcc>
  <rcc rId="1760" sId="2" numFmtId="4">
    <oc r="I34">
      <v>5106.8999999999996</v>
    </oc>
    <nc r="I34">
      <v>5105.8999999999996</v>
    </nc>
  </rcc>
  <rcc rId="1761" sId="2" numFmtId="4">
    <oc r="J34">
      <v>1943.54792</v>
    </oc>
    <nc r="J34">
      <v>2327.2864</v>
    </nc>
  </rcc>
  <rcc rId="1762" sId="2">
    <oc r="M34">
      <v>1394.49451</v>
    </oc>
    <nc r="M34">
      <v>1687.65022</v>
    </nc>
  </rcc>
  <rcc rId="1763" sId="2">
    <oc r="P34">
      <v>10.38818</v>
    </oc>
    <nc r="P34">
      <v>12.79397</v>
    </nc>
  </rcc>
  <rcc rId="1764" sId="2">
    <oc r="S34">
      <v>2113.7394599999998</v>
    </oc>
    <nc r="S34">
      <v>2544.3684400000002</v>
    </nc>
  </rcc>
  <rcc rId="1765" sId="2">
    <oc r="V34">
      <v>-288.73318</v>
    </oc>
    <nc r="V34">
      <v>-350.64350000000002</v>
    </nc>
  </rcc>
  <rcc rId="1766" sId="2" numFmtId="4">
    <oc r="Y34">
      <v>353.28816</v>
    </oc>
    <nc r="Y34">
      <v>380.20848999999998</v>
    </nc>
  </rcc>
  <rcc rId="1767" sId="2">
    <oc r="AB34">
      <v>202.26850999999999</v>
    </oc>
    <nc r="AB34">
      <v>212.96162000000001</v>
    </nc>
  </rcc>
  <rcc rId="1768" sId="2">
    <oc r="AD34">
      <v>17529.2</v>
    </oc>
    <nc r="AD34">
      <v>17689.2</v>
    </nc>
  </rcc>
  <rcc rId="1769" sId="2">
    <oc r="AE34">
      <v>2852.3977</v>
    </oc>
    <nc r="AE34">
      <v>3015.3979300000001</v>
    </nc>
  </rcc>
  <rcc rId="1770" sId="2">
    <oc r="AG34">
      <v>130.00200000000001</v>
    </oc>
    <nc r="AG34">
      <v>150</v>
    </nc>
  </rcc>
  <rcc rId="1771" sId="2">
    <oc r="AH34">
      <v>62.552210000000002</v>
    </oc>
    <nc r="AH34">
      <v>87.833209999999994</v>
    </nc>
  </rcc>
  <rcc rId="1772" sId="2">
    <oc r="AQ34">
      <v>18.253599999999999</v>
    </oc>
    <nc r="AQ34">
      <v>26.8856</v>
    </nc>
  </rcc>
  <rcc rId="1773" sId="2">
    <oc r="AT34">
      <v>110.71635999999999</v>
    </oc>
    <nc r="AT34">
      <v>147.59639999999999</v>
    </nc>
  </rcc>
  <rcc rId="1774" sId="2">
    <oc r="AZ34">
      <v>430.00452999999999</v>
    </oc>
    <nc r="AZ34">
      <v>525.49865999999997</v>
    </nc>
  </rcc>
  <rcc rId="1775" sId="2" numFmtId="4">
    <oc r="BR34">
      <v>-100.64301</v>
    </oc>
    <nc r="BR34">
      <v>65.207610000000003</v>
    </nc>
  </rcc>
  <rfmt sheetId="2" sqref="BR31">
    <dxf>
      <numFmt numFmtId="4" formatCode="#,##0.00"/>
    </dxf>
  </rfmt>
  <rfmt sheetId="2" sqref="BR31">
    <dxf>
      <numFmt numFmtId="173" formatCode="#,##0.000"/>
    </dxf>
  </rfmt>
  <rfmt sheetId="2" sqref="BR31">
    <dxf>
      <numFmt numFmtId="185" formatCode="#,##0.0000"/>
    </dxf>
  </rfmt>
  <rfmt sheetId="2" sqref="BR31">
    <dxf>
      <numFmt numFmtId="172" formatCode="#,##0.00000"/>
    </dxf>
  </rfmt>
  <rfmt sheetId="2" sqref="BR34">
    <dxf>
      <numFmt numFmtId="2" formatCode="0.00"/>
    </dxf>
  </rfmt>
  <rfmt sheetId="2" sqref="BR34">
    <dxf>
      <numFmt numFmtId="183" formatCode="0.000"/>
    </dxf>
  </rfmt>
  <rfmt sheetId="2" sqref="BR34">
    <dxf>
      <numFmt numFmtId="175" formatCode="0.0000"/>
    </dxf>
  </rfmt>
  <rcc rId="1776" sId="2">
    <oc r="BZ34">
      <v>63540.823389999998</v>
    </oc>
    <nc r="BZ34">
      <v>62511.787389999998</v>
    </nc>
  </rcc>
  <rcc rId="1777" sId="2">
    <oc r="CA34">
      <v>19832.513080000001</v>
    </oc>
    <nc r="CA34">
      <v>24547.518650000002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Справка!$A$1:$EY$33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c rId="1727" sId="19">
    <oc r="G45">
      <f>C48-5391.348</f>
    </oc>
    <nc r="G45"/>
  </rcc>
  <rcc rId="1728" sId="19">
    <oc r="H45">
      <f>D48-1594.92908</f>
    </oc>
    <nc r="H45"/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91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92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921.xml><?xml version="1.0" encoding="utf-8"?>
<revisions xmlns="http://schemas.openxmlformats.org/spreadsheetml/2006/main" xmlns:r="http://schemas.openxmlformats.org/officeDocument/2006/relationships">
  <rcc rId="1963" sId="15" numFmtId="34">
    <oc r="C61">
      <v>32.152000000000001</v>
    </oc>
    <nc r="C61">
      <v>0</v>
    </nc>
  </rcc>
  <rcc rId="1964" sId="15" numFmtId="34">
    <oc r="D61">
      <v>32.152000000000001</v>
    </oc>
    <nc r="D61">
      <v>0</v>
    </nc>
  </rcc>
  <rcc rId="1965" sId="17" numFmtId="34">
    <oc r="C62">
      <v>15.714</v>
    </oc>
    <nc r="C62">
      <v>0</v>
    </nc>
  </rcc>
  <rcc rId="1966" sId="17" numFmtId="34">
    <oc r="D62">
      <v>15.714</v>
    </oc>
    <nc r="D62">
      <v>0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9211.xml><?xml version="1.0" encoding="utf-8"?>
<revisions xmlns="http://schemas.openxmlformats.org/spreadsheetml/2006/main" xmlns:r="http://schemas.openxmlformats.org/officeDocument/2006/relationships">
  <rcc rId="1907" sId="18">
    <oc r="E28">
      <f>SUM(#REF!/C28*100)</f>
    </oc>
    <nc r="E28">
      <f>SUM(D28/C28*100)</f>
    </nc>
  </rcc>
  <rcc rId="1908" sId="18">
    <oc r="F28">
      <f>SUM(#REF!-C28)</f>
    </oc>
    <nc r="F28">
      <f>SUM(D28-C28)</f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userNames.xml><?xml version="1.0" encoding="utf-8"?>
<users xmlns="http://schemas.openxmlformats.org/spreadsheetml/2006/main" xmlns:r="http://schemas.openxmlformats.org/officeDocument/2006/relationships" count="5">
  <userInfo guid="{913D1855-D89E-43F3-984C-8E5980287B89}" name="Финансовый отдел администрации Моргаушского района -" id="-1249380129" dateTime="2018-07-06T13:59:09"/>
  <userInfo guid="{049DCCF3-AB71-4C44-8572-69BFDFF7550E}" name="morgau_fin7" id="-1071144099" dateTime="2018-07-06T14:01:16"/>
  <userInfo guid="{A61C927E-8E4A-4658-87E3-EE89EBA141F9}" name="morgau_fin7" id="-1071170879" dateTime="2018-07-10T15:41:26"/>
  <userInfo guid="{C59DDE6D-A40A-40F9-A965-305D7E8FDFC1}" name="morgau_fin7" id="-1071139757" dateTime="2018-08-07T14:28:13"/>
  <userInfo guid="{7CC5AD56-D691-4611-8984-39F6D2A39EE4}" name="Финансовый отдел администрации Моргаушского района -" id="-1249380147" dateTime="2018-08-07T15:19:39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6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1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5" Type="http://schemas.openxmlformats.org/officeDocument/2006/relationships/printerSettings" Target="../printerSettings/printerSettings113.bin"/><Relationship Id="rId4" Type="http://schemas.openxmlformats.org/officeDocument/2006/relationships/printerSettings" Target="../printerSettings/printerSettings1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4"/>
  <sheetViews>
    <sheetView view="pageBreakPreview" topLeftCell="A8" zoomScale="80" zoomScaleNormal="100" zoomScaleSheetLayoutView="80" workbookViewId="0">
      <selection activeCell="J28" sqref="J28"/>
    </sheetView>
  </sheetViews>
  <sheetFormatPr defaultRowHeight="15.75"/>
  <cols>
    <col min="1" max="1" width="41.28515625" style="84" customWidth="1"/>
    <col min="2" max="2" width="10" style="85" customWidth="1"/>
    <col min="3" max="3" width="21.140625" style="75" customWidth="1"/>
    <col min="4" max="4" width="20.42578125" style="75" customWidth="1"/>
    <col min="5" max="5" width="13.5703125" style="75" customWidth="1"/>
    <col min="6" max="6" width="20.85546875" style="75" customWidth="1"/>
    <col min="7" max="7" width="21.42578125" style="75" customWidth="1"/>
    <col min="8" max="8" width="13.5703125" style="75" customWidth="1"/>
    <col min="9" max="9" width="21.140625" style="75" customWidth="1"/>
    <col min="10" max="10" width="18" style="75" customWidth="1"/>
    <col min="11" max="11" width="13" style="75" customWidth="1"/>
    <col min="12" max="12" width="23.5703125" style="75" customWidth="1"/>
    <col min="13" max="13" width="12" style="75" customWidth="1"/>
    <col min="14" max="16384" width="9.140625" style="75"/>
  </cols>
  <sheetData>
    <row r="1" spans="1:15" ht="26.25" customHeight="1">
      <c r="A1" s="397" t="s">
        <v>411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123"/>
      <c r="M1" s="123"/>
      <c r="N1" s="123"/>
      <c r="O1" s="123"/>
    </row>
    <row r="2" spans="1:15" ht="33.75" customHeight="1">
      <c r="A2" s="395" t="s">
        <v>181</v>
      </c>
      <c r="B2" s="396" t="s">
        <v>182</v>
      </c>
      <c r="C2" s="392" t="s">
        <v>183</v>
      </c>
      <c r="D2" s="393"/>
      <c r="E2" s="393"/>
      <c r="F2" s="392" t="s">
        <v>184</v>
      </c>
      <c r="G2" s="393"/>
      <c r="H2" s="393"/>
      <c r="I2" s="392" t="s">
        <v>185</v>
      </c>
      <c r="J2" s="393"/>
      <c r="K2" s="398"/>
    </row>
    <row r="3" spans="1:15" ht="53.25" customHeight="1">
      <c r="A3" s="395"/>
      <c r="B3" s="396"/>
      <c r="C3" s="78" t="s">
        <v>347</v>
      </c>
      <c r="D3" s="78" t="s">
        <v>412</v>
      </c>
      <c r="E3" s="138" t="s">
        <v>332</v>
      </c>
      <c r="F3" s="78" t="s">
        <v>347</v>
      </c>
      <c r="G3" s="78" t="s">
        <v>412</v>
      </c>
      <c r="H3" s="138" t="s">
        <v>332</v>
      </c>
      <c r="I3" s="78" t="s">
        <v>347</v>
      </c>
      <c r="J3" s="78" t="s">
        <v>412</v>
      </c>
      <c r="K3" s="78" t="s">
        <v>332</v>
      </c>
    </row>
    <row r="4" spans="1:15" s="80" customFormat="1" ht="30.75" customHeight="1">
      <c r="A4" s="79" t="s">
        <v>5</v>
      </c>
      <c r="B4" s="76"/>
      <c r="C4" s="306">
        <f>SUM(C5:C13)</f>
        <v>160140.342</v>
      </c>
      <c r="D4" s="306">
        <f>SUM(D5:D13)</f>
        <v>98428.326990000016</v>
      </c>
      <c r="E4" s="306">
        <f>D4/C4*100</f>
        <v>61.463792171743968</v>
      </c>
      <c r="F4" s="306">
        <f>SUM(F5:F13)</f>
        <v>125924</v>
      </c>
      <c r="G4" s="306">
        <f>SUM(G5:G13)</f>
        <v>80447.429810000016</v>
      </c>
      <c r="H4" s="306">
        <f>G4/F4*100</f>
        <v>63.885700748070271</v>
      </c>
      <c r="I4" s="306">
        <f>I5+I7+I6+I8+I10+I11+I12+I13</f>
        <v>34216.342000000004</v>
      </c>
      <c r="J4" s="306">
        <f>J5+J6+J7+J8+J10+J11+J12+J13</f>
        <v>17980.89718</v>
      </c>
      <c r="K4" s="306">
        <f>J4/I4*100</f>
        <v>52.550612160703793</v>
      </c>
    </row>
    <row r="5" spans="1:15" ht="27" customHeight="1">
      <c r="A5" s="81" t="s">
        <v>186</v>
      </c>
      <c r="B5" s="77">
        <v>10102</v>
      </c>
      <c r="C5" s="307">
        <f t="shared" ref="C5:D8" si="0">F5+I5</f>
        <v>109796.9</v>
      </c>
      <c r="D5" s="307">
        <f t="shared" si="0"/>
        <v>68676.676250000004</v>
      </c>
      <c r="E5" s="308">
        <f t="shared" ref="E5:E12" si="1">D5/C5*100</f>
        <v>62.548829930535391</v>
      </c>
      <c r="F5" s="307">
        <f>район!C5</f>
        <v>104690</v>
      </c>
      <c r="G5" s="307">
        <f>район!D5</f>
        <v>65486.838640000002</v>
      </c>
      <c r="H5" s="308">
        <f t="shared" ref="H5:H41" si="2">G5/F5*100</f>
        <v>62.553098328398129</v>
      </c>
      <c r="I5" s="307">
        <f>Справка!I31</f>
        <v>5106.9000000000005</v>
      </c>
      <c r="J5" s="307">
        <f>Справка!J31</f>
        <v>3189.83761</v>
      </c>
      <c r="K5" s="308">
        <f t="shared" ref="K5:K12" si="3">J5/I5*100</f>
        <v>62.461328986273465</v>
      </c>
    </row>
    <row r="6" spans="1:15" ht="41.25" customHeight="1">
      <c r="A6" s="81" t="s">
        <v>284</v>
      </c>
      <c r="B6" s="77">
        <v>10300</v>
      </c>
      <c r="C6" s="307">
        <f t="shared" si="0"/>
        <v>12424.7</v>
      </c>
      <c r="D6" s="307">
        <f t="shared" si="0"/>
        <v>8400.1003000000019</v>
      </c>
      <c r="E6" s="308">
        <f t="shared" si="1"/>
        <v>67.608073434368649</v>
      </c>
      <c r="F6" s="307">
        <f>район!C7</f>
        <v>4367.8600000000006</v>
      </c>
      <c r="G6" s="307">
        <f>район!D7</f>
        <v>2953.0248800000004</v>
      </c>
      <c r="H6" s="308">
        <f t="shared" si="2"/>
        <v>67.608047876992401</v>
      </c>
      <c r="I6" s="307">
        <f>Справка!L31+Справка!R31+Справка!O31</f>
        <v>8056.84</v>
      </c>
      <c r="J6" s="307">
        <f>Справка!M31+Справка!S31+Справка!P31+Справка!V31</f>
        <v>5447.075420000001</v>
      </c>
      <c r="K6" s="308">
        <f t="shared" si="3"/>
        <v>67.608087289805937</v>
      </c>
    </row>
    <row r="7" spans="1:15" ht="19.5" customHeight="1">
      <c r="A7" s="81" t="s">
        <v>187</v>
      </c>
      <c r="B7" s="77">
        <v>10500</v>
      </c>
      <c r="C7" s="307">
        <f t="shared" si="0"/>
        <v>12732</v>
      </c>
      <c r="D7" s="307">
        <f t="shared" si="0"/>
        <v>9900.3387199999997</v>
      </c>
      <c r="E7" s="308">
        <f t="shared" si="1"/>
        <v>77.759493559535031</v>
      </c>
      <c r="F7" s="307">
        <f>район!C12</f>
        <v>12352</v>
      </c>
      <c r="G7" s="307">
        <f>район!D12</f>
        <v>9490.7284</v>
      </c>
      <c r="H7" s="308">
        <f t="shared" si="2"/>
        <v>76.835560233160621</v>
      </c>
      <c r="I7" s="307">
        <f>Справка!X31</f>
        <v>380</v>
      </c>
      <c r="J7" s="307">
        <f>Справка!Y31</f>
        <v>409.61031999999994</v>
      </c>
      <c r="K7" s="308">
        <f t="shared" si="3"/>
        <v>107.79218947368419</v>
      </c>
    </row>
    <row r="8" spans="1:15" ht="19.5" customHeight="1">
      <c r="A8" s="81" t="s">
        <v>188</v>
      </c>
      <c r="B8" s="77">
        <v>10601</v>
      </c>
      <c r="C8" s="307">
        <f t="shared" si="0"/>
        <v>2833.4</v>
      </c>
      <c r="D8" s="307">
        <f t="shared" si="0"/>
        <v>850.13383999999985</v>
      </c>
      <c r="E8" s="308">
        <f t="shared" si="1"/>
        <v>30.00401778781675</v>
      </c>
      <c r="F8" s="307"/>
      <c r="G8" s="307"/>
      <c r="H8" s="308"/>
      <c r="I8" s="307">
        <f>Справка!AA31</f>
        <v>2833.4</v>
      </c>
      <c r="J8" s="307">
        <f>Справка!AB31</f>
        <v>850.13383999999985</v>
      </c>
      <c r="K8" s="308">
        <f t="shared" si="3"/>
        <v>30.00401778781675</v>
      </c>
    </row>
    <row r="9" spans="1:15" ht="19.5" customHeight="1">
      <c r="A9" s="81" t="s">
        <v>285</v>
      </c>
      <c r="B9" s="77">
        <v>10604</v>
      </c>
      <c r="C9" s="307">
        <f>F9</f>
        <v>1915</v>
      </c>
      <c r="D9" s="307">
        <f>G9</f>
        <v>697.14878999999996</v>
      </c>
      <c r="E9" s="308">
        <f t="shared" si="1"/>
        <v>36.404636553524803</v>
      </c>
      <c r="F9" s="307">
        <f>район!C16</f>
        <v>1915</v>
      </c>
      <c r="G9" s="307">
        <f>район!D19</f>
        <v>697.14878999999996</v>
      </c>
      <c r="H9" s="308">
        <f t="shared" si="2"/>
        <v>36.404636553524803</v>
      </c>
      <c r="I9" s="307"/>
      <c r="J9" s="307"/>
      <c r="K9" s="308"/>
    </row>
    <row r="10" spans="1:15" ht="19.5" customHeight="1">
      <c r="A10" s="81" t="s">
        <v>189</v>
      </c>
      <c r="B10" s="77">
        <v>10606</v>
      </c>
      <c r="C10" s="307">
        <f t="shared" ref="C10:D13" si="4">F10+I10</f>
        <v>17689.2</v>
      </c>
      <c r="D10" s="307">
        <f t="shared" si="4"/>
        <v>7979.81178</v>
      </c>
      <c r="E10" s="308">
        <f t="shared" si="1"/>
        <v>45.111207855640728</v>
      </c>
      <c r="F10" s="307"/>
      <c r="G10" s="307"/>
      <c r="H10" s="308">
        <v>0</v>
      </c>
      <c r="I10" s="307">
        <f>Справка!AD31</f>
        <v>17689.2</v>
      </c>
      <c r="J10" s="307">
        <f>Справка!AE31</f>
        <v>7979.81178</v>
      </c>
      <c r="K10" s="308">
        <f t="shared" si="3"/>
        <v>45.111207855640728</v>
      </c>
    </row>
    <row r="11" spans="1:15" ht="33.75" customHeight="1">
      <c r="A11" s="81" t="s">
        <v>190</v>
      </c>
      <c r="B11" s="77">
        <v>10701</v>
      </c>
      <c r="C11" s="307">
        <f t="shared" si="4"/>
        <v>399.14</v>
      </c>
      <c r="D11" s="307">
        <f t="shared" si="4"/>
        <v>9.9229999999999999E-2</v>
      </c>
      <c r="E11" s="308">
        <f t="shared" si="1"/>
        <v>2.4860951044746202E-2</v>
      </c>
      <c r="F11" s="307">
        <f>район!C21</f>
        <v>399.14</v>
      </c>
      <c r="G11" s="307">
        <f>район!D21</f>
        <v>9.9229999999999999E-2</v>
      </c>
      <c r="H11" s="308">
        <f t="shared" si="2"/>
        <v>2.4860951044746202E-2</v>
      </c>
      <c r="I11" s="307"/>
      <c r="J11" s="307"/>
      <c r="K11" s="308">
        <v>0</v>
      </c>
    </row>
    <row r="12" spans="1:15" ht="19.5" customHeight="1">
      <c r="A12" s="81" t="s">
        <v>191</v>
      </c>
      <c r="B12" s="77">
        <v>10800</v>
      </c>
      <c r="C12" s="307">
        <f t="shared" si="4"/>
        <v>2350.002</v>
      </c>
      <c r="D12" s="307">
        <f t="shared" si="4"/>
        <v>1924.0180800000001</v>
      </c>
      <c r="E12" s="308">
        <f t="shared" si="1"/>
        <v>81.873040108050972</v>
      </c>
      <c r="F12" s="307">
        <f>район!C23</f>
        <v>2200</v>
      </c>
      <c r="G12" s="307">
        <f>район!D23</f>
        <v>1819.58987</v>
      </c>
      <c r="H12" s="308">
        <f t="shared" si="2"/>
        <v>82.708630454545457</v>
      </c>
      <c r="I12" s="307">
        <f>Справка!AG31</f>
        <v>150.00200000000001</v>
      </c>
      <c r="J12" s="307">
        <f>Справка!AH31</f>
        <v>104.42821000000001</v>
      </c>
      <c r="K12" s="308">
        <f t="shared" si="3"/>
        <v>69.617878428287625</v>
      </c>
    </row>
    <row r="13" spans="1:15" ht="19.5" customHeight="1">
      <c r="A13" s="81" t="s">
        <v>192</v>
      </c>
      <c r="B13" s="77">
        <v>10900</v>
      </c>
      <c r="C13" s="307">
        <f t="shared" si="4"/>
        <v>0</v>
      </c>
      <c r="D13" s="307">
        <f t="shared" si="4"/>
        <v>0</v>
      </c>
      <c r="E13" s="308"/>
      <c r="F13" s="307">
        <f>район!C27</f>
        <v>0</v>
      </c>
      <c r="G13" s="307">
        <f>район!D27</f>
        <v>0</v>
      </c>
      <c r="H13" s="308"/>
      <c r="I13" s="307">
        <f>Справка!AJ31</f>
        <v>0</v>
      </c>
      <c r="J13" s="307">
        <f>Справка!AK31</f>
        <v>0</v>
      </c>
      <c r="K13" s="308"/>
    </row>
    <row r="14" spans="1:15" s="80" customFormat="1" ht="27" customHeight="1">
      <c r="A14" s="79" t="s">
        <v>13</v>
      </c>
      <c r="B14" s="76"/>
      <c r="C14" s="306">
        <f>SUM(C15:C21)</f>
        <v>29647.399999999998</v>
      </c>
      <c r="D14" s="306">
        <f>SUM(D15:D21)</f>
        <v>19104.019830000001</v>
      </c>
      <c r="E14" s="306">
        <f t="shared" ref="E14:E39" si="5">D14/C14*100</f>
        <v>64.437420583255204</v>
      </c>
      <c r="F14" s="306">
        <f>F15+F16+F17+F18+F20+F21+F19</f>
        <v>26680.1</v>
      </c>
      <c r="G14" s="306">
        <f>G15+G16+G17+G18+G20+G21+G19</f>
        <v>17540.527699999999</v>
      </c>
      <c r="H14" s="306">
        <f t="shared" si="2"/>
        <v>65.743860405320817</v>
      </c>
      <c r="I14" s="309">
        <f>I15+I16+I17+I18+I20+I21+I26</f>
        <v>2967.3</v>
      </c>
      <c r="J14" s="309">
        <f>J15+J16+J17+J18+J20+J21+J26</f>
        <v>1563.4921299999999</v>
      </c>
      <c r="K14" s="306">
        <f>J14/I14*100</f>
        <v>52.69073332659319</v>
      </c>
    </row>
    <row r="15" spans="1:15" ht="52.5" customHeight="1">
      <c r="A15" s="81" t="s">
        <v>193</v>
      </c>
      <c r="B15" s="77">
        <v>11100</v>
      </c>
      <c r="C15" s="307">
        <f t="shared" ref="C15:D22" si="6">F15+I15</f>
        <v>11357.599999999999</v>
      </c>
      <c r="D15" s="307">
        <f t="shared" si="6"/>
        <v>7735.7245599999997</v>
      </c>
      <c r="E15" s="307">
        <f t="shared" si="5"/>
        <v>68.110556455589204</v>
      </c>
      <c r="F15" s="307">
        <f>район!C33</f>
        <v>9536.2999999999993</v>
      </c>
      <c r="G15" s="307">
        <f>район!D33</f>
        <v>7344.8527399999994</v>
      </c>
      <c r="H15" s="307">
        <f t="shared" si="2"/>
        <v>77.019942115914972</v>
      </c>
      <c r="I15" s="307">
        <f>Справка!AP31+Справка!AS31+Справка!AM31</f>
        <v>1821.3</v>
      </c>
      <c r="J15" s="307">
        <f>Справка!AQ31+Справка!AT31+Справка!AN31</f>
        <v>390.87182000000001</v>
      </c>
      <c r="K15" s="308">
        <f>J15/I15*100</f>
        <v>21.461144237632464</v>
      </c>
    </row>
    <row r="16" spans="1:15" ht="33" customHeight="1">
      <c r="A16" s="81" t="s">
        <v>194</v>
      </c>
      <c r="B16" s="77">
        <v>11200</v>
      </c>
      <c r="C16" s="307">
        <f t="shared" si="6"/>
        <v>490</v>
      </c>
      <c r="D16" s="307">
        <f t="shared" si="6"/>
        <v>581.26819999999998</v>
      </c>
      <c r="E16" s="307">
        <f t="shared" si="5"/>
        <v>118.62616326530613</v>
      </c>
      <c r="F16" s="307">
        <f>район!C41</f>
        <v>490</v>
      </c>
      <c r="G16" s="307">
        <f>район!D41</f>
        <v>581.26819999999998</v>
      </c>
      <c r="H16" s="307">
        <f t="shared" si="2"/>
        <v>118.62616326530613</v>
      </c>
      <c r="I16" s="307">
        <v>0</v>
      </c>
      <c r="J16" s="307">
        <v>0</v>
      </c>
      <c r="K16" s="308">
        <v>0</v>
      </c>
    </row>
    <row r="17" spans="1:13" ht="33" customHeight="1">
      <c r="A17" s="81" t="s">
        <v>195</v>
      </c>
      <c r="B17" s="77">
        <v>11300</v>
      </c>
      <c r="C17" s="307">
        <f t="shared" si="6"/>
        <v>1019</v>
      </c>
      <c r="D17" s="307">
        <f t="shared" si="6"/>
        <v>746.43017999999995</v>
      </c>
      <c r="E17" s="307">
        <f>D17/C17*100</f>
        <v>73.251244357212954</v>
      </c>
      <c r="F17" s="307">
        <f>район!C43</f>
        <v>459</v>
      </c>
      <c r="G17" s="307">
        <f>район!D43</f>
        <v>113.39815</v>
      </c>
      <c r="H17" s="307">
        <f t="shared" si="2"/>
        <v>24.705479302832245</v>
      </c>
      <c r="I17" s="307">
        <f>Справка!AY31</f>
        <v>560</v>
      </c>
      <c r="J17" s="307">
        <f>Справка!AZ31</f>
        <v>633.03202999999996</v>
      </c>
      <c r="K17" s="308">
        <f>J17/I17*100</f>
        <v>113.04143392857142</v>
      </c>
    </row>
    <row r="18" spans="1:13" ht="33" customHeight="1">
      <c r="A18" s="81" t="s">
        <v>196</v>
      </c>
      <c r="B18" s="77">
        <v>11400</v>
      </c>
      <c r="C18" s="307">
        <f t="shared" si="6"/>
        <v>7268.8</v>
      </c>
      <c r="D18" s="307">
        <f t="shared" si="6"/>
        <v>2042.8497</v>
      </c>
      <c r="E18" s="307">
        <f t="shared" si="5"/>
        <v>28.104359729253797</v>
      </c>
      <c r="F18" s="307">
        <f>район!C46</f>
        <v>6682.8</v>
      </c>
      <c r="G18" s="307">
        <f>район!D46</f>
        <v>1451.6496999999999</v>
      </c>
      <c r="H18" s="307">
        <f t="shared" si="2"/>
        <v>21.722177829652239</v>
      </c>
      <c r="I18" s="307">
        <f>Справка!BE31</f>
        <v>586</v>
      </c>
      <c r="J18" s="307">
        <f>Справка!BF31</f>
        <v>591.20000000000005</v>
      </c>
      <c r="K18" s="308">
        <f>J18/I18*100</f>
        <v>100.88737201365188</v>
      </c>
    </row>
    <row r="19" spans="1:13" ht="23.25" customHeight="1">
      <c r="A19" s="81" t="s">
        <v>251</v>
      </c>
      <c r="B19" s="77">
        <v>11500</v>
      </c>
      <c r="C19" s="307">
        <f t="shared" si="6"/>
        <v>0</v>
      </c>
      <c r="D19" s="307">
        <f t="shared" si="6"/>
        <v>0</v>
      </c>
      <c r="E19" s="307"/>
      <c r="F19" s="307">
        <f>район!C49</f>
        <v>0</v>
      </c>
      <c r="G19" s="307">
        <f>район!D49</f>
        <v>0</v>
      </c>
      <c r="H19" s="307"/>
      <c r="I19" s="307"/>
      <c r="J19" s="307"/>
      <c r="K19" s="308"/>
    </row>
    <row r="20" spans="1:13" ht="22.5" customHeight="1">
      <c r="A20" s="81" t="s">
        <v>197</v>
      </c>
      <c r="B20" s="77">
        <v>11600</v>
      </c>
      <c r="C20" s="307">
        <f t="shared" si="6"/>
        <v>9512</v>
      </c>
      <c r="D20" s="307">
        <f t="shared" si="6"/>
        <v>8055.3347999999996</v>
      </c>
      <c r="E20" s="307">
        <f t="shared" si="5"/>
        <v>84.686026072329696</v>
      </c>
      <c r="F20" s="307">
        <f>район!C51</f>
        <v>9512</v>
      </c>
      <c r="G20" s="307">
        <f>район!D51</f>
        <v>8041.1589099999992</v>
      </c>
      <c r="H20" s="307">
        <f t="shared" si="2"/>
        <v>84.536994428090821</v>
      </c>
      <c r="I20" s="307">
        <f>Справка!BN31</f>
        <v>0</v>
      </c>
      <c r="J20" s="307">
        <f>Справка!BO31</f>
        <v>14.175890000000001</v>
      </c>
      <c r="K20" s="308">
        <v>0</v>
      </c>
    </row>
    <row r="21" spans="1:13" ht="31.5" customHeight="1">
      <c r="A21" s="81" t="s">
        <v>198</v>
      </c>
      <c r="B21" s="77">
        <v>11700</v>
      </c>
      <c r="C21" s="307">
        <f t="shared" si="6"/>
        <v>0</v>
      </c>
      <c r="D21" s="307">
        <f t="shared" si="6"/>
        <v>-57.587609999999998</v>
      </c>
      <c r="E21" s="307"/>
      <c r="F21" s="307">
        <f>район!C68</f>
        <v>0</v>
      </c>
      <c r="G21" s="307">
        <f>район!D68</f>
        <v>8.1999999999999993</v>
      </c>
      <c r="H21" s="307"/>
      <c r="I21" s="307">
        <f>Справка!BQ31</f>
        <v>0</v>
      </c>
      <c r="J21" s="307">
        <f>Справка!BR31</f>
        <v>-65.787610000000001</v>
      </c>
      <c r="K21" s="308">
        <v>0</v>
      </c>
    </row>
    <row r="22" spans="1:13" ht="45.75" hidden="1" customHeight="1">
      <c r="A22" s="79" t="s">
        <v>199</v>
      </c>
      <c r="B22" s="76">
        <v>30000</v>
      </c>
      <c r="C22" s="306">
        <f t="shared" si="6"/>
        <v>0</v>
      </c>
      <c r="D22" s="306">
        <f t="shared" si="6"/>
        <v>0</v>
      </c>
      <c r="E22" s="306"/>
      <c r="F22" s="306">
        <v>0</v>
      </c>
      <c r="G22" s="306">
        <v>0</v>
      </c>
      <c r="H22" s="306"/>
      <c r="I22" s="306">
        <v>0</v>
      </c>
      <c r="J22" s="306">
        <v>0</v>
      </c>
      <c r="K22" s="306"/>
    </row>
    <row r="23" spans="1:13" ht="36.75" customHeight="1">
      <c r="A23" s="79" t="s">
        <v>19</v>
      </c>
      <c r="B23" s="76">
        <v>10000</v>
      </c>
      <c r="C23" s="309">
        <f>SUM(C4,C14,C22,)</f>
        <v>189787.742</v>
      </c>
      <c r="D23" s="309">
        <f>SUM(D4,D14,)</f>
        <v>117532.34682000002</v>
      </c>
      <c r="E23" s="306">
        <f t="shared" si="5"/>
        <v>61.92831295711396</v>
      </c>
      <c r="F23" s="309">
        <f>SUM(F4,F14,)</f>
        <v>152604.1</v>
      </c>
      <c r="G23" s="310">
        <f>SUM(G4,G14,G22)</f>
        <v>97987.957510000007</v>
      </c>
      <c r="H23" s="306">
        <f t="shared" si="2"/>
        <v>64.210566760657144</v>
      </c>
      <c r="I23" s="309">
        <f>I4+I14</f>
        <v>37183.642000000007</v>
      </c>
      <c r="J23" s="309">
        <f>J4+J14</f>
        <v>19544.389309999999</v>
      </c>
      <c r="K23" s="306">
        <f>J23/I23*100</f>
        <v>52.561794000705994</v>
      </c>
    </row>
    <row r="24" spans="1:13" ht="33" customHeight="1">
      <c r="A24" s="79" t="s">
        <v>200</v>
      </c>
      <c r="B24" s="76">
        <v>20200</v>
      </c>
      <c r="C24" s="311">
        <v>571133.59115999995</v>
      </c>
      <c r="D24" s="311">
        <v>340187.68938</v>
      </c>
      <c r="E24" s="309">
        <f t="shared" si="5"/>
        <v>59.563593289804992</v>
      </c>
      <c r="F24" s="309">
        <f>район!C72</f>
        <v>591472.02116</v>
      </c>
      <c r="G24" s="309">
        <f>район!D72</f>
        <v>352842.54897</v>
      </c>
      <c r="H24" s="306">
        <f t="shared" si="2"/>
        <v>59.654985586300803</v>
      </c>
      <c r="I24" s="309">
        <f>Справка!BZ31</f>
        <v>68039.187389999992</v>
      </c>
      <c r="J24" s="309">
        <f>Справка!CA31</f>
        <v>35578.601910000005</v>
      </c>
      <c r="K24" s="306">
        <f t="shared" ref="K24:K38" si="7">J24/I24*100</f>
        <v>52.291338675260455</v>
      </c>
    </row>
    <row r="25" spans="1:13" ht="33" customHeight="1">
      <c r="A25" s="79" t="s">
        <v>303</v>
      </c>
      <c r="B25" s="76">
        <v>20700</v>
      </c>
      <c r="C25" s="312">
        <f>F25+I25</f>
        <v>3190.2709999999993</v>
      </c>
      <c r="D25" s="312">
        <f>G25+J25</f>
        <v>3172.3895799999996</v>
      </c>
      <c r="E25" s="309">
        <f t="shared" si="5"/>
        <v>99.439501534509148</v>
      </c>
      <c r="F25" s="309"/>
      <c r="G25" s="309"/>
      <c r="H25" s="306"/>
      <c r="I25" s="309">
        <f>Справка!CR31</f>
        <v>3190.2709999999993</v>
      </c>
      <c r="J25" s="309">
        <f>Справка!CS31</f>
        <v>3172.3895799999996</v>
      </c>
      <c r="K25" s="306">
        <f t="shared" si="7"/>
        <v>99.439501534509148</v>
      </c>
    </row>
    <row r="26" spans="1:13" ht="33" customHeight="1">
      <c r="A26" s="79" t="s">
        <v>263</v>
      </c>
      <c r="B26" s="77">
        <v>21900</v>
      </c>
      <c r="C26" s="312">
        <f>F26+I26</f>
        <v>-4.22</v>
      </c>
      <c r="D26" s="312">
        <f>G26+J26</f>
        <v>-369.02165000000002</v>
      </c>
      <c r="E26" s="309"/>
      <c r="F26" s="308">
        <f>район!C80</f>
        <v>-4.22</v>
      </c>
      <c r="G26" s="308">
        <f>район!D80</f>
        <v>-369.02165000000002</v>
      </c>
      <c r="H26" s="306"/>
      <c r="I26" s="308">
        <v>0</v>
      </c>
      <c r="J26" s="308">
        <v>0</v>
      </c>
      <c r="K26" s="308">
        <v>0</v>
      </c>
      <c r="L26" s="83"/>
    </row>
    <row r="27" spans="1:13" ht="29.25" customHeight="1">
      <c r="A27" s="76" t="s">
        <v>201</v>
      </c>
      <c r="B27" s="76"/>
      <c r="C27" s="314">
        <f>C24+C23+C26+C25</f>
        <v>764107.3841599999</v>
      </c>
      <c r="D27" s="314">
        <f>D24+D23+D26+D25</f>
        <v>460523.40413000004</v>
      </c>
      <c r="E27" s="314">
        <f t="shared" si="5"/>
        <v>60.269461292572579</v>
      </c>
      <c r="F27" s="314">
        <f>F24+F23</f>
        <v>744076.12115999998</v>
      </c>
      <c r="G27" s="314">
        <f>G24+G23</f>
        <v>450830.50647999998</v>
      </c>
      <c r="H27" s="314">
        <f t="shared" si="2"/>
        <v>60.589299086384351</v>
      </c>
      <c r="I27" s="314">
        <f>I24+I23</f>
        <v>105222.82939</v>
      </c>
      <c r="J27" s="314">
        <f>J24+J23</f>
        <v>55122.991220000004</v>
      </c>
      <c r="K27" s="313">
        <f t="shared" si="7"/>
        <v>52.386912174439871</v>
      </c>
      <c r="L27" s="95"/>
      <c r="M27" s="83"/>
    </row>
    <row r="28" spans="1:13" ht="29.25" customHeight="1">
      <c r="A28" s="76" t="s">
        <v>202</v>
      </c>
      <c r="B28" s="76"/>
      <c r="C28" s="314">
        <f>C29+C30+C31+C32+C33+C34+C35+C36+C37+C41+C38+C39+C40</f>
        <v>779600.13062999991</v>
      </c>
      <c r="D28" s="314">
        <f>SUM(D29:D41)</f>
        <v>457337.37359000003</v>
      </c>
      <c r="E28" s="314">
        <f t="shared" si="5"/>
        <v>58.663070415396511</v>
      </c>
      <c r="F28" s="314">
        <f>SUM(F29+F30+F31+F32+F33+F34+F35+F36+F37+F38+F39+F40+F41)</f>
        <v>754006.75115999999</v>
      </c>
      <c r="G28" s="314">
        <f>SUM(G29:G41)</f>
        <v>448236.90382999997</v>
      </c>
      <c r="H28" s="314">
        <f t="shared" si="2"/>
        <v>59.447332950323187</v>
      </c>
      <c r="I28" s="314">
        <f>I29+I30+I31+I32+I33+I34+I35+I36+I37+I38+I39+I40+I41</f>
        <v>110784.94585999998</v>
      </c>
      <c r="J28" s="314">
        <f>J29+J30+J31+J32+J33+J34+J35+J36+J37+J38+J39+J40+J41</f>
        <v>54530.107960000001</v>
      </c>
      <c r="K28" s="313">
        <f t="shared" si="7"/>
        <v>49.221586504099783</v>
      </c>
      <c r="L28" s="95"/>
    </row>
    <row r="29" spans="1:13" ht="30.75" customHeight="1">
      <c r="A29" s="81" t="s">
        <v>203</v>
      </c>
      <c r="B29" s="82" t="s">
        <v>30</v>
      </c>
      <c r="C29" s="315">
        <v>60974.962619999998</v>
      </c>
      <c r="D29" s="315">
        <v>36643.281470000002</v>
      </c>
      <c r="E29" s="316">
        <f t="shared" si="5"/>
        <v>60.095619407531842</v>
      </c>
      <c r="F29" s="307">
        <f>район!C87</f>
        <v>38788.901119999995</v>
      </c>
      <c r="G29" s="316">
        <f>район!D87</f>
        <v>23272.675190000002</v>
      </c>
      <c r="H29" s="317">
        <f t="shared" si="2"/>
        <v>59.998284349438165</v>
      </c>
      <c r="I29" s="317">
        <f>Справка!DJ31</f>
        <v>22186.061500000003</v>
      </c>
      <c r="J29" s="317">
        <f>Справка!DK31</f>
        <v>13370.60628</v>
      </c>
      <c r="K29" s="317">
        <f t="shared" si="7"/>
        <v>60.265794719806387</v>
      </c>
    </row>
    <row r="30" spans="1:13" ht="30.75" customHeight="1">
      <c r="A30" s="81" t="s">
        <v>204</v>
      </c>
      <c r="B30" s="82" t="s">
        <v>46</v>
      </c>
      <c r="C30" s="312">
        <f>I30</f>
        <v>1781.5</v>
      </c>
      <c r="D30" s="312">
        <f>J30</f>
        <v>1150.5050999999999</v>
      </c>
      <c r="E30" s="316">
        <f t="shared" si="5"/>
        <v>64.580696042660662</v>
      </c>
      <c r="F30" s="307">
        <f>район!C95</f>
        <v>1781.5</v>
      </c>
      <c r="G30" s="316">
        <f>район!D95</f>
        <v>1481.77</v>
      </c>
      <c r="H30" s="317">
        <f t="shared" si="2"/>
        <v>83.175413976985695</v>
      </c>
      <c r="I30" s="317">
        <f>Справка!DY31</f>
        <v>1781.5</v>
      </c>
      <c r="J30" s="317">
        <f>Справка!DZ31</f>
        <v>1150.5050999999999</v>
      </c>
      <c r="K30" s="317">
        <f t="shared" si="7"/>
        <v>64.580696042660662</v>
      </c>
    </row>
    <row r="31" spans="1:13" ht="33" customHeight="1">
      <c r="A31" s="81" t="s">
        <v>205</v>
      </c>
      <c r="B31" s="82" t="s">
        <v>50</v>
      </c>
      <c r="C31" s="315">
        <v>4884.8485000000001</v>
      </c>
      <c r="D31" s="315">
        <v>3042.9773300000002</v>
      </c>
      <c r="E31" s="316">
        <f t="shared" si="5"/>
        <v>62.294200731097391</v>
      </c>
      <c r="F31" s="307">
        <f>район!C97</f>
        <v>4702.1330000000007</v>
      </c>
      <c r="G31" s="316">
        <f>район!D97</f>
        <v>2989.4277200000001</v>
      </c>
      <c r="H31" s="317">
        <f t="shared" si="2"/>
        <v>63.575992427266513</v>
      </c>
      <c r="I31" s="317">
        <f>Справка!EB31</f>
        <v>226.7655</v>
      </c>
      <c r="J31" s="317">
        <f>Справка!EC31</f>
        <v>53.549610000000001</v>
      </c>
      <c r="K31" s="317">
        <f t="shared" si="7"/>
        <v>23.614531310979846</v>
      </c>
    </row>
    <row r="32" spans="1:13" ht="30" customHeight="1">
      <c r="A32" s="81" t="s">
        <v>206</v>
      </c>
      <c r="B32" s="82" t="s">
        <v>58</v>
      </c>
      <c r="C32" s="315">
        <v>182265.07947</v>
      </c>
      <c r="D32" s="315">
        <v>105733.66847</v>
      </c>
      <c r="E32" s="316">
        <f t="shared" si="5"/>
        <v>58.010930441233143</v>
      </c>
      <c r="F32" s="307">
        <f>район!C103</f>
        <v>163466.815</v>
      </c>
      <c r="G32" s="316">
        <f>район!D103</f>
        <v>95876.811900000001</v>
      </c>
      <c r="H32" s="317">
        <f t="shared" si="2"/>
        <v>58.652156341334482</v>
      </c>
      <c r="I32" s="317">
        <f>Справка!EE31</f>
        <v>34886.041469999989</v>
      </c>
      <c r="J32" s="317">
        <f>Справка!EF31</f>
        <v>17581.038140000001</v>
      </c>
      <c r="K32" s="317">
        <f t="shared" si="7"/>
        <v>50.395623576606397</v>
      </c>
    </row>
    <row r="33" spans="1:12" ht="30" customHeight="1">
      <c r="A33" s="81" t="s">
        <v>207</v>
      </c>
      <c r="B33" s="82" t="s">
        <v>68</v>
      </c>
      <c r="C33" s="315">
        <v>22456.93115</v>
      </c>
      <c r="D33" s="315">
        <v>7004.8293899999999</v>
      </c>
      <c r="E33" s="316">
        <f t="shared" si="5"/>
        <v>31.192282432588748</v>
      </c>
      <c r="F33" s="307">
        <f>район!C108</f>
        <v>9561.2921499999993</v>
      </c>
      <c r="G33" s="316">
        <f>район!D108</f>
        <v>293.70533999999998</v>
      </c>
      <c r="H33" s="317">
        <f t="shared" si="2"/>
        <v>3.071816396699059</v>
      </c>
      <c r="I33" s="317">
        <f>Справка!EH31</f>
        <v>18779.829389999999</v>
      </c>
      <c r="J33" s="317">
        <f>Справка!EI31</f>
        <v>6710.6686800000007</v>
      </c>
      <c r="K33" s="317">
        <f t="shared" si="7"/>
        <v>35.733384689710441</v>
      </c>
    </row>
    <row r="34" spans="1:12" ht="30" customHeight="1">
      <c r="A34" s="81" t="s">
        <v>208</v>
      </c>
      <c r="B34" s="82" t="s">
        <v>76</v>
      </c>
      <c r="C34" s="312">
        <f>F34</f>
        <v>51</v>
      </c>
      <c r="D34" s="312">
        <f>G34</f>
        <v>51</v>
      </c>
      <c r="E34" s="316">
        <f t="shared" si="5"/>
        <v>100</v>
      </c>
      <c r="F34" s="307">
        <f>район!C112</f>
        <v>51</v>
      </c>
      <c r="G34" s="316">
        <f>район!D112</f>
        <v>51</v>
      </c>
      <c r="H34" s="317">
        <f t="shared" si="2"/>
        <v>100</v>
      </c>
      <c r="I34" s="316"/>
      <c r="J34" s="316"/>
      <c r="K34" s="317">
        <v>0</v>
      </c>
    </row>
    <row r="35" spans="1:12" ht="30" customHeight="1">
      <c r="A35" s="81" t="s">
        <v>209</v>
      </c>
      <c r="B35" s="82" t="s">
        <v>80</v>
      </c>
      <c r="C35" s="312">
        <f>F35</f>
        <v>414679.25238999998</v>
      </c>
      <c r="D35" s="312">
        <f>G35</f>
        <v>256639.08021999997</v>
      </c>
      <c r="E35" s="316">
        <f t="shared" si="5"/>
        <v>61.888575022951606</v>
      </c>
      <c r="F35" s="307">
        <f>район!C114</f>
        <v>414679.25238999998</v>
      </c>
      <c r="G35" s="316">
        <f>район!D114</f>
        <v>256639.08021999997</v>
      </c>
      <c r="H35" s="317">
        <f t="shared" si="2"/>
        <v>61.888575022951606</v>
      </c>
      <c r="I35" s="316"/>
      <c r="J35" s="316"/>
      <c r="K35" s="317">
        <v>0</v>
      </c>
    </row>
    <row r="36" spans="1:12" ht="30" customHeight="1">
      <c r="A36" s="81" t="s">
        <v>210</v>
      </c>
      <c r="B36" s="82" t="s">
        <v>86</v>
      </c>
      <c r="C36" s="315">
        <v>54825.696430000004</v>
      </c>
      <c r="D36" s="315">
        <v>31996.063409999999</v>
      </c>
      <c r="E36" s="316">
        <f t="shared" si="5"/>
        <v>58.359611447620594</v>
      </c>
      <c r="F36" s="307">
        <f>район!C120</f>
        <v>48880.600429999999</v>
      </c>
      <c r="G36" s="316">
        <f>район!D120</f>
        <v>29104.85526</v>
      </c>
      <c r="H36" s="317">
        <f t="shared" si="2"/>
        <v>59.542753165808449</v>
      </c>
      <c r="I36" s="317">
        <f>Справка!EK31</f>
        <v>32684.446</v>
      </c>
      <c r="J36" s="317">
        <f>Справка!EL31</f>
        <v>15548.120149999999</v>
      </c>
      <c r="K36" s="317">
        <f t="shared" si="7"/>
        <v>47.570395257732066</v>
      </c>
      <c r="L36" s="83"/>
    </row>
    <row r="37" spans="1:12" ht="30" customHeight="1">
      <c r="A37" s="81" t="s">
        <v>211</v>
      </c>
      <c r="B37" s="82" t="s">
        <v>212</v>
      </c>
      <c r="C37" s="315">
        <v>31610.215459999999</v>
      </c>
      <c r="D37" s="315">
        <v>10906.3483</v>
      </c>
      <c r="E37" s="316">
        <f t="shared" si="5"/>
        <v>34.502606645630244</v>
      </c>
      <c r="F37" s="307">
        <f>район!C123</f>
        <v>31600.215459999996</v>
      </c>
      <c r="G37" s="316">
        <f>район!D123</f>
        <v>10896.3483</v>
      </c>
      <c r="H37" s="317">
        <f t="shared" si="2"/>
        <v>34.481879763740068</v>
      </c>
      <c r="I37" s="317">
        <f>Справка!EN31</f>
        <v>10</v>
      </c>
      <c r="J37" s="317">
        <f>Справка!EO31</f>
        <v>10</v>
      </c>
      <c r="K37" s="317"/>
    </row>
    <row r="38" spans="1:12" ht="30" customHeight="1">
      <c r="A38" s="81" t="s">
        <v>213</v>
      </c>
      <c r="B38" s="82" t="s">
        <v>95</v>
      </c>
      <c r="C38" s="315">
        <v>5990.6446100000003</v>
      </c>
      <c r="D38" s="315">
        <v>4168.9699000000001</v>
      </c>
      <c r="E38" s="316">
        <f t="shared" si="5"/>
        <v>69.591340688794418</v>
      </c>
      <c r="F38" s="307">
        <f>район!C128</f>
        <v>5760.3426099999997</v>
      </c>
      <c r="G38" s="316">
        <f>район!D128</f>
        <v>4063.3499000000002</v>
      </c>
      <c r="H38" s="317">
        <f t="shared" si="2"/>
        <v>70.540073309979746</v>
      </c>
      <c r="I38" s="317">
        <f>Справка!EQ31</f>
        <v>230.30199999999999</v>
      </c>
      <c r="J38" s="317">
        <f>Справка!ER31</f>
        <v>105.62</v>
      </c>
      <c r="K38" s="317">
        <f t="shared" si="7"/>
        <v>45.861520959435879</v>
      </c>
    </row>
    <row r="39" spans="1:12" ht="30" customHeight="1">
      <c r="A39" s="81" t="s">
        <v>214</v>
      </c>
      <c r="B39" s="82" t="s">
        <v>107</v>
      </c>
      <c r="C39" s="307">
        <f>F39</f>
        <v>80</v>
      </c>
      <c r="D39" s="318">
        <f>G39</f>
        <v>0.65</v>
      </c>
      <c r="E39" s="316">
        <f t="shared" si="5"/>
        <v>0.8125</v>
      </c>
      <c r="F39" s="307">
        <f>район!C134</f>
        <v>80</v>
      </c>
      <c r="G39" s="316">
        <f>район!D134</f>
        <v>0.65</v>
      </c>
      <c r="H39" s="317">
        <f t="shared" si="2"/>
        <v>0.8125</v>
      </c>
      <c r="I39" s="317"/>
      <c r="J39" s="317"/>
      <c r="K39" s="317">
        <v>0</v>
      </c>
    </row>
    <row r="40" spans="1:12" ht="34.5" customHeight="1">
      <c r="A40" s="81" t="s">
        <v>215</v>
      </c>
      <c r="B40" s="82" t="s">
        <v>111</v>
      </c>
      <c r="C40" s="307">
        <f>F40</f>
        <v>0</v>
      </c>
      <c r="D40" s="318">
        <f>G40</f>
        <v>0</v>
      </c>
      <c r="E40" s="316"/>
      <c r="F40" s="307">
        <f>район!C136</f>
        <v>0</v>
      </c>
      <c r="G40" s="316">
        <f>район!D136</f>
        <v>0</v>
      </c>
      <c r="H40" s="317">
        <v>0</v>
      </c>
      <c r="I40" s="317"/>
      <c r="J40" s="319"/>
      <c r="K40" s="317">
        <v>0</v>
      </c>
    </row>
    <row r="41" spans="1:12" ht="30" customHeight="1">
      <c r="A41" s="81" t="s">
        <v>216</v>
      </c>
      <c r="B41" s="82" t="s">
        <v>217</v>
      </c>
      <c r="C41" s="307">
        <v>0</v>
      </c>
      <c r="D41" s="318"/>
      <c r="E41" s="316">
        <v>0</v>
      </c>
      <c r="F41" s="307">
        <f>район!C138</f>
        <v>34654.699000000001</v>
      </c>
      <c r="G41" s="316">
        <f>район!D138</f>
        <v>23567.23</v>
      </c>
      <c r="H41" s="317">
        <f t="shared" si="2"/>
        <v>68.005871296126386</v>
      </c>
      <c r="I41" s="317">
        <f>Справка!ET31</f>
        <v>0</v>
      </c>
      <c r="J41" s="319">
        <f>Справка!EU31</f>
        <v>0</v>
      </c>
      <c r="K41" s="317"/>
    </row>
    <row r="42" spans="1:12">
      <c r="A42" s="140"/>
      <c r="B42" s="141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2" hidden="1">
      <c r="A43" s="140"/>
      <c r="B43" s="141"/>
      <c r="C43" s="139">
        <f>C27-C28</f>
        <v>-15492.746470000013</v>
      </c>
      <c r="D43" s="139">
        <f>D27-D28</f>
        <v>3186.030540000007</v>
      </c>
      <c r="E43" s="139"/>
      <c r="F43" s="139">
        <f>F27-F28</f>
        <v>-9930.6300000000047</v>
      </c>
      <c r="G43" s="139">
        <f>G27-G28</f>
        <v>2593.6026500000153</v>
      </c>
      <c r="H43" s="139"/>
      <c r="I43" s="139">
        <f>I27-I28</f>
        <v>-5562.116469999979</v>
      </c>
      <c r="J43" s="139">
        <f>J27-J28</f>
        <v>592.88326000000234</v>
      </c>
      <c r="K43" s="139"/>
    </row>
    <row r="44" spans="1:12" hidden="1">
      <c r="A44" s="140"/>
      <c r="B44" s="141"/>
      <c r="C44" s="139">
        <f>C43-F44</f>
        <v>-2.9103830456733704E-11</v>
      </c>
      <c r="D44" s="139">
        <f>D43-G44</f>
        <v>-0.45537000001058914</v>
      </c>
      <c r="E44" s="139"/>
      <c r="F44" s="139">
        <f>F43+I43</f>
        <v>-15492.746469999984</v>
      </c>
      <c r="G44" s="139">
        <f>G43+J43</f>
        <v>3186.4859100000176</v>
      </c>
      <c r="H44" s="139"/>
      <c r="I44" s="139"/>
      <c r="J44" s="139"/>
      <c r="K44" s="139"/>
    </row>
    <row r="45" spans="1:12" ht="20.25" hidden="1" customHeight="1">
      <c r="A45" s="140"/>
      <c r="B45" s="141"/>
      <c r="C45" s="142"/>
      <c r="D45" s="142"/>
      <c r="E45" s="143"/>
      <c r="F45" s="143">
        <f>C28+F44-C23-C26</f>
        <v>574323.8621599999</v>
      </c>
      <c r="G45" s="143">
        <f>D28+G44-D23-D26</f>
        <v>343360.53432999999</v>
      </c>
      <c r="H45" s="137"/>
      <c r="I45" s="137"/>
      <c r="J45" s="137"/>
      <c r="K45" s="139"/>
    </row>
    <row r="46" spans="1:12">
      <c r="A46" s="140"/>
      <c r="B46" s="141"/>
      <c r="C46" s="327"/>
      <c r="D46" s="139"/>
      <c r="E46" s="139"/>
      <c r="F46" s="139"/>
      <c r="G46" s="139"/>
      <c r="H46" s="139"/>
      <c r="I46" s="139"/>
      <c r="J46" s="139"/>
      <c r="K46" s="139"/>
    </row>
    <row r="47" spans="1:12">
      <c r="A47" s="140"/>
      <c r="B47" s="141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2">
      <c r="A48" s="140"/>
      <c r="B48" s="141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>
      <c r="A49" s="140" t="s">
        <v>120</v>
      </c>
      <c r="B49" s="141"/>
      <c r="C49" s="142"/>
      <c r="D49" s="142"/>
      <c r="E49" s="143"/>
      <c r="F49" s="143"/>
      <c r="G49" s="143"/>
      <c r="H49" s="137"/>
      <c r="I49" s="137"/>
      <c r="J49" s="137"/>
      <c r="K49" s="137"/>
    </row>
    <row r="50" spans="1:11">
      <c r="A50" s="140" t="s">
        <v>218</v>
      </c>
      <c r="B50" s="141"/>
      <c r="C50" s="144" t="s">
        <v>267</v>
      </c>
      <c r="D50" s="394"/>
      <c r="E50" s="394"/>
      <c r="F50" s="145"/>
      <c r="G50" s="143"/>
      <c r="H50" s="137"/>
      <c r="I50" s="137"/>
      <c r="J50" s="137"/>
      <c r="K50" s="137"/>
    </row>
    <row r="51" spans="1:11">
      <c r="C51" s="86"/>
      <c r="D51" s="86"/>
      <c r="F51" s="83"/>
      <c r="G51" s="83"/>
    </row>
    <row r="52" spans="1:11">
      <c r="C52" s="90"/>
      <c r="D52" s="90"/>
      <c r="F52" s="83"/>
      <c r="G52" s="83"/>
      <c r="I52" s="83"/>
      <c r="J52" s="83"/>
    </row>
    <row r="53" spans="1:11">
      <c r="C53" s="98"/>
      <c r="D53" s="83"/>
      <c r="F53" s="83"/>
      <c r="G53" s="83"/>
    </row>
    <row r="54" spans="1:11">
      <c r="C54" s="98"/>
      <c r="D54" s="83"/>
    </row>
  </sheetData>
  <customSheetViews>
    <customSheetView guid="{A54C432C-6C68-4B53-A75C-446EB3A61B2B}" scale="80" showPageBreaks="1" printArea="1" hiddenRows="1" view="pageBreakPreview" topLeftCell="A8">
      <selection activeCell="J28" sqref="J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1"/>
    </customSheetView>
    <customSheetView guid="{B30CE22D-C12F-4E12-8BB9-3AAE0A6991CC}" scale="80" showPageBreaks="1" printArea="1" hiddenRows="1" view="pageBreakPreview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2"/>
    </customSheetView>
    <customSheetView guid="{5BFCA170-DEAE-4D2C-98A0-1E68B427AC01}" showPageBreaks="1" printArea="1" hiddenRows="1" topLeftCell="A20">
      <selection activeCell="B100" sqref="B10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3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4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5"/>
    </customSheetView>
  </customSheetViews>
  <mergeCells count="7">
    <mergeCell ref="C2:E2"/>
    <mergeCell ref="D50:E50"/>
    <mergeCell ref="A2:A3"/>
    <mergeCell ref="B2:B3"/>
    <mergeCell ref="A1:K1"/>
    <mergeCell ref="I2:K2"/>
    <mergeCell ref="F2:H2"/>
  </mergeCells>
  <phoneticPr fontId="15" type="noConversion"/>
  <pageMargins left="0.70866141732283472" right="0.70866141732283472" top="0.34" bottom="0.74803149606299213" header="0.31496062992125984" footer="0.31496062992125984"/>
  <pageSetup paperSize="9" scale="56" orientation="landscape" r:id="rId6"/>
  <rowBreaks count="1" manualBreakCount="1">
    <brk id="2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41"/>
  <sheetViews>
    <sheetView view="pageBreakPreview" topLeftCell="A18" zoomScale="70" zoomScaleNormal="100" zoomScaleSheetLayoutView="70" workbookViewId="0">
      <selection activeCell="C51" activeCellId="1" sqref="C98:D98 C51:D52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0.8554687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36" t="s">
        <v>424</v>
      </c>
      <c r="B1" s="436"/>
      <c r="C1" s="436"/>
      <c r="D1" s="436"/>
      <c r="E1" s="436"/>
      <c r="F1" s="436"/>
    </row>
    <row r="2" spans="1:6">
      <c r="A2" s="436"/>
      <c r="B2" s="436"/>
      <c r="C2" s="436"/>
      <c r="D2" s="436"/>
      <c r="E2" s="436"/>
      <c r="F2" s="436"/>
    </row>
    <row r="3" spans="1:6" ht="66.75" customHeight="1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2515</v>
      </c>
      <c r="D4" s="5">
        <f>D5+D12+D14+D17+D7</f>
        <v>1042.53161</v>
      </c>
      <c r="E4" s="5">
        <f>SUM(D4/C4*100)</f>
        <v>41.452549105367794</v>
      </c>
      <c r="F4" s="5">
        <f>SUM(D4-C4)</f>
        <v>-1472.46839</v>
      </c>
    </row>
    <row r="5" spans="1:6" s="6" customFormat="1">
      <c r="A5" s="68">
        <v>1010000000</v>
      </c>
      <c r="B5" s="67" t="s">
        <v>6</v>
      </c>
      <c r="C5" s="5">
        <f>C6</f>
        <v>262.3</v>
      </c>
      <c r="D5" s="5">
        <f>D6</f>
        <v>147.04988</v>
      </c>
      <c r="E5" s="5">
        <f t="shared" ref="E5:E51" si="0">SUM(D5/C5*100)</f>
        <v>56.061715592832627</v>
      </c>
      <c r="F5" s="5">
        <f t="shared" ref="F5:F51" si="1">SUM(D5-C5)</f>
        <v>-115.25012000000001</v>
      </c>
    </row>
    <row r="6" spans="1:6">
      <c r="A6" s="7">
        <v>1010200001</v>
      </c>
      <c r="B6" s="8" t="s">
        <v>229</v>
      </c>
      <c r="C6" s="9">
        <v>262.3</v>
      </c>
      <c r="D6" s="10">
        <v>147.04988</v>
      </c>
      <c r="E6" s="9">
        <f t="shared" ref="E6:E11" si="2">SUM(D6/C6*100)</f>
        <v>56.061715592832627</v>
      </c>
      <c r="F6" s="9">
        <f t="shared" si="1"/>
        <v>-115.25012000000001</v>
      </c>
    </row>
    <row r="7" spans="1:6" ht="31.5">
      <c r="A7" s="3">
        <v>1030000000</v>
      </c>
      <c r="B7" s="13" t="s">
        <v>281</v>
      </c>
      <c r="C7" s="5">
        <f>C8+C10+C9</f>
        <v>422.7</v>
      </c>
      <c r="D7" s="5">
        <f>D8+D9+D10+D11</f>
        <v>285.77659</v>
      </c>
      <c r="E7" s="9">
        <f t="shared" si="2"/>
        <v>67.607426070499173</v>
      </c>
      <c r="F7" s="9">
        <f t="shared" si="1"/>
        <v>-136.92340999999999</v>
      </c>
    </row>
    <row r="8" spans="1:6">
      <c r="A8" s="7">
        <v>1030223001</v>
      </c>
      <c r="B8" s="8" t="s">
        <v>283</v>
      </c>
      <c r="C8" s="9">
        <v>157.66999999999999</v>
      </c>
      <c r="D8" s="10">
        <v>124.71626000000001</v>
      </c>
      <c r="E8" s="9">
        <f t="shared" si="2"/>
        <v>79.099549692395527</v>
      </c>
      <c r="F8" s="9">
        <f t="shared" si="1"/>
        <v>-32.953739999999982</v>
      </c>
    </row>
    <row r="9" spans="1:6">
      <c r="A9" s="7">
        <v>1030224001</v>
      </c>
      <c r="B9" s="8" t="s">
        <v>289</v>
      </c>
      <c r="C9" s="9">
        <v>1.7</v>
      </c>
      <c r="D9" s="10">
        <v>1.06863</v>
      </c>
      <c r="E9" s="9">
        <f t="shared" si="2"/>
        <v>62.860588235294109</v>
      </c>
      <c r="F9" s="9">
        <f t="shared" si="1"/>
        <v>-0.63136999999999999</v>
      </c>
    </row>
    <row r="10" spans="1:6">
      <c r="A10" s="7">
        <v>1030225001</v>
      </c>
      <c r="B10" s="8" t="s">
        <v>282</v>
      </c>
      <c r="C10" s="9">
        <v>263.33</v>
      </c>
      <c r="D10" s="10">
        <v>189.06715</v>
      </c>
      <c r="E10" s="9">
        <f t="shared" si="2"/>
        <v>71.79856074127521</v>
      </c>
      <c r="F10" s="9">
        <f t="shared" si="1"/>
        <v>-74.262849999999986</v>
      </c>
    </row>
    <row r="11" spans="1:6">
      <c r="A11" s="7">
        <v>1030265001</v>
      </c>
      <c r="B11" s="8" t="s">
        <v>291</v>
      </c>
      <c r="C11" s="9">
        <v>0</v>
      </c>
      <c r="D11" s="10">
        <v>-29.07545</v>
      </c>
      <c r="E11" s="9" t="e">
        <f t="shared" si="2"/>
        <v>#DIV/0!</v>
      </c>
      <c r="F11" s="9">
        <f t="shared" si="1"/>
        <v>-29.07545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35.71604</v>
      </c>
      <c r="E12" s="5">
        <f t="shared" si="0"/>
        <v>89.290099999999995</v>
      </c>
      <c r="F12" s="5">
        <f t="shared" si="1"/>
        <v>-4.2839600000000004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35.71604</v>
      </c>
      <c r="E13" s="9">
        <f t="shared" si="0"/>
        <v>89.290099999999995</v>
      </c>
      <c r="F13" s="9">
        <f t="shared" si="1"/>
        <v>-4.2839600000000004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1780</v>
      </c>
      <c r="D14" s="5">
        <f>D15+D16</f>
        <v>569.97910000000002</v>
      </c>
      <c r="E14" s="5">
        <f t="shared" si="0"/>
        <v>32.021297752808991</v>
      </c>
      <c r="F14" s="5">
        <f t="shared" si="1"/>
        <v>-1210.0209</v>
      </c>
    </row>
    <row r="15" spans="1:6" s="6" customFormat="1" ht="15.75" customHeight="1">
      <c r="A15" s="7">
        <v>1060100000</v>
      </c>
      <c r="B15" s="11" t="s">
        <v>9</v>
      </c>
      <c r="C15" s="9">
        <v>160</v>
      </c>
      <c r="D15" s="10">
        <v>54.549169999999997</v>
      </c>
      <c r="E15" s="9">
        <f t="shared" si="0"/>
        <v>34.093231250000002</v>
      </c>
      <c r="F15" s="9">
        <f>SUM(D15-C15)</f>
        <v>-105.45083</v>
      </c>
    </row>
    <row r="16" spans="1:6" ht="15.75" customHeight="1">
      <c r="A16" s="7">
        <v>1060600000</v>
      </c>
      <c r="B16" s="11" t="s">
        <v>8</v>
      </c>
      <c r="C16" s="9">
        <v>1620</v>
      </c>
      <c r="D16" s="10">
        <v>515.42993000000001</v>
      </c>
      <c r="E16" s="9">
        <f t="shared" si="0"/>
        <v>31.816662345679013</v>
      </c>
      <c r="F16" s="9">
        <f t="shared" si="1"/>
        <v>-1104.57007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4.01</v>
      </c>
      <c r="E17" s="5">
        <f t="shared" si="0"/>
        <v>40.099999999999994</v>
      </c>
      <c r="F17" s="5">
        <f t="shared" si="1"/>
        <v>-5.99</v>
      </c>
    </row>
    <row r="18" spans="1:6" ht="18" customHeight="1">
      <c r="A18" s="7">
        <v>1080400001</v>
      </c>
      <c r="B18" s="8" t="s">
        <v>228</v>
      </c>
      <c r="C18" s="9">
        <v>10</v>
      </c>
      <c r="D18" s="9">
        <v>4.01</v>
      </c>
      <c r="E18" s="9">
        <f t="shared" si="0"/>
        <v>40.099999999999994</v>
      </c>
      <c r="F18" s="9">
        <f t="shared" si="1"/>
        <v>-5.99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187.3</v>
      </c>
      <c r="D25" s="5">
        <f>D26+D29+D31+D36+D34</f>
        <v>64.886739999999989</v>
      </c>
      <c r="E25" s="5">
        <f t="shared" si="0"/>
        <v>34.643214095034693</v>
      </c>
      <c r="F25" s="5">
        <f t="shared" si="1"/>
        <v>-122.41326000000002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137.30000000000001</v>
      </c>
      <c r="D26" s="5">
        <f>D27+D28</f>
        <v>64.988519999999994</v>
      </c>
      <c r="E26" s="5">
        <f t="shared" si="0"/>
        <v>47.333226511289141</v>
      </c>
      <c r="F26" s="5">
        <f t="shared" si="1"/>
        <v>-72.311480000000017</v>
      </c>
    </row>
    <row r="27" spans="1:6" ht="15.75" customHeight="1">
      <c r="A27" s="16">
        <v>1110502510</v>
      </c>
      <c r="B27" s="17" t="s">
        <v>226</v>
      </c>
      <c r="C27" s="12">
        <v>107.3</v>
      </c>
      <c r="D27" s="12">
        <v>28.988520000000001</v>
      </c>
      <c r="E27" s="9">
        <f t="shared" si="0"/>
        <v>27.016328052190126</v>
      </c>
      <c r="F27" s="9">
        <f t="shared" si="1"/>
        <v>-78.311479999999989</v>
      </c>
    </row>
    <row r="28" spans="1:6" ht="17.25" customHeight="1">
      <c r="A28" s="7">
        <v>1110503510</v>
      </c>
      <c r="B28" s="11" t="s">
        <v>225</v>
      </c>
      <c r="C28" s="12">
        <v>30</v>
      </c>
      <c r="D28" s="10">
        <v>36</v>
      </c>
      <c r="E28" s="9">
        <f t="shared" si="0"/>
        <v>120</v>
      </c>
      <c r="F28" s="9">
        <f t="shared" si="1"/>
        <v>6</v>
      </c>
    </row>
    <row r="29" spans="1:6" s="15" customFormat="1" ht="15" customHeight="1">
      <c r="A29" s="68">
        <v>1130000000</v>
      </c>
      <c r="B29" s="69" t="s">
        <v>131</v>
      </c>
      <c r="C29" s="5">
        <f>C30</f>
        <v>50</v>
      </c>
      <c r="D29" s="5">
        <f>D30</f>
        <v>0</v>
      </c>
      <c r="E29" s="5">
        <f t="shared" si="0"/>
        <v>0</v>
      </c>
      <c r="F29" s="5">
        <f t="shared" si="1"/>
        <v>-50</v>
      </c>
    </row>
    <row r="30" spans="1:6" ht="15.75" customHeight="1">
      <c r="A30" s="7">
        <v>1130206005</v>
      </c>
      <c r="B30" s="8" t="s">
        <v>224</v>
      </c>
      <c r="C30" s="9">
        <v>50</v>
      </c>
      <c r="D30" s="10">
        <v>0</v>
      </c>
      <c r="E30" s="9">
        <f t="shared" si="0"/>
        <v>0</v>
      </c>
      <c r="F30" s="9">
        <f t="shared" si="1"/>
        <v>-50</v>
      </c>
    </row>
    <row r="31" spans="1:6" ht="15.7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7">
        <v>1169000000</v>
      </c>
      <c r="B34" s="13" t="s">
        <v>340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hidden="1" customHeight="1">
      <c r="A35" s="7">
        <v>1169005010</v>
      </c>
      <c r="B35" s="8" t="s">
        <v>341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135</v>
      </c>
      <c r="C36" s="5">
        <f>C37+C38</f>
        <v>0</v>
      </c>
      <c r="D36" s="5">
        <f>D37+D38</f>
        <v>-0.10178</v>
      </c>
      <c r="E36" s="5" t="e">
        <f t="shared" si="0"/>
        <v>#DIV/0!</v>
      </c>
      <c r="F36" s="5">
        <f t="shared" si="1"/>
        <v>-0.10178</v>
      </c>
    </row>
    <row r="37" spans="1:7" ht="15.75" customHeight="1">
      <c r="A37" s="7">
        <v>1170105005</v>
      </c>
      <c r="B37" s="8" t="s">
        <v>18</v>
      </c>
      <c r="C37" s="9">
        <v>0</v>
      </c>
      <c r="D37" s="9">
        <v>-0.10178</v>
      </c>
      <c r="E37" s="9" t="e">
        <f t="shared" si="0"/>
        <v>#DIV/0!</v>
      </c>
      <c r="F37" s="9">
        <f t="shared" si="1"/>
        <v>-0.10178</v>
      </c>
    </row>
    <row r="38" spans="1:7" ht="18.7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19</v>
      </c>
      <c r="C39" s="127">
        <f>SUM(C4,C25)</f>
        <v>2702.3</v>
      </c>
      <c r="D39" s="127">
        <f>SUM(D4,D25)</f>
        <v>1107.4183499999999</v>
      </c>
      <c r="E39" s="5">
        <f t="shared" si="0"/>
        <v>40.980585057173514</v>
      </c>
      <c r="F39" s="5">
        <f t="shared" si="1"/>
        <v>-1594.8816500000003</v>
      </c>
    </row>
    <row r="40" spans="1:7" s="6" customFormat="1">
      <c r="A40" s="3">
        <v>2000000000</v>
      </c>
      <c r="B40" s="4" t="s">
        <v>20</v>
      </c>
      <c r="C40" s="5">
        <f>C41+C43+C45+C46+C48+C49+C47+C42+C44</f>
        <v>3190.6099999999997</v>
      </c>
      <c r="D40" s="5">
        <f>D41+D43+D45+D46+D48+D49+D42+D47</f>
        <v>2495.9343500000004</v>
      </c>
      <c r="E40" s="5">
        <f t="shared" si="0"/>
        <v>78.227497249742243</v>
      </c>
      <c r="F40" s="5">
        <f t="shared" si="1"/>
        <v>-694.67564999999922</v>
      </c>
      <c r="G40" s="19"/>
    </row>
    <row r="41" spans="1:7">
      <c r="A41" s="16">
        <v>2021000000</v>
      </c>
      <c r="B41" s="17" t="s">
        <v>21</v>
      </c>
      <c r="C41" s="99">
        <v>1357.7539999999999</v>
      </c>
      <c r="D41" s="20">
        <v>988.90200000000004</v>
      </c>
      <c r="E41" s="9">
        <f t="shared" si="0"/>
        <v>72.833665008536158</v>
      </c>
      <c r="F41" s="9">
        <f t="shared" si="1"/>
        <v>-368.85199999999986</v>
      </c>
    </row>
    <row r="42" spans="1:7" ht="17.25" customHeight="1">
      <c r="A42" s="16">
        <v>2021500200</v>
      </c>
      <c r="B42" s="17" t="s">
        <v>232</v>
      </c>
      <c r="C42" s="12">
        <v>320</v>
      </c>
      <c r="D42" s="20">
        <v>160</v>
      </c>
      <c r="E42" s="9">
        <f>SUM(D42/C42*100)</f>
        <v>50</v>
      </c>
      <c r="F42" s="9">
        <f>SUM(D42-C42)</f>
        <v>-160</v>
      </c>
    </row>
    <row r="43" spans="1:7" ht="19.5" customHeight="1">
      <c r="A43" s="16">
        <v>2022000000</v>
      </c>
      <c r="B43" s="17" t="s">
        <v>22</v>
      </c>
      <c r="C43" s="12">
        <v>1047.7360000000001</v>
      </c>
      <c r="D43" s="10">
        <v>912.74599999999998</v>
      </c>
      <c r="E43" s="9">
        <f t="shared" si="0"/>
        <v>87.116029228737005</v>
      </c>
      <c r="F43" s="9">
        <f t="shared" si="1"/>
        <v>-134.99000000000012</v>
      </c>
    </row>
    <row r="44" spans="1:7" hidden="1">
      <c r="A44" s="16">
        <v>2022999910</v>
      </c>
      <c r="B44" s="18" t="s">
        <v>352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23</v>
      </c>
      <c r="C45" s="12">
        <v>155.91999999999999</v>
      </c>
      <c r="D45" s="252">
        <v>125.104</v>
      </c>
      <c r="E45" s="9">
        <f t="shared" si="0"/>
        <v>80.23601847101078</v>
      </c>
      <c r="F45" s="9">
        <f t="shared" si="1"/>
        <v>-30.815999999999988</v>
      </c>
    </row>
    <row r="46" spans="1:7" ht="17.25" hidden="1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20.25" customHeight="1">
      <c r="A47" s="7">
        <v>2070500010</v>
      </c>
      <c r="B47" s="18" t="s">
        <v>298</v>
      </c>
      <c r="C47" s="12">
        <v>309.2</v>
      </c>
      <c r="D47" s="253">
        <v>309.18234999999999</v>
      </c>
      <c r="E47" s="9">
        <f t="shared" si="0"/>
        <v>99.994291720569208</v>
      </c>
      <c r="F47" s="9">
        <f t="shared" si="1"/>
        <v>-1.7650000000003274E-2</v>
      </c>
    </row>
    <row r="48" spans="1:7" ht="19.5" hidden="1" customHeight="1">
      <c r="A48" s="16">
        <v>2020900000</v>
      </c>
      <c r="B48" s="18" t="s">
        <v>25</v>
      </c>
      <c r="C48" s="12"/>
      <c r="D48" s="253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27</v>
      </c>
      <c r="C50" s="122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28</v>
      </c>
      <c r="C51" s="93">
        <f>C39+C40</f>
        <v>5892.91</v>
      </c>
      <c r="D51" s="441">
        <f>D39+D40</f>
        <v>3603.3527000000004</v>
      </c>
      <c r="E51" s="5">
        <f t="shared" si="0"/>
        <v>61.147254921592229</v>
      </c>
      <c r="F51" s="5">
        <f t="shared" si="1"/>
        <v>-2289.5572999999995</v>
      </c>
      <c r="G51" s="296"/>
    </row>
    <row r="52" spans="1:7" s="6" customFormat="1">
      <c r="A52" s="3"/>
      <c r="B52" s="21" t="s">
        <v>321</v>
      </c>
      <c r="C52" s="93">
        <f>C51-C98</f>
        <v>-111.73351000000002</v>
      </c>
      <c r="D52" s="93">
        <f>D51-D98</f>
        <v>-67.270619999999326</v>
      </c>
      <c r="E52" s="22"/>
      <c r="F52" s="22"/>
    </row>
    <row r="53" spans="1:7" ht="23.25" customHeight="1">
      <c r="A53" s="23"/>
      <c r="B53" s="24"/>
      <c r="C53" s="243"/>
      <c r="D53" s="243"/>
      <c r="E53" s="132"/>
      <c r="F53" s="92"/>
    </row>
    <row r="54" spans="1:7" ht="65.25" customHeight="1">
      <c r="A54" s="28" t="s">
        <v>1</v>
      </c>
      <c r="B54" s="28" t="s">
        <v>29</v>
      </c>
      <c r="C54" s="72" t="s">
        <v>346</v>
      </c>
      <c r="D54" s="103" t="s">
        <v>412</v>
      </c>
      <c r="E54" s="72" t="s">
        <v>3</v>
      </c>
      <c r="F54" s="74" t="s">
        <v>4</v>
      </c>
    </row>
    <row r="55" spans="1:7" ht="19.5" customHeight="1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2">
        <f>C57+C58+C59+C60+C61+C63+C62</f>
        <v>1322.2574999999999</v>
      </c>
      <c r="D56" s="33">
        <f>D57+D58+D59+D60+D61+D63+D62</f>
        <v>757.93014000000005</v>
      </c>
      <c r="E56" s="34">
        <f>SUM(D56/C56*100)</f>
        <v>57.320918202392498</v>
      </c>
      <c r="F56" s="34">
        <f>SUM(D56-C56)</f>
        <v>-564.32735999999989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8" customHeight="1">
      <c r="A58" s="35" t="s">
        <v>34</v>
      </c>
      <c r="B58" s="39" t="s">
        <v>35</v>
      </c>
      <c r="C58" s="37">
        <v>1313.154</v>
      </c>
      <c r="D58" s="37">
        <v>753.82664</v>
      </c>
      <c r="E58" s="38">
        <f t="shared" ref="E58:E98" si="3">SUM(D58/C58*100)</f>
        <v>57.405806173533335</v>
      </c>
      <c r="F58" s="38">
        <f t="shared" ref="F58:F98" si="4">SUM(D58-C58)</f>
        <v>-559.32736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4.1035000000000004</v>
      </c>
      <c r="D63" s="37">
        <v>4.1035000000000004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46</v>
      </c>
      <c r="B64" s="42" t="s">
        <v>47</v>
      </c>
      <c r="C64" s="32">
        <f>C65</f>
        <v>150.881</v>
      </c>
      <c r="D64" s="32">
        <f>D65</f>
        <v>85.169780000000003</v>
      </c>
      <c r="E64" s="34">
        <f t="shared" si="3"/>
        <v>56.448313571622663</v>
      </c>
      <c r="F64" s="34">
        <f t="shared" si="4"/>
        <v>-65.711219999999997</v>
      </c>
    </row>
    <row r="65" spans="1:7">
      <c r="A65" s="43" t="s">
        <v>48</v>
      </c>
      <c r="B65" s="44" t="s">
        <v>49</v>
      </c>
      <c r="C65" s="37">
        <v>150.881</v>
      </c>
      <c r="D65" s="37">
        <v>85.169780000000003</v>
      </c>
      <c r="E65" s="38">
        <f t="shared" si="3"/>
        <v>56.448313571622663</v>
      </c>
      <c r="F65" s="38">
        <f t="shared" si="4"/>
        <v>-65.711219999999997</v>
      </c>
    </row>
    <row r="66" spans="1:7" s="6" customFormat="1" ht="18.75" customHeight="1">
      <c r="A66" s="30" t="s">
        <v>50</v>
      </c>
      <c r="B66" s="31" t="s">
        <v>51</v>
      </c>
      <c r="C66" s="32">
        <f>C70+C69+C68+C67</f>
        <v>8.6155000000000008</v>
      </c>
      <c r="D66" s="32">
        <f>D70+D69+D68+D67</f>
        <v>6.9649999999999999</v>
      </c>
      <c r="E66" s="34">
        <f t="shared" si="3"/>
        <v>80.842667285705986</v>
      </c>
      <c r="F66" s="34">
        <f t="shared" si="4"/>
        <v>-1.650500000000001</v>
      </c>
    </row>
    <row r="67" spans="1:7" hidden="1">
      <c r="A67" s="35" t="s">
        <v>52</v>
      </c>
      <c r="B67" s="39" t="s">
        <v>53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56</v>
      </c>
      <c r="B69" s="47" t="s">
        <v>57</v>
      </c>
      <c r="C69" s="37">
        <v>1.9655</v>
      </c>
      <c r="D69" s="37">
        <v>1.9650000000000001</v>
      </c>
      <c r="E69" s="38">
        <f t="shared" si="3"/>
        <v>99.974561180361235</v>
      </c>
      <c r="F69" s="38">
        <f t="shared" si="4"/>
        <v>-4.9999999999994493E-4</v>
      </c>
    </row>
    <row r="70" spans="1:7" ht="15.75" customHeight="1">
      <c r="A70" s="46" t="s">
        <v>219</v>
      </c>
      <c r="B70" s="47" t="s">
        <v>220</v>
      </c>
      <c r="C70" s="37">
        <v>6.65</v>
      </c>
      <c r="D70" s="37">
        <v>5</v>
      </c>
      <c r="E70" s="38">
        <f>SUM(D70/C70*100)</f>
        <v>75.187969924812023</v>
      </c>
      <c r="F70" s="38">
        <f>SUM(D70-C70)</f>
        <v>-1.6500000000000004</v>
      </c>
    </row>
    <row r="71" spans="1:7" s="6" customFormat="1">
      <c r="A71" s="30" t="s">
        <v>58</v>
      </c>
      <c r="B71" s="31" t="s">
        <v>59</v>
      </c>
      <c r="C71" s="48">
        <f>SUM(C72:C75)</f>
        <v>2156.7305099999999</v>
      </c>
      <c r="D71" s="48">
        <f>SUM(D72:D75)</f>
        <v>1579.8311999999999</v>
      </c>
      <c r="E71" s="34">
        <f t="shared" si="3"/>
        <v>73.251210231175335</v>
      </c>
      <c r="F71" s="34">
        <f t="shared" si="4"/>
        <v>-576.89931000000001</v>
      </c>
    </row>
    <row r="72" spans="1:7" ht="17.25" customHeight="1">
      <c r="A72" s="35" t="s">
        <v>60</v>
      </c>
      <c r="B72" s="39" t="s">
        <v>61</v>
      </c>
      <c r="C72" s="49">
        <v>15.189</v>
      </c>
      <c r="D72" s="37">
        <v>0</v>
      </c>
      <c r="E72" s="38">
        <f t="shared" si="3"/>
        <v>0</v>
      </c>
      <c r="F72" s="38">
        <f t="shared" si="4"/>
        <v>-15.189</v>
      </c>
    </row>
    <row r="73" spans="1:7" s="6" customFormat="1" ht="17.25" customHeight="1">
      <c r="A73" s="35" t="s">
        <v>62</v>
      </c>
      <c r="B73" s="39" t="s">
        <v>63</v>
      </c>
      <c r="C73" s="49">
        <v>132.322</v>
      </c>
      <c r="D73" s="37">
        <v>48.737200000000001</v>
      </c>
      <c r="E73" s="38">
        <f t="shared" si="3"/>
        <v>36.83227278910536</v>
      </c>
      <c r="F73" s="38">
        <f t="shared" si="4"/>
        <v>-83.584800000000001</v>
      </c>
      <c r="G73" s="50"/>
    </row>
    <row r="74" spans="1:7">
      <c r="A74" s="35" t="s">
        <v>64</v>
      </c>
      <c r="B74" s="39" t="s">
        <v>65</v>
      </c>
      <c r="C74" s="49">
        <v>1829.2195099999999</v>
      </c>
      <c r="D74" s="37">
        <v>1521.2439999999999</v>
      </c>
      <c r="E74" s="38">
        <f t="shared" si="3"/>
        <v>83.163556461301908</v>
      </c>
      <c r="F74" s="38">
        <f t="shared" si="4"/>
        <v>-307.97550999999999</v>
      </c>
    </row>
    <row r="75" spans="1:7">
      <c r="A75" s="35" t="s">
        <v>66</v>
      </c>
      <c r="B75" s="39" t="s">
        <v>67</v>
      </c>
      <c r="C75" s="49">
        <v>180</v>
      </c>
      <c r="D75" s="37">
        <v>9.85</v>
      </c>
      <c r="E75" s="38">
        <f t="shared" si="3"/>
        <v>5.4722222222222223</v>
      </c>
      <c r="F75" s="38">
        <f t="shared" si="4"/>
        <v>-170.15</v>
      </c>
    </row>
    <row r="76" spans="1:7" s="6" customFormat="1" ht="18" customHeight="1">
      <c r="A76" s="30" t="s">
        <v>68</v>
      </c>
      <c r="B76" s="31" t="s">
        <v>69</v>
      </c>
      <c r="C76" s="32">
        <f>SUM(C77:C80)</f>
        <v>830.15899999999999</v>
      </c>
      <c r="D76" s="32">
        <f>SUM(D77:D80)</f>
        <v>738.38620000000003</v>
      </c>
      <c r="E76" s="34">
        <f t="shared" si="3"/>
        <v>88.945153880160305</v>
      </c>
      <c r="F76" s="34">
        <f t="shared" si="4"/>
        <v>-91.772799999999961</v>
      </c>
    </row>
    <row r="77" spans="1:7" hidden="1">
      <c r="A77" s="35" t="s">
        <v>70</v>
      </c>
      <c r="B77" s="51" t="s">
        <v>71</v>
      </c>
      <c r="C77" s="37"/>
      <c r="D77" s="37"/>
      <c r="E77" s="38" t="e">
        <f t="shared" si="3"/>
        <v>#DIV/0!</v>
      </c>
      <c r="F77" s="38">
        <f t="shared" si="4"/>
        <v>0</v>
      </c>
    </row>
    <row r="78" spans="1:7" ht="15.75" hidden="1" customHeight="1">
      <c r="A78" s="35" t="s">
        <v>72</v>
      </c>
      <c r="B78" s="51" t="s">
        <v>73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6.5" customHeight="1">
      <c r="A79" s="35" t="s">
        <v>74</v>
      </c>
      <c r="B79" s="39" t="s">
        <v>75</v>
      </c>
      <c r="C79" s="37">
        <v>830.15899999999999</v>
      </c>
      <c r="D79" s="37">
        <v>738.38620000000003</v>
      </c>
      <c r="E79" s="38">
        <f t="shared" si="3"/>
        <v>88.945153880160305</v>
      </c>
      <c r="F79" s="38">
        <f t="shared" si="4"/>
        <v>-91.772799999999961</v>
      </c>
    </row>
    <row r="80" spans="1:7" ht="31.5" hidden="1">
      <c r="A80" s="35" t="s">
        <v>264</v>
      </c>
      <c r="B80" s="39" t="s">
        <v>278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s="6" customFormat="1">
      <c r="A81" s="30" t="s">
        <v>86</v>
      </c>
      <c r="B81" s="31" t="s">
        <v>87</v>
      </c>
      <c r="C81" s="32">
        <f>C82</f>
        <v>1534</v>
      </c>
      <c r="D81" s="32">
        <f>SUM(D82)</f>
        <v>502.34100000000001</v>
      </c>
      <c r="E81" s="34">
        <f t="shared" si="3"/>
        <v>32.747131681877448</v>
      </c>
      <c r="F81" s="34">
        <f t="shared" si="4"/>
        <v>-1031.6590000000001</v>
      </c>
    </row>
    <row r="82" spans="1:6" ht="16.5" customHeight="1">
      <c r="A82" s="35" t="s">
        <v>88</v>
      </c>
      <c r="B82" s="39" t="s">
        <v>234</v>
      </c>
      <c r="C82" s="37">
        <v>1534</v>
      </c>
      <c r="D82" s="37">
        <v>502.34100000000001</v>
      </c>
      <c r="E82" s="38">
        <f t="shared" si="3"/>
        <v>32.747131681877448</v>
      </c>
      <c r="F82" s="38">
        <f t="shared" si="4"/>
        <v>-1031.6590000000001</v>
      </c>
    </row>
    <row r="83" spans="1:6" s="6" customFormat="1" ht="18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0.75" hidden="1" customHeight="1">
      <c r="A84" s="53">
        <v>1001</v>
      </c>
      <c r="B84" s="54" t="s">
        <v>90</v>
      </c>
      <c r="C84" s="37"/>
      <c r="D84" s="32">
        <v>0</v>
      </c>
      <c r="E84" s="38" t="e">
        <f t="shared" si="3"/>
        <v>#DIV/0!</v>
      </c>
      <c r="F84" s="38">
        <f t="shared" si="4"/>
        <v>0</v>
      </c>
    </row>
    <row r="85" spans="1:6" ht="18.75" hidden="1" customHeight="1">
      <c r="A85" s="53">
        <v>1003</v>
      </c>
      <c r="B85" s="54" t="s">
        <v>91</v>
      </c>
      <c r="C85" s="37">
        <v>0</v>
      </c>
      <c r="D85" s="32">
        <v>0</v>
      </c>
      <c r="E85" s="38" t="e">
        <f t="shared" si="3"/>
        <v>#DIV/0!</v>
      </c>
      <c r="F85" s="38">
        <f t="shared" si="4"/>
        <v>0</v>
      </c>
    </row>
    <row r="86" spans="1:6" ht="19.5" hidden="1" customHeight="1">
      <c r="A86" s="53">
        <v>1004</v>
      </c>
      <c r="B86" s="54" t="s">
        <v>92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8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95</v>
      </c>
      <c r="B88" s="31" t="s">
        <v>96</v>
      </c>
      <c r="C88" s="32">
        <f>C89+C90+C91+C92+C93</f>
        <v>2</v>
      </c>
      <c r="D88" s="32">
        <f>D89+D90+D91+D92+D93</f>
        <v>0</v>
      </c>
      <c r="E88" s="38">
        <f t="shared" si="3"/>
        <v>0</v>
      </c>
      <c r="F88" s="22">
        <f>F89+F90+F91+F92+F93</f>
        <v>-2</v>
      </c>
    </row>
    <row r="89" spans="1:6" ht="19.5" customHeight="1">
      <c r="A89" s="35" t="s">
        <v>97</v>
      </c>
      <c r="B89" s="39" t="s">
        <v>98</v>
      </c>
      <c r="C89" s="37">
        <v>2</v>
      </c>
      <c r="D89" s="37">
        <v>0</v>
      </c>
      <c r="E89" s="38">
        <f t="shared" si="3"/>
        <v>0</v>
      </c>
      <c r="F89" s="38">
        <f>SUM(D89-C89)</f>
        <v>-2</v>
      </c>
    </row>
    <row r="90" spans="1:6" ht="1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3.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0.75" hidden="1" customHeight="1">
      <c r="A94" s="52">
        <v>1400</v>
      </c>
      <c r="B94" s="56" t="s">
        <v>115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57.7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15" hidden="1" customHeight="1">
      <c r="A97" s="53">
        <v>1403</v>
      </c>
      <c r="B97" s="54" t="s">
        <v>118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6" s="6" customFormat="1" ht="16.5" customHeight="1">
      <c r="A98" s="52"/>
      <c r="B98" s="57" t="s">
        <v>119</v>
      </c>
      <c r="C98" s="442">
        <f>C56+C64+C66+C71+C76+C81+C83+C88+C94</f>
        <v>6004.6435099999999</v>
      </c>
      <c r="D98" s="442">
        <f>D56+D64+D66+D71+D76+D81+D83+D88+D94</f>
        <v>3670.6233199999997</v>
      </c>
      <c r="E98" s="34">
        <f t="shared" si="3"/>
        <v>61.129745902267551</v>
      </c>
      <c r="F98" s="34">
        <f t="shared" si="4"/>
        <v>-2334.0201900000002</v>
      </c>
    </row>
    <row r="99" spans="1:6" ht="20.25" customHeight="1">
      <c r="C99" s="347"/>
      <c r="D99" s="348"/>
    </row>
    <row r="100" spans="1:6" s="65" customFormat="1" ht="13.5" customHeight="1">
      <c r="A100" s="63" t="s">
        <v>120</v>
      </c>
      <c r="B100" s="63"/>
      <c r="C100" s="64"/>
      <c r="D100" s="64"/>
    </row>
    <row r="101" spans="1:6" s="65" customFormat="1" ht="12.75">
      <c r="A101" s="66" t="s">
        <v>121</v>
      </c>
      <c r="B101" s="66"/>
      <c r="C101" s="134" t="s">
        <v>122</v>
      </c>
      <c r="D101" s="134"/>
    </row>
    <row r="102" spans="1:6" ht="5.25" customHeight="1"/>
    <row r="141" hidden="1"/>
  </sheetData>
  <customSheetViews>
    <customSheetView guid="{A54C432C-6C68-4B53-A75C-446EB3A61B2B}" scale="70" showPageBreaks="1" hiddenRows="1" view="pageBreakPreview" topLeftCell="A18">
      <selection activeCell="C51" activeCellId="1" sqref="C98:D98 C51:D52"/>
      <pageMargins left="0.70866141732283472" right="0.70866141732283472" top="0.74803149606299213" bottom="0.74803149606299213" header="0.31496062992125984" footer="0.31496062992125984"/>
      <pageSetup paperSize="9" scale="63" orientation="portrait" r:id="rId1"/>
    </customSheetView>
    <customSheetView guid="{B30CE22D-C12F-4E12-8BB9-3AAE0A6991CC}" scale="70" showPageBreaks="1" hiddenRows="1" view="pageBreakPreview" topLeftCell="A42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5BFCA170-DEAE-4D2C-98A0-1E68B427AC01}" showPageBreaks="1" hiddenRows="1" topLeftCell="A43">
      <selection activeCell="B100" sqref="B100"/>
      <pageMargins left="0.7" right="0.7" top="0.75" bottom="0.75" header="0.3" footer="0.3"/>
      <pageSetup paperSize="9" scale="57" orientation="portrait" r:id="rId3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4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3" orientation="portrait" r:id="rId6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42"/>
  <sheetViews>
    <sheetView view="pageBreakPreview" topLeftCell="A64" zoomScale="70" zoomScaleNormal="100" zoomScaleSheetLayoutView="70" workbookViewId="0">
      <selection activeCell="C97" activeCellId="1" sqref="C51:D52 C97:D97"/>
    </sheetView>
  </sheetViews>
  <sheetFormatPr defaultRowHeight="15.75"/>
  <cols>
    <col min="1" max="1" width="17" style="58" customWidth="1"/>
    <col min="2" max="2" width="57.5703125" style="59" customWidth="1"/>
    <col min="3" max="3" width="16.5703125" style="62" customWidth="1"/>
    <col min="4" max="4" width="19.140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36" t="s">
        <v>425</v>
      </c>
      <c r="B1" s="436"/>
      <c r="C1" s="436"/>
      <c r="D1" s="436"/>
      <c r="E1" s="436"/>
      <c r="F1" s="436"/>
    </row>
    <row r="2" spans="1:6">
      <c r="A2" s="436"/>
      <c r="B2" s="436"/>
      <c r="C2" s="436"/>
      <c r="D2" s="436"/>
      <c r="E2" s="436"/>
      <c r="F2" s="43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1739</v>
      </c>
      <c r="D4" s="5">
        <f>D5+D12+D14+D17+D7+D20</f>
        <v>1020.62069</v>
      </c>
      <c r="E4" s="5">
        <f>SUM(D4/C4*100)</f>
        <v>58.690091431857383</v>
      </c>
      <c r="F4" s="5">
        <f>SUM(D4-C4)</f>
        <v>-718.37931000000003</v>
      </c>
    </row>
    <row r="5" spans="1:6" s="6" customFormat="1">
      <c r="A5" s="68">
        <v>1010000000</v>
      </c>
      <c r="B5" s="67" t="s">
        <v>6</v>
      </c>
      <c r="C5" s="5">
        <f>C6</f>
        <v>108.1</v>
      </c>
      <c r="D5" s="5">
        <f>D6</f>
        <v>67.200050000000005</v>
      </c>
      <c r="E5" s="5">
        <f t="shared" ref="E5:E51" si="0">SUM(D5/C5*100)</f>
        <v>62.164708603145243</v>
      </c>
      <c r="F5" s="5">
        <f t="shared" ref="F5:F51" si="1">SUM(D5-C5)</f>
        <v>-40.89994999999999</v>
      </c>
    </row>
    <row r="6" spans="1:6">
      <c r="A6" s="7">
        <v>1010200001</v>
      </c>
      <c r="B6" s="8" t="s">
        <v>229</v>
      </c>
      <c r="C6" s="9">
        <v>108.1</v>
      </c>
      <c r="D6" s="10">
        <v>67.200050000000005</v>
      </c>
      <c r="E6" s="9">
        <f t="shared" ref="E6:E11" si="2">SUM(D6/C6*100)</f>
        <v>62.164708603145243</v>
      </c>
      <c r="F6" s="9">
        <f t="shared" si="1"/>
        <v>-40.89994999999999</v>
      </c>
    </row>
    <row r="7" spans="1:6" ht="31.5">
      <c r="A7" s="3">
        <v>1030000000</v>
      </c>
      <c r="B7" s="13" t="s">
        <v>281</v>
      </c>
      <c r="C7" s="5">
        <f>C8+C10+C9</f>
        <v>520.9</v>
      </c>
      <c r="D7" s="5">
        <f>D8+D10+D9+D11</f>
        <v>352.16915</v>
      </c>
      <c r="E7" s="9">
        <f t="shared" si="2"/>
        <v>67.607822998656175</v>
      </c>
      <c r="F7" s="9">
        <f t="shared" si="1"/>
        <v>-168.73084999999998</v>
      </c>
    </row>
    <row r="8" spans="1:6">
      <c r="A8" s="7">
        <v>1030223001</v>
      </c>
      <c r="B8" s="8" t="s">
        <v>283</v>
      </c>
      <c r="C8" s="9">
        <v>194.3</v>
      </c>
      <c r="D8" s="10">
        <v>153.69073</v>
      </c>
      <c r="E8" s="9">
        <f t="shared" si="2"/>
        <v>79.0997066392177</v>
      </c>
      <c r="F8" s="9">
        <f t="shared" si="1"/>
        <v>-40.609270000000009</v>
      </c>
    </row>
    <row r="9" spans="1:6">
      <c r="A9" s="7">
        <v>1030224001</v>
      </c>
      <c r="B9" s="8" t="s">
        <v>289</v>
      </c>
      <c r="C9" s="9">
        <v>2.1</v>
      </c>
      <c r="D9" s="10">
        <v>1.3168500000000001</v>
      </c>
      <c r="E9" s="9">
        <f t="shared" si="2"/>
        <v>62.707142857142863</v>
      </c>
      <c r="F9" s="9">
        <f t="shared" si="1"/>
        <v>-0.78315000000000001</v>
      </c>
    </row>
    <row r="10" spans="1:6">
      <c r="A10" s="7">
        <v>1030225001</v>
      </c>
      <c r="B10" s="8" t="s">
        <v>282</v>
      </c>
      <c r="C10" s="9">
        <v>324.5</v>
      </c>
      <c r="D10" s="10">
        <v>232.99185</v>
      </c>
      <c r="E10" s="9">
        <f t="shared" si="2"/>
        <v>71.800261941448383</v>
      </c>
      <c r="F10" s="9">
        <f t="shared" si="1"/>
        <v>-91.508150000000001</v>
      </c>
    </row>
    <row r="11" spans="1:6">
      <c r="A11" s="7">
        <v>1030226001</v>
      </c>
      <c r="B11" s="8" t="s">
        <v>291</v>
      </c>
      <c r="C11" s="9">
        <v>0</v>
      </c>
      <c r="D11" s="10">
        <v>-35.830280000000002</v>
      </c>
      <c r="E11" s="9" t="e">
        <f t="shared" si="2"/>
        <v>#DIV/0!</v>
      </c>
      <c r="F11" s="9">
        <f t="shared" si="1"/>
        <v>-35.830280000000002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D13</f>
        <v>43.00244</v>
      </c>
      <c r="E12" s="5">
        <f t="shared" si="0"/>
        <v>107.5061</v>
      </c>
      <c r="F12" s="5">
        <f t="shared" si="1"/>
        <v>3.00244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43.00244</v>
      </c>
      <c r="E13" s="9">
        <f t="shared" si="0"/>
        <v>107.5061</v>
      </c>
      <c r="F13" s="9">
        <f t="shared" si="1"/>
        <v>3.00244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1060</v>
      </c>
      <c r="D14" s="5">
        <f>D15+D16</f>
        <v>555.87405000000001</v>
      </c>
      <c r="E14" s="5">
        <f t="shared" si="0"/>
        <v>52.440948113207554</v>
      </c>
      <c r="F14" s="5">
        <f t="shared" si="1"/>
        <v>-504.12594999999999</v>
      </c>
    </row>
    <row r="15" spans="1:6" s="6" customFormat="1" ht="15.75" customHeight="1">
      <c r="A15" s="7">
        <v>1060100000</v>
      </c>
      <c r="B15" s="11" t="s">
        <v>9</v>
      </c>
      <c r="C15" s="9">
        <v>130</v>
      </c>
      <c r="D15" s="10">
        <v>45.403060000000004</v>
      </c>
      <c r="E15" s="9">
        <f t="shared" si="0"/>
        <v>34.925430769230772</v>
      </c>
      <c r="F15" s="9">
        <f>SUM(D15-C15)</f>
        <v>-84.596939999999989</v>
      </c>
    </row>
    <row r="16" spans="1:6" ht="15.75" customHeight="1">
      <c r="A16" s="7">
        <v>1060600000</v>
      </c>
      <c r="B16" s="11" t="s">
        <v>8</v>
      </c>
      <c r="C16" s="9">
        <v>930</v>
      </c>
      <c r="D16" s="10">
        <v>510.47098999999997</v>
      </c>
      <c r="E16" s="9">
        <f t="shared" si="0"/>
        <v>54.889353763440866</v>
      </c>
      <c r="F16" s="9">
        <f t="shared" si="1"/>
        <v>-419.52901000000003</v>
      </c>
    </row>
    <row r="17" spans="1:6" s="6" customFormat="1">
      <c r="A17" s="3">
        <v>1080000000</v>
      </c>
      <c r="B17" s="4" t="s">
        <v>11</v>
      </c>
      <c r="C17" s="5">
        <f>C18+C19</f>
        <v>10</v>
      </c>
      <c r="D17" s="5">
        <f>D18+D19</f>
        <v>2.375</v>
      </c>
      <c r="E17" s="5">
        <f t="shared" si="0"/>
        <v>23.75</v>
      </c>
      <c r="F17" s="5">
        <f t="shared" si="1"/>
        <v>-7.625</v>
      </c>
    </row>
    <row r="18" spans="1:6" ht="18" customHeight="1">
      <c r="A18" s="7">
        <v>1080400001</v>
      </c>
      <c r="B18" s="8" t="s">
        <v>228</v>
      </c>
      <c r="C18" s="9">
        <v>10</v>
      </c>
      <c r="D18" s="10">
        <v>2.375</v>
      </c>
      <c r="E18" s="9">
        <f t="shared" si="0"/>
        <v>23.75</v>
      </c>
      <c r="F18" s="9">
        <f t="shared" si="1"/>
        <v>-7.625</v>
      </c>
    </row>
    <row r="19" spans="1:6" ht="36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128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5">
        <f>C26+C29+C31+C36</f>
        <v>166</v>
      </c>
      <c r="D25" s="5">
        <f>D26+D29+D31+D36+D34</f>
        <v>-89.634870000000006</v>
      </c>
      <c r="E25" s="5">
        <f t="shared" si="0"/>
        <v>-53.996909638554222</v>
      </c>
      <c r="F25" s="5">
        <f t="shared" si="1"/>
        <v>-255.63487000000001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166</v>
      </c>
      <c r="D26" s="5">
        <f>D27+D28</f>
        <v>4.5158399999999999</v>
      </c>
      <c r="E26" s="5">
        <f t="shared" si="0"/>
        <v>2.7203855421686747</v>
      </c>
      <c r="F26" s="5">
        <f t="shared" si="1"/>
        <v>-161.48416</v>
      </c>
    </row>
    <row r="27" spans="1:6">
      <c r="A27" s="16">
        <v>1110502510</v>
      </c>
      <c r="B27" s="17" t="s">
        <v>226</v>
      </c>
      <c r="C27" s="12">
        <v>160</v>
      </c>
      <c r="D27" s="10">
        <v>0</v>
      </c>
      <c r="E27" s="9">
        <f t="shared" si="0"/>
        <v>0</v>
      </c>
      <c r="F27" s="9">
        <f t="shared" si="1"/>
        <v>-160</v>
      </c>
    </row>
    <row r="28" spans="1:6" ht="18" customHeight="1">
      <c r="A28" s="7">
        <v>1110503510</v>
      </c>
      <c r="B28" s="11" t="s">
        <v>225</v>
      </c>
      <c r="C28" s="12">
        <v>6</v>
      </c>
      <c r="D28" s="10">
        <v>4.5158399999999999</v>
      </c>
      <c r="E28" s="9">
        <f t="shared" si="0"/>
        <v>75.263999999999996</v>
      </c>
      <c r="F28" s="9">
        <f t="shared" si="1"/>
        <v>-1.4841600000000001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0.84928999999999999</v>
      </c>
      <c r="E29" s="5" t="e">
        <f t="shared" si="0"/>
        <v>#DIV/0!</v>
      </c>
      <c r="F29" s="5">
        <f t="shared" si="1"/>
        <v>0.84928999999999999</v>
      </c>
    </row>
    <row r="30" spans="1:6" ht="17.25" customHeight="1">
      <c r="A30" s="7">
        <v>1130206005</v>
      </c>
      <c r="B30" s="8" t="s">
        <v>224</v>
      </c>
      <c r="C30" s="9">
        <v>0</v>
      </c>
      <c r="D30" s="10">
        <v>0.84928999999999999</v>
      </c>
      <c r="E30" s="9" t="e">
        <f t="shared" si="0"/>
        <v>#DIV/0!</v>
      </c>
      <c r="F30" s="9">
        <f t="shared" si="1"/>
        <v>0.84928999999999999</v>
      </c>
    </row>
    <row r="31" spans="1:6" ht="28.5" hidden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223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idden="1">
      <c r="A34" s="3">
        <v>1160000000</v>
      </c>
      <c r="B34" s="13" t="s">
        <v>252</v>
      </c>
      <c r="C34" s="5">
        <v>0</v>
      </c>
      <c r="D34" s="5">
        <v>0</v>
      </c>
      <c r="E34" s="9" t="e">
        <f>SUM(D34/C34*100)</f>
        <v>#DIV/0!</v>
      </c>
      <c r="F34" s="9">
        <f>SUM(D34-C34)</f>
        <v>0</v>
      </c>
    </row>
    <row r="35" spans="1:7" ht="47.25" hidden="1">
      <c r="A35" s="7">
        <v>1163305010</v>
      </c>
      <c r="B35" s="8" t="s">
        <v>268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135</v>
      </c>
      <c r="C36" s="5">
        <f>C37+C38</f>
        <v>0</v>
      </c>
      <c r="D36" s="5">
        <f>D37+D38</f>
        <v>-95</v>
      </c>
      <c r="E36" s="5" t="e">
        <f t="shared" si="0"/>
        <v>#DIV/0!</v>
      </c>
      <c r="F36" s="5">
        <f t="shared" si="1"/>
        <v>-95</v>
      </c>
    </row>
    <row r="37" spans="1:7" ht="17.25" customHeight="1">
      <c r="A37" s="7">
        <v>1170105005</v>
      </c>
      <c r="B37" s="8" t="s">
        <v>18</v>
      </c>
      <c r="C37" s="9">
        <f>C38</f>
        <v>0</v>
      </c>
      <c r="D37" s="9">
        <v>-95</v>
      </c>
      <c r="E37" s="9" t="e">
        <f t="shared" si="0"/>
        <v>#DIV/0!</v>
      </c>
      <c r="F37" s="9">
        <f t="shared" si="1"/>
        <v>-95</v>
      </c>
    </row>
    <row r="38" spans="1:7" ht="19.5" hidden="1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1905</v>
      </c>
      <c r="D39" s="127">
        <f>SUM(D4,D25)</f>
        <v>930.98581999999999</v>
      </c>
      <c r="E39" s="5">
        <f t="shared" si="0"/>
        <v>48.870646719160106</v>
      </c>
      <c r="F39" s="5">
        <f t="shared" si="1"/>
        <v>-974.01418000000001</v>
      </c>
    </row>
    <row r="40" spans="1:7" s="6" customFormat="1">
      <c r="A40" s="3">
        <v>2000000000</v>
      </c>
      <c r="B40" s="4" t="s">
        <v>20</v>
      </c>
      <c r="C40" s="5">
        <f>C41+C42+C43+C44+C48+C49</f>
        <v>4534.1309999999994</v>
      </c>
      <c r="D40" s="5">
        <f>D41+D42+D43+D44+D48+D49+D50</f>
        <v>2594.5891700000002</v>
      </c>
      <c r="E40" s="5">
        <f t="shared" si="0"/>
        <v>57.223515818135837</v>
      </c>
      <c r="F40" s="5">
        <f t="shared" si="1"/>
        <v>-1939.5418299999992</v>
      </c>
      <c r="G40" s="19"/>
    </row>
    <row r="41" spans="1:7">
      <c r="A41" s="16">
        <v>2021000000</v>
      </c>
      <c r="B41" s="17" t="s">
        <v>21</v>
      </c>
      <c r="C41" s="12">
        <v>2768.8539999999998</v>
      </c>
      <c r="D41" s="20">
        <v>1992.46</v>
      </c>
      <c r="E41" s="9">
        <f t="shared" si="0"/>
        <v>71.959734966162898</v>
      </c>
      <c r="F41" s="9">
        <f t="shared" si="1"/>
        <v>-776.39399999999978</v>
      </c>
    </row>
    <row r="42" spans="1:7" ht="17.25" customHeight="1">
      <c r="A42" s="16">
        <v>2021500200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22</v>
      </c>
      <c r="C43" s="12">
        <v>1320.674</v>
      </c>
      <c r="D43" s="10">
        <v>268.69499999999999</v>
      </c>
      <c r="E43" s="9">
        <f t="shared" si="0"/>
        <v>20.34529338807306</v>
      </c>
      <c r="F43" s="9">
        <f t="shared" si="1"/>
        <v>-1051.979</v>
      </c>
    </row>
    <row r="44" spans="1:7" ht="18" customHeight="1">
      <c r="A44" s="16">
        <v>2023000000</v>
      </c>
      <c r="B44" s="17" t="s">
        <v>23</v>
      </c>
      <c r="C44" s="12">
        <v>157.59899999999999</v>
      </c>
      <c r="D44" s="252">
        <v>126.14109999999999</v>
      </c>
      <c r="E44" s="9">
        <f t="shared" si="0"/>
        <v>80.039276898965099</v>
      </c>
      <c r="F44" s="9">
        <f t="shared" si="1"/>
        <v>-31.457899999999995</v>
      </c>
    </row>
    <row r="45" spans="1:7" ht="0.75" hidden="1" customHeight="1">
      <c r="A45" s="16">
        <v>2020400000</v>
      </c>
      <c r="B45" s="17" t="s">
        <v>24</v>
      </c>
      <c r="C45" s="12"/>
      <c r="D45" s="253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25</v>
      </c>
      <c r="C46" s="12"/>
      <c r="D46" s="253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26</v>
      </c>
      <c r="C47" s="14"/>
      <c r="D47" s="14"/>
      <c r="E47" s="5"/>
      <c r="F47" s="5">
        <f>SUM(D47-C47)</f>
        <v>0</v>
      </c>
    </row>
    <row r="48" spans="1:7" s="6" customFormat="1" ht="18.75" hidden="1" customHeight="1">
      <c r="A48" s="7">
        <v>2020400000</v>
      </c>
      <c r="B48" s="8" t="s">
        <v>24</v>
      </c>
      <c r="C48" s="12">
        <v>0</v>
      </c>
      <c r="D48" s="10">
        <v>0</v>
      </c>
      <c r="E48" s="9" t="e">
        <f t="shared" si="0"/>
        <v>#DIV/0!</v>
      </c>
      <c r="F48" s="9">
        <f t="shared" si="1"/>
        <v>0</v>
      </c>
    </row>
    <row r="49" spans="1:6" s="6" customFormat="1" ht="18.75" customHeight="1">
      <c r="A49" s="7">
        <v>2070500010</v>
      </c>
      <c r="B49" s="8" t="s">
        <v>355</v>
      </c>
      <c r="C49" s="12">
        <v>287.00400000000002</v>
      </c>
      <c r="D49" s="10">
        <v>287.00457</v>
      </c>
      <c r="E49" s="9">
        <f>SUM(D49/C49*100)</f>
        <v>100.00019860350378</v>
      </c>
      <c r="F49" s="9">
        <f>SUM(D49-C49)</f>
        <v>5.6999999998197382E-4</v>
      </c>
    </row>
    <row r="50" spans="1:6" s="6" customFormat="1" ht="18.75" customHeight="1">
      <c r="A50" s="7">
        <v>2190500005</v>
      </c>
      <c r="B50" s="11" t="s">
        <v>26</v>
      </c>
      <c r="C50" s="12">
        <v>0</v>
      </c>
      <c r="D50" s="10">
        <v>-79.711500000000001</v>
      </c>
      <c r="E50" s="9"/>
      <c r="F50" s="9"/>
    </row>
    <row r="51" spans="1:6" s="6" customFormat="1" ht="19.5" customHeight="1">
      <c r="A51" s="3"/>
      <c r="B51" s="4" t="s">
        <v>28</v>
      </c>
      <c r="C51" s="93">
        <f>C39+C40</f>
        <v>6439.1309999999994</v>
      </c>
      <c r="D51" s="93">
        <f>SUM(D39,D40,)</f>
        <v>3525.5749900000001</v>
      </c>
      <c r="E51" s="5">
        <f t="shared" si="0"/>
        <v>54.752341426195564</v>
      </c>
      <c r="F51" s="5">
        <f t="shared" si="1"/>
        <v>-2913.5560099999993</v>
      </c>
    </row>
    <row r="52" spans="1:6" s="6" customFormat="1">
      <c r="A52" s="3"/>
      <c r="B52" s="21" t="s">
        <v>321</v>
      </c>
      <c r="C52" s="93">
        <f>C51-C97</f>
        <v>-449.52202000000034</v>
      </c>
      <c r="D52" s="93">
        <f>D51-D97</f>
        <v>-43.147030000000086</v>
      </c>
      <c r="E52" s="22"/>
      <c r="F52" s="22"/>
    </row>
    <row r="53" spans="1:6">
      <c r="A53" s="23"/>
      <c r="B53" s="24"/>
      <c r="C53" s="251"/>
      <c r="D53" s="251"/>
      <c r="E53" s="26"/>
      <c r="F53" s="92"/>
    </row>
    <row r="54" spans="1:6" ht="60" customHeight="1">
      <c r="A54" s="28" t="s">
        <v>1</v>
      </c>
      <c r="B54" s="28" t="s">
        <v>29</v>
      </c>
      <c r="C54" s="244" t="s">
        <v>346</v>
      </c>
      <c r="D54" s="245" t="s">
        <v>412</v>
      </c>
      <c r="E54" s="72" t="s">
        <v>3</v>
      </c>
      <c r="F54" s="74" t="s">
        <v>4</v>
      </c>
    </row>
    <row r="55" spans="1:6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6" s="6" customFormat="1" ht="29.25" customHeight="1">
      <c r="A56" s="30" t="s">
        <v>30</v>
      </c>
      <c r="B56" s="31" t="s">
        <v>31</v>
      </c>
      <c r="C56" s="32">
        <f>C57+C58+C59+C60+C61+C63+C62</f>
        <v>1462.2629999999999</v>
      </c>
      <c r="D56" s="32">
        <f>D57+D58+D59+D60+D61+D63+D62</f>
        <v>878.14450000000011</v>
      </c>
      <c r="E56" s="34">
        <f>SUM(D56/C56*100)</f>
        <v>60.053800171378214</v>
      </c>
      <c r="F56" s="34">
        <f>SUM(D56-C56)</f>
        <v>-584.11849999999981</v>
      </c>
    </row>
    <row r="57" spans="1:6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6">
      <c r="A58" s="35" t="s">
        <v>34</v>
      </c>
      <c r="B58" s="39" t="s">
        <v>35</v>
      </c>
      <c r="C58" s="37">
        <v>1410.7539999999999</v>
      </c>
      <c r="D58" s="37">
        <v>866.28150000000005</v>
      </c>
      <c r="E58" s="38">
        <f t="shared" ref="E58:E97" si="3">SUM(D58/C58*100)</f>
        <v>61.405567519213136</v>
      </c>
      <c r="F58" s="38">
        <f t="shared" ref="F58:F97" si="4">SUM(D58-C58)</f>
        <v>-544.47249999999985</v>
      </c>
    </row>
    <row r="59" spans="1:6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6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6">
      <c r="A61" s="35" t="s">
        <v>40</v>
      </c>
      <c r="B61" s="39" t="s">
        <v>41</v>
      </c>
      <c r="C61" s="37">
        <v>19.635999999999999</v>
      </c>
      <c r="D61" s="37"/>
      <c r="E61" s="38">
        <f t="shared" si="3"/>
        <v>0</v>
      </c>
      <c r="F61" s="38">
        <f t="shared" si="4"/>
        <v>-19.635999999999999</v>
      </c>
    </row>
    <row r="62" spans="1:6" ht="15.75" customHeight="1">
      <c r="A62" s="35" t="s">
        <v>42</v>
      </c>
      <c r="B62" s="39" t="s">
        <v>43</v>
      </c>
      <c r="C62" s="40">
        <v>20.010000000000002</v>
      </c>
      <c r="D62" s="40">
        <v>0</v>
      </c>
      <c r="E62" s="38">
        <f t="shared" si="3"/>
        <v>0</v>
      </c>
      <c r="F62" s="38">
        <f t="shared" si="4"/>
        <v>-20.010000000000002</v>
      </c>
    </row>
    <row r="63" spans="1:6" ht="18.75" customHeight="1">
      <c r="A63" s="35" t="s">
        <v>44</v>
      </c>
      <c r="B63" s="39" t="s">
        <v>45</v>
      </c>
      <c r="C63" s="37">
        <v>11.863</v>
      </c>
      <c r="D63" s="37">
        <v>11.863</v>
      </c>
      <c r="E63" s="38">
        <f t="shared" si="3"/>
        <v>100</v>
      </c>
      <c r="F63" s="38">
        <f t="shared" si="4"/>
        <v>0</v>
      </c>
    </row>
    <row r="64" spans="1:6" s="6" customFormat="1">
      <c r="A64" s="41" t="s">
        <v>46</v>
      </c>
      <c r="B64" s="42" t="s">
        <v>47</v>
      </c>
      <c r="C64" s="32">
        <f>C65</f>
        <v>150.881</v>
      </c>
      <c r="D64" s="32">
        <f>D65</f>
        <v>104.54644</v>
      </c>
      <c r="E64" s="34">
        <f t="shared" si="3"/>
        <v>69.290659526381731</v>
      </c>
      <c r="F64" s="34">
        <f t="shared" si="4"/>
        <v>-46.334559999999996</v>
      </c>
    </row>
    <row r="65" spans="1:7">
      <c r="A65" s="43" t="s">
        <v>48</v>
      </c>
      <c r="B65" s="44" t="s">
        <v>49</v>
      </c>
      <c r="C65" s="37">
        <v>150.881</v>
      </c>
      <c r="D65" s="37">
        <v>104.54644</v>
      </c>
      <c r="E65" s="38">
        <f t="shared" si="3"/>
        <v>69.290659526381731</v>
      </c>
      <c r="F65" s="38">
        <f t="shared" si="4"/>
        <v>-46.334559999999996</v>
      </c>
    </row>
    <row r="66" spans="1:7" s="6" customFormat="1" ht="18" customHeight="1">
      <c r="A66" s="30" t="s">
        <v>50</v>
      </c>
      <c r="B66" s="31" t="s">
        <v>51</v>
      </c>
      <c r="C66" s="32">
        <f>C69+C70</f>
        <v>10</v>
      </c>
      <c r="D66" s="32">
        <f>D69+D70</f>
        <v>0</v>
      </c>
      <c r="E66" s="34">
        <f t="shared" si="3"/>
        <v>0</v>
      </c>
      <c r="F66" s="34">
        <f t="shared" si="4"/>
        <v>-10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5</v>
      </c>
      <c r="D69" s="37">
        <v>0</v>
      </c>
      <c r="E69" s="34">
        <f t="shared" si="3"/>
        <v>0</v>
      </c>
      <c r="F69" s="34">
        <f t="shared" si="4"/>
        <v>-5</v>
      </c>
    </row>
    <row r="70" spans="1:7" ht="15.75" customHeight="1">
      <c r="A70" s="46" t="s">
        <v>219</v>
      </c>
      <c r="B70" s="47" t="s">
        <v>220</v>
      </c>
      <c r="C70" s="37">
        <v>5</v>
      </c>
      <c r="D70" s="37">
        <v>0</v>
      </c>
      <c r="E70" s="34">
        <f t="shared" si="3"/>
        <v>0</v>
      </c>
      <c r="F70" s="34">
        <f t="shared" si="4"/>
        <v>-5</v>
      </c>
    </row>
    <row r="71" spans="1:7" s="6" customFormat="1" ht="16.5" customHeight="1">
      <c r="A71" s="30" t="s">
        <v>58</v>
      </c>
      <c r="B71" s="31" t="s">
        <v>59</v>
      </c>
      <c r="C71" s="48">
        <f>C72+C73+C74+C75</f>
        <v>2319.4480199999998</v>
      </c>
      <c r="D71" s="48">
        <f>SUM(D72:D75)</f>
        <v>508.60867999999999</v>
      </c>
      <c r="E71" s="34">
        <f t="shared" si="3"/>
        <v>21.928005094936339</v>
      </c>
      <c r="F71" s="34">
        <f t="shared" si="4"/>
        <v>-1810.8393399999998</v>
      </c>
    </row>
    <row r="72" spans="1:7" ht="15" customHeight="1">
      <c r="A72" s="35" t="s">
        <v>60</v>
      </c>
      <c r="B72" s="39" t="s">
        <v>61</v>
      </c>
      <c r="C72" s="49">
        <v>19.417999999999999</v>
      </c>
      <c r="D72" s="37">
        <v>2.738</v>
      </c>
      <c r="E72" s="38">
        <f t="shared" si="3"/>
        <v>14.100319291379131</v>
      </c>
      <c r="F72" s="38">
        <f t="shared" si="4"/>
        <v>-16.68</v>
      </c>
    </row>
    <row r="73" spans="1:7" s="6" customFormat="1" ht="15" customHeight="1">
      <c r="A73" s="35" t="s">
        <v>62</v>
      </c>
      <c r="B73" s="39" t="s">
        <v>63</v>
      </c>
      <c r="C73" s="49">
        <v>140</v>
      </c>
      <c r="D73" s="37">
        <v>18.5</v>
      </c>
      <c r="E73" s="38">
        <f t="shared" si="3"/>
        <v>13.214285714285715</v>
      </c>
      <c r="F73" s="38">
        <f t="shared" si="4"/>
        <v>-121.5</v>
      </c>
      <c r="G73" s="50"/>
    </row>
    <row r="74" spans="1:7">
      <c r="A74" s="35" t="s">
        <v>64</v>
      </c>
      <c r="B74" s="39" t="s">
        <v>65</v>
      </c>
      <c r="C74" s="49">
        <v>1910.0300199999999</v>
      </c>
      <c r="D74" s="37">
        <v>446.52668</v>
      </c>
      <c r="E74" s="38">
        <f t="shared" si="3"/>
        <v>23.377992771024616</v>
      </c>
      <c r="F74" s="38">
        <f t="shared" si="4"/>
        <v>-1463.50334</v>
      </c>
    </row>
    <row r="75" spans="1:7">
      <c r="A75" s="35" t="s">
        <v>66</v>
      </c>
      <c r="B75" s="39" t="s">
        <v>67</v>
      </c>
      <c r="C75" s="49">
        <v>250</v>
      </c>
      <c r="D75" s="37">
        <v>40.844000000000001</v>
      </c>
      <c r="E75" s="38">
        <f t="shared" si="3"/>
        <v>16.337599999999998</v>
      </c>
      <c r="F75" s="38">
        <f t="shared" si="4"/>
        <v>-209.15600000000001</v>
      </c>
    </row>
    <row r="76" spans="1:7" s="6" customFormat="1" ht="18" customHeight="1">
      <c r="A76" s="30" t="s">
        <v>68</v>
      </c>
      <c r="B76" s="31" t="s">
        <v>69</v>
      </c>
      <c r="C76" s="32">
        <f>SUM(C77:C79)</f>
        <v>809.21100000000001</v>
      </c>
      <c r="D76" s="32">
        <f>SUM(D77:D79)</f>
        <v>475.56948</v>
      </c>
      <c r="E76" s="34">
        <f t="shared" si="3"/>
        <v>58.769527354423012</v>
      </c>
      <c r="F76" s="34">
        <f t="shared" si="4"/>
        <v>-333.64152000000001</v>
      </c>
    </row>
    <row r="77" spans="1:7" ht="14.25" hidden="1" customHeight="1">
      <c r="A77" s="35" t="s">
        <v>70</v>
      </c>
      <c r="B77" s="51" t="s">
        <v>71</v>
      </c>
      <c r="C77" s="37">
        <v>0</v>
      </c>
      <c r="D77" s="37">
        <v>0</v>
      </c>
      <c r="E77" s="34" t="e">
        <f t="shared" si="3"/>
        <v>#DIV/0!</v>
      </c>
      <c r="F77" s="34">
        <f t="shared" si="4"/>
        <v>0</v>
      </c>
    </row>
    <row r="78" spans="1:7" ht="18.75" hidden="1" customHeight="1">
      <c r="A78" s="35" t="s">
        <v>72</v>
      </c>
      <c r="B78" s="51" t="s">
        <v>73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>
      <c r="A79" s="35" t="s">
        <v>74</v>
      </c>
      <c r="B79" s="39" t="s">
        <v>75</v>
      </c>
      <c r="C79" s="37">
        <v>809.21100000000001</v>
      </c>
      <c r="D79" s="37">
        <v>475.56948</v>
      </c>
      <c r="E79" s="38">
        <f t="shared" si="3"/>
        <v>58.769527354423012</v>
      </c>
      <c r="F79" s="38">
        <f t="shared" si="4"/>
        <v>-333.64152000000001</v>
      </c>
    </row>
    <row r="80" spans="1:7" s="6" customFormat="1">
      <c r="A80" s="30" t="s">
        <v>86</v>
      </c>
      <c r="B80" s="31" t="s">
        <v>87</v>
      </c>
      <c r="C80" s="32">
        <f>C81</f>
        <v>2099.85</v>
      </c>
      <c r="D80" s="32">
        <f>D81</f>
        <v>1577.9379200000001</v>
      </c>
      <c r="E80" s="34">
        <f>SUM(D80/C80*100)</f>
        <v>75.1452684715575</v>
      </c>
      <c r="F80" s="34">
        <f t="shared" si="4"/>
        <v>-521.91207999999983</v>
      </c>
    </row>
    <row r="81" spans="1:6" ht="15.75" customHeight="1">
      <c r="A81" s="35" t="s">
        <v>88</v>
      </c>
      <c r="B81" s="39" t="s">
        <v>234</v>
      </c>
      <c r="C81" s="37">
        <f>2099.85</f>
        <v>2099.85</v>
      </c>
      <c r="D81" s="37">
        <v>1577.9379200000001</v>
      </c>
      <c r="E81" s="38">
        <f>SUM(D81/C81*100)</f>
        <v>75.1452684715575</v>
      </c>
      <c r="F81" s="38">
        <f t="shared" si="4"/>
        <v>-521.91207999999983</v>
      </c>
    </row>
    <row r="82" spans="1:6" s="6" customFormat="1" ht="1.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7.25" hidden="1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5.7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17.25" hidden="1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37</v>
      </c>
      <c r="D87" s="32">
        <f>D88+D89+D90+D91+D92</f>
        <v>23.914999999999999</v>
      </c>
      <c r="E87" s="38">
        <f t="shared" si="3"/>
        <v>64.63513513513513</v>
      </c>
      <c r="F87" s="22">
        <f>F88+F89+F90+F91+F92</f>
        <v>-13.085000000000001</v>
      </c>
    </row>
    <row r="88" spans="1:6" ht="18.75" customHeight="1">
      <c r="A88" s="35" t="s">
        <v>97</v>
      </c>
      <c r="B88" s="39" t="s">
        <v>98</v>
      </c>
      <c r="C88" s="37">
        <v>37</v>
      </c>
      <c r="D88" s="37">
        <v>23.914999999999999</v>
      </c>
      <c r="E88" s="38">
        <f t="shared" si="3"/>
        <v>64.63513513513513</v>
      </c>
      <c r="F88" s="38">
        <f>SUM(D88-C88)</f>
        <v>-13.085000000000001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/>
      <c r="E90" s="38" t="e">
        <f t="shared" si="3"/>
        <v>#DIV/0!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3"/>
        <v>#DIV/0!</v>
      </c>
      <c r="F92" s="38"/>
    </row>
    <row r="93" spans="1:6" s="6" customFormat="1" ht="16.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3"/>
        <v>#DIV/0!</v>
      </c>
      <c r="F93" s="34">
        <f t="shared" si="4"/>
        <v>0</v>
      </c>
    </row>
    <row r="94" spans="1:6" ht="0.75" hidden="1" customHeight="1">
      <c r="A94" s="53">
        <v>1401</v>
      </c>
      <c r="B94" s="54" t="s">
        <v>116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9.5" hidden="1" customHeight="1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hidden="1" customHeight="1">
      <c r="A96" s="53">
        <v>1403</v>
      </c>
      <c r="B96" s="54" t="s">
        <v>118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s="6" customFormat="1" ht="15.75" customHeight="1">
      <c r="A97" s="52"/>
      <c r="B97" s="57" t="s">
        <v>119</v>
      </c>
      <c r="C97" s="442">
        <f>C56+C64+C66+C71+C76+C80+C82+C87+C93</f>
        <v>6888.6530199999997</v>
      </c>
      <c r="D97" s="442">
        <f>D56+D64+D66+D71+D76+D80+D82+D87+D93</f>
        <v>3568.7220200000002</v>
      </c>
      <c r="E97" s="34">
        <f t="shared" si="3"/>
        <v>51.805803103144257</v>
      </c>
      <c r="F97" s="34">
        <f t="shared" si="4"/>
        <v>-3319.9309999999996</v>
      </c>
      <c r="G97" s="296"/>
    </row>
    <row r="98" spans="1:7" ht="0.75" customHeight="1">
      <c r="C98" s="126"/>
      <c r="D98" s="101"/>
    </row>
    <row r="99" spans="1:7" s="65" customFormat="1" ht="16.5" customHeight="1">
      <c r="A99" s="63" t="s">
        <v>120</v>
      </c>
      <c r="B99" s="63"/>
      <c r="C99" s="250"/>
      <c r="D99" s="250"/>
    </row>
    <row r="100" spans="1:7" s="65" customFormat="1" ht="20.25" customHeight="1">
      <c r="A100" s="66" t="s">
        <v>121</v>
      </c>
      <c r="B100" s="66"/>
      <c r="C100" s="65" t="s">
        <v>122</v>
      </c>
    </row>
    <row r="101" spans="1:7" ht="13.5" customHeight="1">
      <c r="C101" s="120"/>
    </row>
    <row r="102" spans="1:7" ht="5.25" customHeight="1"/>
    <row r="142" hidden="1"/>
  </sheetData>
  <customSheetViews>
    <customSheetView guid="{A54C432C-6C68-4B53-A75C-446EB3A61B2B}" scale="70" showPageBreaks="1" hiddenRows="1" view="pageBreakPreview" topLeftCell="A64">
      <selection activeCell="C97" activeCellId="1" sqref="C51:D52 C97:D97"/>
      <pageMargins left="0.70866141732283472" right="0.70866141732283472" top="0.74803149606299213" bottom="0.74803149606299213" header="0.31496062992125984" footer="0.31496062992125984"/>
      <pageSetup paperSize="9" scale="64" orientation="portrait" r:id="rId1"/>
    </customSheetView>
    <customSheetView guid="{B30CE22D-C12F-4E12-8BB9-3AAE0A6991CC}" scale="70" showPageBreaks="1" hiddenRows="1" view="pageBreakPreview" topLeftCell="A58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5BFCA170-DEAE-4D2C-98A0-1E68B427AC01}" showPageBreaks="1" hiddenRows="1" topLeftCell="A38">
      <selection activeCell="B100" sqref="B100"/>
      <pageMargins left="0.7" right="0.7" top="0.75" bottom="0.75" header="0.3" footer="0.3"/>
      <pageSetup paperSize="9" scale="49" orientation="portrait" r:id="rId3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4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4" orientation="portrait" r:id="rId6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42"/>
  <sheetViews>
    <sheetView view="pageBreakPreview" topLeftCell="A28" zoomScale="70" zoomScaleNormal="100" zoomScaleSheetLayoutView="70" workbookViewId="0">
      <selection activeCell="C51" activeCellId="1" sqref="C98:D98 C51:D52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436" t="s">
        <v>426</v>
      </c>
      <c r="B1" s="436"/>
      <c r="C1" s="436"/>
      <c r="D1" s="436"/>
      <c r="E1" s="436"/>
      <c r="F1" s="436"/>
    </row>
    <row r="2" spans="1:6">
      <c r="A2" s="436"/>
      <c r="B2" s="436"/>
      <c r="C2" s="436"/>
      <c r="D2" s="436"/>
      <c r="E2" s="436"/>
      <c r="F2" s="43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1483.5</v>
      </c>
      <c r="D4" s="5">
        <f>D5+D12+D14+D17+D20+D7</f>
        <v>852.60515000000009</v>
      </c>
      <c r="E4" s="5">
        <f>SUM(D4/C4*100)</f>
        <v>57.472541287495794</v>
      </c>
      <c r="F4" s="5">
        <f>SUM(D4-C4)</f>
        <v>-630.89484999999991</v>
      </c>
    </row>
    <row r="5" spans="1:6" s="6" customFormat="1">
      <c r="A5" s="68">
        <v>1010000000</v>
      </c>
      <c r="B5" s="67" t="s">
        <v>6</v>
      </c>
      <c r="C5" s="5">
        <f>C6</f>
        <v>104.8</v>
      </c>
      <c r="D5" s="5">
        <f>D6</f>
        <v>63.301630000000003</v>
      </c>
      <c r="E5" s="5">
        <f t="shared" ref="E5:E51" si="0">SUM(D5/C5*100)</f>
        <v>60.402318702290081</v>
      </c>
      <c r="F5" s="5">
        <f t="shared" ref="F5:F51" si="1">SUM(D5-C5)</f>
        <v>-41.498369999999994</v>
      </c>
    </row>
    <row r="6" spans="1:6">
      <c r="A6" s="7">
        <v>1010200001</v>
      </c>
      <c r="B6" s="8" t="s">
        <v>229</v>
      </c>
      <c r="C6" s="9">
        <v>104.8</v>
      </c>
      <c r="D6" s="10">
        <v>63.301630000000003</v>
      </c>
      <c r="E6" s="9">
        <f t="shared" ref="E6:E11" si="2">SUM(D6/C6*100)</f>
        <v>60.402318702290081</v>
      </c>
      <c r="F6" s="9">
        <f t="shared" si="1"/>
        <v>-41.498369999999994</v>
      </c>
    </row>
    <row r="7" spans="1:6" ht="31.5">
      <c r="A7" s="3">
        <v>1030000000</v>
      </c>
      <c r="B7" s="13" t="s">
        <v>281</v>
      </c>
      <c r="C7" s="5">
        <f>C8+C10+C9</f>
        <v>723.69999999999993</v>
      </c>
      <c r="D7" s="5">
        <f>D8+D10+D9+D11</f>
        <v>489.28419000000002</v>
      </c>
      <c r="E7" s="5">
        <f t="shared" si="2"/>
        <v>67.608703882824386</v>
      </c>
      <c r="F7" s="5">
        <f t="shared" si="1"/>
        <v>-234.41580999999991</v>
      </c>
    </row>
    <row r="8" spans="1:6">
      <c r="A8" s="7">
        <v>1030223001</v>
      </c>
      <c r="B8" s="8" t="s">
        <v>283</v>
      </c>
      <c r="C8" s="9">
        <v>269.94</v>
      </c>
      <c r="D8" s="10">
        <v>213.52934999999999</v>
      </c>
      <c r="E8" s="9">
        <f t="shared" si="2"/>
        <v>79.102522782840637</v>
      </c>
      <c r="F8" s="9">
        <f t="shared" si="1"/>
        <v>-56.410650000000004</v>
      </c>
    </row>
    <row r="9" spans="1:6">
      <c r="A9" s="7">
        <v>1030224001</v>
      </c>
      <c r="B9" s="8" t="s">
        <v>289</v>
      </c>
      <c r="C9" s="9">
        <v>2.9</v>
      </c>
      <c r="D9" s="10">
        <v>1.8295300000000001</v>
      </c>
      <c r="E9" s="9">
        <f>SUM(D9/C9*100)</f>
        <v>63.087241379310356</v>
      </c>
      <c r="F9" s="9">
        <f t="shared" si="1"/>
        <v>-1.0704699999999998</v>
      </c>
    </row>
    <row r="10" spans="1:6">
      <c r="A10" s="7">
        <v>1030225001</v>
      </c>
      <c r="B10" s="8" t="s">
        <v>282</v>
      </c>
      <c r="C10" s="9">
        <v>450.86</v>
      </c>
      <c r="D10" s="10">
        <v>323.70591000000002</v>
      </c>
      <c r="E10" s="9">
        <f t="shared" si="2"/>
        <v>71.797433793195225</v>
      </c>
      <c r="F10" s="9">
        <f t="shared" si="1"/>
        <v>-127.15409</v>
      </c>
    </row>
    <row r="11" spans="1:6">
      <c r="A11" s="7">
        <v>1030226001</v>
      </c>
      <c r="B11" s="8" t="s">
        <v>291</v>
      </c>
      <c r="C11" s="9">
        <v>0</v>
      </c>
      <c r="D11" s="10">
        <v>-49.7806</v>
      </c>
      <c r="E11" s="9" t="e">
        <f t="shared" si="2"/>
        <v>#DIV/0!</v>
      </c>
      <c r="F11" s="9">
        <f t="shared" si="1"/>
        <v>-49.7806</v>
      </c>
    </row>
    <row r="12" spans="1:6" s="6" customFormat="1">
      <c r="A12" s="68">
        <v>1050000000</v>
      </c>
      <c r="B12" s="67" t="s">
        <v>7</v>
      </c>
      <c r="C12" s="5">
        <f>SUM(C13:C13)</f>
        <v>15</v>
      </c>
      <c r="D12" s="5">
        <f>SUM(D13:D13)</f>
        <v>26.019300000000001</v>
      </c>
      <c r="E12" s="5">
        <f t="shared" si="0"/>
        <v>173.46200000000002</v>
      </c>
      <c r="F12" s="5">
        <f t="shared" si="1"/>
        <v>11.019300000000001</v>
      </c>
    </row>
    <row r="13" spans="1:6" ht="15.75" customHeight="1">
      <c r="A13" s="7">
        <v>1050300000</v>
      </c>
      <c r="B13" s="11" t="s">
        <v>230</v>
      </c>
      <c r="C13" s="12">
        <v>15</v>
      </c>
      <c r="D13" s="10">
        <v>26.019300000000001</v>
      </c>
      <c r="E13" s="9">
        <f t="shared" si="0"/>
        <v>173.46200000000002</v>
      </c>
      <c r="F13" s="9">
        <f t="shared" si="1"/>
        <v>11.019300000000001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630</v>
      </c>
      <c r="D14" s="5">
        <f>D15+D16</f>
        <v>269.40003000000002</v>
      </c>
      <c r="E14" s="5">
        <f t="shared" si="0"/>
        <v>42.761909523809528</v>
      </c>
      <c r="F14" s="5">
        <f t="shared" si="1"/>
        <v>-360.59996999999998</v>
      </c>
    </row>
    <row r="15" spans="1:6" s="6" customFormat="1" ht="15.75" customHeight="1">
      <c r="A15" s="7">
        <v>1060100000</v>
      </c>
      <c r="B15" s="11" t="s">
        <v>9</v>
      </c>
      <c r="C15" s="9">
        <v>160</v>
      </c>
      <c r="D15" s="10">
        <v>33.919730000000001</v>
      </c>
      <c r="E15" s="9">
        <f t="shared" si="0"/>
        <v>21.199831250000003</v>
      </c>
      <c r="F15" s="9">
        <f>SUM(D15-C15)</f>
        <v>-126.08027</v>
      </c>
    </row>
    <row r="16" spans="1:6" ht="15.75" customHeight="1">
      <c r="A16" s="7">
        <v>1060600000</v>
      </c>
      <c r="B16" s="11" t="s">
        <v>8</v>
      </c>
      <c r="C16" s="9">
        <v>470</v>
      </c>
      <c r="D16" s="10">
        <v>235.4803</v>
      </c>
      <c r="E16" s="9">
        <f t="shared" si="0"/>
        <v>50.102191489361701</v>
      </c>
      <c r="F16" s="9">
        <f t="shared" si="1"/>
        <v>-234.5197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4.5999999999999996</v>
      </c>
      <c r="E17" s="5">
        <f t="shared" si="0"/>
        <v>46</v>
      </c>
      <c r="F17" s="5">
        <f t="shared" si="1"/>
        <v>-5.4</v>
      </c>
    </row>
    <row r="18" spans="1:6" ht="17.25" customHeight="1">
      <c r="A18" s="7">
        <v>1080400001</v>
      </c>
      <c r="B18" s="8" t="s">
        <v>228</v>
      </c>
      <c r="C18" s="9">
        <v>10</v>
      </c>
      <c r="D18" s="10">
        <v>4.5999999999999996</v>
      </c>
      <c r="E18" s="9">
        <f t="shared" si="0"/>
        <v>46</v>
      </c>
      <c r="F18" s="9">
        <f t="shared" si="1"/>
        <v>-5.4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356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C26+C29+C32+C37</f>
        <v>380</v>
      </c>
      <c r="D25" s="5">
        <f>D26+D29+D32+D37+D35</f>
        <v>376.58654000000001</v>
      </c>
      <c r="E25" s="5">
        <f t="shared" si="0"/>
        <v>99.101721052631589</v>
      </c>
      <c r="F25" s="5">
        <f t="shared" si="1"/>
        <v>-3.4134599999999864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330</v>
      </c>
      <c r="D26" s="5">
        <f>D27+D28</f>
        <v>345.11516</v>
      </c>
      <c r="E26" s="5">
        <f t="shared" si="0"/>
        <v>104.58035151515152</v>
      </c>
      <c r="F26" s="5">
        <f t="shared" si="1"/>
        <v>15.115160000000003</v>
      </c>
    </row>
    <row r="27" spans="1:6">
      <c r="A27" s="16">
        <v>1110502510</v>
      </c>
      <c r="B27" s="17" t="s">
        <v>226</v>
      </c>
      <c r="C27" s="12">
        <v>300</v>
      </c>
      <c r="D27" s="10">
        <v>305.50894</v>
      </c>
      <c r="E27" s="9">
        <f t="shared" si="0"/>
        <v>101.83631333333334</v>
      </c>
      <c r="F27" s="9">
        <f t="shared" si="1"/>
        <v>5.5089399999999955</v>
      </c>
    </row>
    <row r="28" spans="1:6" ht="18" customHeight="1">
      <c r="A28" s="7">
        <v>1110503505</v>
      </c>
      <c r="B28" s="11" t="s">
        <v>225</v>
      </c>
      <c r="C28" s="12">
        <v>30</v>
      </c>
      <c r="D28" s="10">
        <v>39.60622</v>
      </c>
      <c r="E28" s="9">
        <f t="shared" si="0"/>
        <v>132.02073333333334</v>
      </c>
      <c r="F28" s="9">
        <f t="shared" si="1"/>
        <v>9.6062200000000004</v>
      </c>
    </row>
    <row r="29" spans="1:6" s="15" customFormat="1" ht="18" customHeight="1">
      <c r="A29" s="68">
        <v>1130000000</v>
      </c>
      <c r="B29" s="69" t="s">
        <v>131</v>
      </c>
      <c r="C29" s="5">
        <f>C30</f>
        <v>50</v>
      </c>
      <c r="D29" s="5">
        <f>D30+D31</f>
        <v>31.729009999999999</v>
      </c>
      <c r="E29" s="5">
        <f t="shared" si="0"/>
        <v>63.458019999999991</v>
      </c>
      <c r="F29" s="5">
        <f t="shared" si="1"/>
        <v>-18.270990000000001</v>
      </c>
    </row>
    <row r="30" spans="1:6" ht="15.75" customHeight="1">
      <c r="A30" s="7">
        <v>1130206510</v>
      </c>
      <c r="B30" s="8" t="s">
        <v>338</v>
      </c>
      <c r="C30" s="9">
        <v>50</v>
      </c>
      <c r="D30" s="324">
        <v>21.702069999999999</v>
      </c>
      <c r="E30" s="9">
        <f t="shared" si="0"/>
        <v>43.404139999999998</v>
      </c>
      <c r="F30" s="9">
        <f t="shared" si="1"/>
        <v>-28.297930000000001</v>
      </c>
    </row>
    <row r="31" spans="1:6" ht="17.25" customHeight="1">
      <c r="A31" s="7">
        <v>1130299510</v>
      </c>
      <c r="B31" s="8" t="s">
        <v>357</v>
      </c>
      <c r="C31" s="9">
        <v>0</v>
      </c>
      <c r="D31" s="324">
        <v>10.02694</v>
      </c>
      <c r="E31" s="9" t="e">
        <f>SUM(D31/C31*100)</f>
        <v>#DIV/0!</v>
      </c>
      <c r="F31" s="9">
        <f>SUM(D31-C31)</f>
        <v>10.02694</v>
      </c>
    </row>
    <row r="32" spans="1:6" ht="18" hidden="1" customHeight="1">
      <c r="A32" s="70">
        <v>1140000000</v>
      </c>
      <c r="B32" s="71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hidden="1" customHeight="1">
      <c r="A33" s="16">
        <v>1140200000</v>
      </c>
      <c r="B33" s="18" t="s">
        <v>133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hidden="1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idden="1">
      <c r="A35" s="3">
        <v>1160000000</v>
      </c>
      <c r="B35" s="13" t="s">
        <v>252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 hidden="1">
      <c r="A36" s="7">
        <v>1163305010</v>
      </c>
      <c r="B36" s="8" t="s">
        <v>268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>
        <v>1170000000</v>
      </c>
      <c r="B37" s="13" t="s">
        <v>135</v>
      </c>
      <c r="C37" s="5">
        <f>C38+C39</f>
        <v>0</v>
      </c>
      <c r="D37" s="5">
        <f>D38+D39</f>
        <v>-0.25763000000000003</v>
      </c>
      <c r="E37" s="5" t="e">
        <f t="shared" si="0"/>
        <v>#DIV/0!</v>
      </c>
      <c r="F37" s="5">
        <f t="shared" si="1"/>
        <v>-0.25763000000000003</v>
      </c>
    </row>
    <row r="38" spans="1:7" ht="16.5" customHeight="1">
      <c r="A38" s="7">
        <v>1170105005</v>
      </c>
      <c r="B38" s="8" t="s">
        <v>18</v>
      </c>
      <c r="C38" s="9">
        <v>0</v>
      </c>
      <c r="D38" s="9">
        <v>-0.25763000000000003</v>
      </c>
      <c r="E38" s="9" t="e">
        <f t="shared" si="0"/>
        <v>#DIV/0!</v>
      </c>
      <c r="F38" s="9">
        <f t="shared" si="1"/>
        <v>-0.25763000000000003</v>
      </c>
    </row>
    <row r="39" spans="1:7" ht="16.5" hidden="1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1863.5</v>
      </c>
      <c r="D40" s="127">
        <f>D4+D25</f>
        <v>1229.1916900000001</v>
      </c>
      <c r="E40" s="5">
        <f t="shared" si="0"/>
        <v>65.961453716125575</v>
      </c>
      <c r="F40" s="5">
        <f t="shared" si="1"/>
        <v>-634.30830999999989</v>
      </c>
    </row>
    <row r="41" spans="1:7" s="6" customFormat="1">
      <c r="A41" s="3">
        <v>2000000000</v>
      </c>
      <c r="B41" s="4" t="s">
        <v>20</v>
      </c>
      <c r="C41" s="5">
        <f>C42+C43+C44+C45+C46+C48</f>
        <v>2945.2370000000001</v>
      </c>
      <c r="D41" s="5">
        <f>D42+D43+D44+D45+D46+D48+D49</f>
        <v>1631.6086</v>
      </c>
      <c r="E41" s="5">
        <f t="shared" si="0"/>
        <v>55.398210738219035</v>
      </c>
      <c r="F41" s="5">
        <f t="shared" si="1"/>
        <v>-1313.6284000000001</v>
      </c>
      <c r="G41" s="19"/>
    </row>
    <row r="42" spans="1:7">
      <c r="A42" s="16">
        <v>2021000000</v>
      </c>
      <c r="B42" s="17" t="s">
        <v>21</v>
      </c>
      <c r="C42" s="99">
        <f>1342.7+9.163</f>
        <v>1351.8630000000001</v>
      </c>
      <c r="D42" s="20">
        <v>1012.1950000000001</v>
      </c>
      <c r="E42" s="9">
        <f t="shared" si="0"/>
        <v>74.874081175385371</v>
      </c>
      <c r="F42" s="9">
        <f t="shared" si="1"/>
        <v>-339.66800000000001</v>
      </c>
    </row>
    <row r="43" spans="1:7" ht="15.75" customHeight="1">
      <c r="A43" s="16">
        <v>2021500200</v>
      </c>
      <c r="B43" s="17" t="s">
        <v>232</v>
      </c>
      <c r="C43" s="99">
        <v>584</v>
      </c>
      <c r="D43" s="20">
        <v>227</v>
      </c>
      <c r="E43" s="9">
        <f>SUM(D43/C43*100)</f>
        <v>38.869863013698627</v>
      </c>
      <c r="F43" s="9">
        <f>SUM(D43-C43)</f>
        <v>-357</v>
      </c>
    </row>
    <row r="44" spans="1:7">
      <c r="A44" s="16">
        <v>2022000000</v>
      </c>
      <c r="B44" s="17" t="s">
        <v>22</v>
      </c>
      <c r="C44" s="99">
        <v>802.53499999999997</v>
      </c>
      <c r="D44" s="10">
        <v>237.059</v>
      </c>
      <c r="E44" s="9">
        <f t="shared" si="0"/>
        <v>29.538774009856265</v>
      </c>
      <c r="F44" s="9">
        <f t="shared" si="1"/>
        <v>-565.476</v>
      </c>
    </row>
    <row r="45" spans="1:7">
      <c r="A45" s="16">
        <v>2023000000</v>
      </c>
      <c r="B45" s="17" t="s">
        <v>23</v>
      </c>
      <c r="C45" s="12">
        <f>3.359+150.88</f>
        <v>154.239</v>
      </c>
      <c r="D45" s="252">
        <v>125.104</v>
      </c>
      <c r="E45" s="9">
        <f t="shared" si="0"/>
        <v>81.110484378140413</v>
      </c>
      <c r="F45" s="9">
        <f t="shared" si="1"/>
        <v>-29.135000000000005</v>
      </c>
    </row>
    <row r="46" spans="1:7" hidden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47.25" hidden="1">
      <c r="A47" s="16">
        <v>2020900000</v>
      </c>
      <c r="B47" s="18" t="s">
        <v>25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19.5" customHeight="1">
      <c r="A48" s="16">
        <v>2070500010</v>
      </c>
      <c r="B48" s="8" t="s">
        <v>355</v>
      </c>
      <c r="C48" s="12">
        <v>52.6</v>
      </c>
      <c r="D48" s="253">
        <v>52.6</v>
      </c>
      <c r="E48" s="9">
        <f t="shared" si="0"/>
        <v>100</v>
      </c>
      <c r="F48" s="9">
        <f t="shared" si="1"/>
        <v>0</v>
      </c>
    </row>
    <row r="49" spans="1:8" ht="19.5" customHeight="1">
      <c r="A49" s="7">
        <v>2190500005</v>
      </c>
      <c r="B49" s="11" t="s">
        <v>26</v>
      </c>
      <c r="C49" s="12">
        <v>0</v>
      </c>
      <c r="D49" s="253">
        <v>-22.349399999999999</v>
      </c>
      <c r="E49" s="9" t="e">
        <f t="shared" si="0"/>
        <v>#DIV/0!</v>
      </c>
      <c r="F49" s="9">
        <f t="shared" si="1"/>
        <v>-22.349399999999999</v>
      </c>
    </row>
    <row r="50" spans="1:8" s="6" customFormat="1" ht="0.75" hidden="1" customHeight="1">
      <c r="A50" s="3">
        <v>3000000000</v>
      </c>
      <c r="B50" s="13" t="s">
        <v>27</v>
      </c>
      <c r="C50" s="278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28</v>
      </c>
      <c r="C51" s="93">
        <f>C40+C41</f>
        <v>4808.7370000000001</v>
      </c>
      <c r="D51" s="93">
        <f>D40+D41</f>
        <v>2860.8002900000001</v>
      </c>
      <c r="E51" s="93">
        <f t="shared" si="0"/>
        <v>59.491718719489128</v>
      </c>
      <c r="F51" s="93">
        <f t="shared" si="1"/>
        <v>-1947.9367099999999</v>
      </c>
      <c r="G51" s="296"/>
      <c r="H51" s="296"/>
    </row>
    <row r="52" spans="1:8" s="6" customFormat="1">
      <c r="A52" s="3"/>
      <c r="B52" s="21" t="s">
        <v>321</v>
      </c>
      <c r="C52" s="93">
        <f>C51-C98</f>
        <v>-307.03722999999991</v>
      </c>
      <c r="D52" s="93">
        <f>D51-D98</f>
        <v>185.00896999999986</v>
      </c>
      <c r="E52" s="282"/>
      <c r="F52" s="282"/>
    </row>
    <row r="53" spans="1:8">
      <c r="A53" s="23"/>
      <c r="B53" s="24"/>
      <c r="C53" s="251"/>
      <c r="D53" s="251"/>
      <c r="E53" s="26"/>
      <c r="F53" s="27"/>
    </row>
    <row r="54" spans="1:8" ht="45" customHeight="1">
      <c r="A54" s="28" t="s">
        <v>1</v>
      </c>
      <c r="B54" s="28" t="s">
        <v>29</v>
      </c>
      <c r="C54" s="244" t="s">
        <v>346</v>
      </c>
      <c r="D54" s="245" t="s">
        <v>412</v>
      </c>
      <c r="E54" s="72" t="s">
        <v>3</v>
      </c>
      <c r="F54" s="74" t="s">
        <v>4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18" customHeight="1">
      <c r="A56" s="30" t="s">
        <v>30</v>
      </c>
      <c r="B56" s="31" t="s">
        <v>31</v>
      </c>
      <c r="C56" s="32">
        <f>C57+C58+C59+C60+C61+C63+C62</f>
        <v>1122.472</v>
      </c>
      <c r="D56" s="33">
        <f>D57+D58+D59+D60+D61+D63+D62</f>
        <v>643.11628999999994</v>
      </c>
      <c r="E56" s="34">
        <f>SUM(D56/C56*100)</f>
        <v>57.294639866295107</v>
      </c>
      <c r="F56" s="34">
        <f>SUM(D56-C56)</f>
        <v>-479.35571000000004</v>
      </c>
    </row>
    <row r="57" spans="1:8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8" ht="18.75" customHeight="1">
      <c r="A58" s="35" t="s">
        <v>34</v>
      </c>
      <c r="B58" s="39" t="s">
        <v>35</v>
      </c>
      <c r="C58" s="37">
        <v>1096.463</v>
      </c>
      <c r="D58" s="37">
        <v>639.62028999999995</v>
      </c>
      <c r="E58" s="38">
        <f t="shared" ref="E58:E98" si="3">SUM(D58/C58*100)</f>
        <v>58.334872220950452</v>
      </c>
      <c r="F58" s="38">
        <f t="shared" ref="F58:F98" si="4">SUM(D58-C58)</f>
        <v>-456.84271000000001</v>
      </c>
    </row>
    <row r="59" spans="1:8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40</v>
      </c>
      <c r="B61" s="39" t="s">
        <v>41</v>
      </c>
      <c r="C61" s="37">
        <v>16.561</v>
      </c>
      <c r="D61" s="37">
        <v>0</v>
      </c>
      <c r="E61" s="38">
        <f t="shared" si="3"/>
        <v>0</v>
      </c>
      <c r="F61" s="38">
        <f t="shared" si="4"/>
        <v>-16.561</v>
      </c>
    </row>
    <row r="62" spans="1:8" ht="18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5.75" customHeight="1">
      <c r="A63" s="35" t="s">
        <v>44</v>
      </c>
      <c r="B63" s="39" t="s">
        <v>45</v>
      </c>
      <c r="C63" s="37">
        <v>4.4480000000000004</v>
      </c>
      <c r="D63" s="37">
        <v>3.496</v>
      </c>
      <c r="E63" s="38">
        <f t="shared" si="3"/>
        <v>78.597122302158269</v>
      </c>
      <c r="F63" s="38">
        <f t="shared" si="4"/>
        <v>-0.9520000000000004</v>
      </c>
    </row>
    <row r="64" spans="1:8" s="6" customFormat="1">
      <c r="A64" s="41" t="s">
        <v>46</v>
      </c>
      <c r="B64" s="42" t="s">
        <v>47</v>
      </c>
      <c r="C64" s="32">
        <f>C65</f>
        <v>150.88</v>
      </c>
      <c r="D64" s="32">
        <f>D65</f>
        <v>96.332329999999999</v>
      </c>
      <c r="E64" s="34">
        <f t="shared" si="3"/>
        <v>63.846984358430547</v>
      </c>
      <c r="F64" s="34">
        <f t="shared" si="4"/>
        <v>-54.547669999999997</v>
      </c>
    </row>
    <row r="65" spans="1:7">
      <c r="A65" s="43" t="s">
        <v>48</v>
      </c>
      <c r="B65" s="44" t="s">
        <v>49</v>
      </c>
      <c r="C65" s="37">
        <v>150.88</v>
      </c>
      <c r="D65" s="37">
        <v>96.332329999999999</v>
      </c>
      <c r="E65" s="38">
        <f t="shared" si="3"/>
        <v>63.846984358430547</v>
      </c>
      <c r="F65" s="38">
        <f t="shared" si="4"/>
        <v>-54.547669999999997</v>
      </c>
    </row>
    <row r="66" spans="1:7" s="6" customFormat="1" ht="15" customHeight="1">
      <c r="A66" s="30" t="s">
        <v>50</v>
      </c>
      <c r="B66" s="31" t="s">
        <v>51</v>
      </c>
      <c r="C66" s="32">
        <f>C69+C70</f>
        <v>7</v>
      </c>
      <c r="D66" s="32">
        <f>SUM(D67:D69)</f>
        <v>0</v>
      </c>
      <c r="E66" s="34">
        <f t="shared" si="3"/>
        <v>0</v>
      </c>
      <c r="F66" s="34">
        <f t="shared" si="4"/>
        <v>-7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2</v>
      </c>
      <c r="D69" s="37">
        <v>0</v>
      </c>
      <c r="E69" s="34">
        <f t="shared" si="3"/>
        <v>0</v>
      </c>
      <c r="F69" s="34">
        <f t="shared" si="4"/>
        <v>-2</v>
      </c>
    </row>
    <row r="70" spans="1:7" ht="15.75" customHeight="1">
      <c r="A70" s="46" t="s">
        <v>219</v>
      </c>
      <c r="B70" s="47" t="s">
        <v>220</v>
      </c>
      <c r="C70" s="37">
        <v>5</v>
      </c>
      <c r="D70" s="37">
        <v>0</v>
      </c>
      <c r="E70" s="34">
        <f t="shared" si="3"/>
        <v>0</v>
      </c>
      <c r="F70" s="34">
        <f t="shared" si="4"/>
        <v>-5</v>
      </c>
    </row>
    <row r="71" spans="1:7" s="6" customFormat="1" ht="18.75" customHeight="1">
      <c r="A71" s="30" t="s">
        <v>58</v>
      </c>
      <c r="B71" s="31" t="s">
        <v>59</v>
      </c>
      <c r="C71" s="48">
        <f>SUM(C72:C76)</f>
        <v>2259.2312300000003</v>
      </c>
      <c r="D71" s="48">
        <f>SUM(D72:D76)</f>
        <v>927.38732000000005</v>
      </c>
      <c r="E71" s="34">
        <f t="shared" si="3"/>
        <v>41.048800480683859</v>
      </c>
      <c r="F71" s="34">
        <f t="shared" si="4"/>
        <v>-1331.8439100000003</v>
      </c>
    </row>
    <row r="72" spans="1:7" ht="15" customHeight="1">
      <c r="A72" s="35" t="s">
        <v>60</v>
      </c>
      <c r="B72" s="39" t="s">
        <v>61</v>
      </c>
      <c r="C72" s="49">
        <v>9.7089999999999996</v>
      </c>
      <c r="D72" s="37">
        <v>0</v>
      </c>
      <c r="E72" s="38">
        <f t="shared" si="3"/>
        <v>0</v>
      </c>
      <c r="F72" s="38">
        <f t="shared" si="4"/>
        <v>-9.7089999999999996</v>
      </c>
    </row>
    <row r="73" spans="1:7" s="6" customFormat="1" ht="17.25" customHeight="1">
      <c r="A73" s="35" t="s">
        <v>62</v>
      </c>
      <c r="B73" s="39" t="s">
        <v>63</v>
      </c>
      <c r="C73" s="49">
        <v>243.59100000000001</v>
      </c>
      <c r="D73" s="37">
        <v>218.94194999999999</v>
      </c>
      <c r="E73" s="38">
        <f t="shared" si="3"/>
        <v>89.880968508688738</v>
      </c>
      <c r="F73" s="38">
        <f t="shared" si="4"/>
        <v>-24.649050000000017</v>
      </c>
      <c r="G73" s="50"/>
    </row>
    <row r="74" spans="1:7" s="6" customFormat="1" ht="15" hidden="1" customHeight="1">
      <c r="A74" s="35" t="s">
        <v>62</v>
      </c>
      <c r="B74" s="39" t="s">
        <v>63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64</v>
      </c>
      <c r="B75" s="39" t="s">
        <v>65</v>
      </c>
      <c r="C75" s="49">
        <v>1814.52223</v>
      </c>
      <c r="D75" s="37">
        <v>639.69236999999998</v>
      </c>
      <c r="E75" s="38">
        <f t="shared" si="3"/>
        <v>35.254038744953817</v>
      </c>
      <c r="F75" s="38">
        <f t="shared" si="4"/>
        <v>-1174.8298600000001</v>
      </c>
    </row>
    <row r="76" spans="1:7">
      <c r="A76" s="35" t="s">
        <v>66</v>
      </c>
      <c r="B76" s="39" t="s">
        <v>67</v>
      </c>
      <c r="C76" s="49">
        <v>191.40899999999999</v>
      </c>
      <c r="D76" s="37">
        <v>68.753</v>
      </c>
      <c r="E76" s="38">
        <f t="shared" si="3"/>
        <v>35.919418627128294</v>
      </c>
      <c r="F76" s="38">
        <f t="shared" si="4"/>
        <v>-122.65599999999999</v>
      </c>
    </row>
    <row r="77" spans="1:7" s="6" customFormat="1" ht="17.25" customHeight="1">
      <c r="A77" s="30" t="s">
        <v>68</v>
      </c>
      <c r="B77" s="31" t="s">
        <v>69</v>
      </c>
      <c r="C77" s="32">
        <f>SUM(C78:C80)</f>
        <v>344.59100000000001</v>
      </c>
      <c r="D77" s="32">
        <f>SUM(D78:D80)</f>
        <v>207.49538000000001</v>
      </c>
      <c r="E77" s="34">
        <f t="shared" si="3"/>
        <v>60.214973693451078</v>
      </c>
      <c r="F77" s="34">
        <f t="shared" si="4"/>
        <v>-137.09562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idden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v>344.59100000000001</v>
      </c>
      <c r="D80" s="37">
        <v>207.49538000000001</v>
      </c>
      <c r="E80" s="38">
        <f t="shared" si="3"/>
        <v>60.214973693451078</v>
      </c>
      <c r="F80" s="38">
        <f t="shared" si="4"/>
        <v>-137.09562</v>
      </c>
    </row>
    <row r="81" spans="1:6" s="6" customFormat="1">
      <c r="A81" s="30" t="s">
        <v>86</v>
      </c>
      <c r="B81" s="31" t="s">
        <v>87</v>
      </c>
      <c r="C81" s="32">
        <f>C82</f>
        <v>1221.5999999999999</v>
      </c>
      <c r="D81" s="32">
        <f>D82</f>
        <v>791.46</v>
      </c>
      <c r="E81" s="34">
        <f t="shared" si="3"/>
        <v>64.788801571709243</v>
      </c>
      <c r="F81" s="34">
        <f t="shared" si="4"/>
        <v>-430.13999999999987</v>
      </c>
    </row>
    <row r="82" spans="1:6" ht="15.75" customHeight="1">
      <c r="A82" s="35" t="s">
        <v>88</v>
      </c>
      <c r="B82" s="39" t="s">
        <v>234</v>
      </c>
      <c r="C82" s="37">
        <v>1221.5999999999999</v>
      </c>
      <c r="D82" s="37">
        <v>791.46</v>
      </c>
      <c r="E82" s="38">
        <f t="shared" si="3"/>
        <v>64.788801571709243</v>
      </c>
      <c r="F82" s="38">
        <f t="shared" si="4"/>
        <v>-430.13999999999987</v>
      </c>
    </row>
    <row r="83" spans="1:6" s="6" customFormat="1" ht="0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6.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.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9.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6.5" hidden="1" customHeight="1">
      <c r="A88" s="30" t="s">
        <v>95</v>
      </c>
      <c r="B88" s="31" t="s">
        <v>96</v>
      </c>
      <c r="C88" s="32">
        <f>C89+C90+C91+C92+C93</f>
        <v>0</v>
      </c>
      <c r="D88" s="32">
        <f>D89+D90+D91+D92+D93</f>
        <v>0</v>
      </c>
      <c r="E88" s="38" t="e">
        <f t="shared" si="3"/>
        <v>#DIV/0!</v>
      </c>
      <c r="F88" s="22">
        <f>F89+F90+F91+F92+F93</f>
        <v>0</v>
      </c>
    </row>
    <row r="89" spans="1:6" ht="13.5" hidden="1" customHeight="1">
      <c r="A89" s="35" t="s">
        <v>97</v>
      </c>
      <c r="B89" s="39" t="s">
        <v>98</v>
      </c>
      <c r="C89" s="37">
        <v>0</v>
      </c>
      <c r="D89" s="37">
        <v>0</v>
      </c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5" hidden="1" customHeight="1">
      <c r="A94" s="52">
        <v>1400</v>
      </c>
      <c r="B94" s="56" t="s">
        <v>115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95</v>
      </c>
      <c r="B96" s="31" t="s">
        <v>96</v>
      </c>
      <c r="C96" s="48">
        <f>C97</f>
        <v>10</v>
      </c>
      <c r="D96" s="32">
        <f>D97</f>
        <v>10</v>
      </c>
      <c r="E96" s="34">
        <f t="shared" si="3"/>
        <v>100</v>
      </c>
      <c r="F96" s="34">
        <f t="shared" si="4"/>
        <v>0</v>
      </c>
    </row>
    <row r="97" spans="1:6" ht="18" customHeight="1">
      <c r="A97" s="35" t="s">
        <v>97</v>
      </c>
      <c r="B97" s="39" t="s">
        <v>98</v>
      </c>
      <c r="C97" s="49">
        <v>10</v>
      </c>
      <c r="D97" s="37">
        <v>10</v>
      </c>
      <c r="E97" s="38">
        <f t="shared" si="3"/>
        <v>100</v>
      </c>
      <c r="F97" s="38">
        <f t="shared" si="4"/>
        <v>0</v>
      </c>
    </row>
    <row r="98" spans="1:6" s="6" customFormat="1">
      <c r="A98" s="52"/>
      <c r="B98" s="57" t="s">
        <v>119</v>
      </c>
      <c r="C98" s="442">
        <f>C56+C64+C66+C71+C77+C81+C96</f>
        <v>5115.77423</v>
      </c>
      <c r="D98" s="442">
        <f>D56+D64+D66+D71+D77+D81+D88+D83+D94+D96</f>
        <v>2675.7913200000003</v>
      </c>
      <c r="E98" s="34">
        <f t="shared" si="3"/>
        <v>52.304718693576916</v>
      </c>
      <c r="F98" s="34">
        <f t="shared" si="4"/>
        <v>-2439.9829099999997</v>
      </c>
    </row>
    <row r="99" spans="1:6" ht="16.5" customHeight="1">
      <c r="C99" s="126"/>
      <c r="D99" s="101"/>
    </row>
    <row r="100" spans="1:6" s="65" customFormat="1" ht="20.25" customHeight="1">
      <c r="A100" s="63" t="s">
        <v>120</v>
      </c>
      <c r="B100" s="63"/>
      <c r="C100" s="116"/>
      <c r="D100" s="64" t="s">
        <v>275</v>
      </c>
    </row>
    <row r="101" spans="1:6" s="65" customFormat="1" ht="13.5" customHeight="1">
      <c r="A101" s="66" t="s">
        <v>121</v>
      </c>
      <c r="B101" s="66"/>
      <c r="C101" s="65" t="s">
        <v>122</v>
      </c>
    </row>
    <row r="103" spans="1:6" ht="5.25" customHeight="1"/>
    <row r="142" hidden="1"/>
  </sheetData>
  <customSheetViews>
    <customSheetView guid="{A54C432C-6C68-4B53-A75C-446EB3A61B2B}" scale="70" showPageBreaks="1" printArea="1" hiddenRows="1" view="pageBreakPreview" topLeftCell="A28">
      <selection activeCell="C51" activeCellId="1" sqref="C98:D98 C51:D52"/>
      <pageMargins left="0.70866141732283472" right="0.70866141732283472" top="0.74803149606299213" bottom="0.74803149606299213" header="0.31496062992125984" footer="0.31496062992125984"/>
      <pageSetup paperSize="9" scale="64" orientation="portrait" r:id="rId1"/>
    </customSheetView>
    <customSheetView guid="{B30CE22D-C12F-4E12-8BB9-3AAE0A6991CC}" scale="70" showPageBreaks="1" printArea="1" hiddenRows="1" view="pageBreakPreview">
      <selection activeCell="A3" sqref="A3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5BFCA170-DEAE-4D2C-98A0-1E68B427AC01}" showPageBreaks="1" printArea="1" hiddenRows="1" topLeftCell="A41">
      <selection activeCell="B100" sqref="B100"/>
      <pageMargins left="0.7" right="0.7" top="0.75" bottom="0.75" header="0.3" footer="0.3"/>
      <pageSetup paperSize="9" scale="48" orientation="portrait" r:id="rId3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4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4" orientation="portrait" r:id="rId6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141"/>
  <sheetViews>
    <sheetView view="pageBreakPreview" topLeftCell="A52" zoomScale="70" zoomScaleNormal="100" zoomScaleSheetLayoutView="70" workbookViewId="0">
      <selection activeCell="C95" activeCellId="1" sqref="C49:D50 C95:D95"/>
    </sheetView>
  </sheetViews>
  <sheetFormatPr defaultRowHeight="15.75"/>
  <cols>
    <col min="1" max="1" width="14.7109375" style="58" customWidth="1"/>
    <col min="2" max="2" width="57.5703125" style="59" customWidth="1"/>
    <col min="3" max="3" width="15.5703125" style="62" customWidth="1"/>
    <col min="4" max="4" width="16" style="62" customWidth="1"/>
    <col min="5" max="5" width="10.28515625" style="62" customWidth="1"/>
    <col min="6" max="6" width="9.42578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36" t="s">
        <v>427</v>
      </c>
      <c r="B1" s="436"/>
      <c r="C1" s="436"/>
      <c r="D1" s="436"/>
      <c r="E1" s="436"/>
      <c r="F1" s="436"/>
    </row>
    <row r="2" spans="1:6">
      <c r="A2" s="436"/>
      <c r="B2" s="436"/>
      <c r="C2" s="436"/>
      <c r="D2" s="436"/>
      <c r="E2" s="436"/>
      <c r="F2" s="43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934.7</v>
      </c>
      <c r="D4" s="5">
        <f>D5+D12+D14+D17+D7</f>
        <v>455.07691</v>
      </c>
      <c r="E4" s="5">
        <f>SUM(D4/C4*100)</f>
        <v>48.686948753610778</v>
      </c>
      <c r="F4" s="5">
        <f>SUM(D4-C4)</f>
        <v>-479.62309000000005</v>
      </c>
    </row>
    <row r="5" spans="1:6" s="6" customFormat="1">
      <c r="A5" s="68">
        <v>1010000000</v>
      </c>
      <c r="B5" s="67" t="s">
        <v>6</v>
      </c>
      <c r="C5" s="5">
        <f>C6</f>
        <v>85.8</v>
      </c>
      <c r="D5" s="5">
        <f>D6</f>
        <v>47.846409999999999</v>
      </c>
      <c r="E5" s="5">
        <f t="shared" ref="E5:E49" si="0">SUM(D5/C5*100)</f>
        <v>55.765046620046618</v>
      </c>
      <c r="F5" s="5">
        <f t="shared" ref="F5:F49" si="1">SUM(D5-C5)</f>
        <v>-37.953589999999998</v>
      </c>
    </row>
    <row r="6" spans="1:6">
      <c r="A6" s="7">
        <v>1010200001</v>
      </c>
      <c r="B6" s="8" t="s">
        <v>229</v>
      </c>
      <c r="C6" s="9">
        <v>85.8</v>
      </c>
      <c r="D6" s="10">
        <v>47.846409999999999</v>
      </c>
      <c r="E6" s="9">
        <f t="shared" ref="E6:E11" si="2">SUM(D6/C6*100)</f>
        <v>55.765046620046618</v>
      </c>
      <c r="F6" s="9">
        <f t="shared" si="1"/>
        <v>-37.953589999999998</v>
      </c>
    </row>
    <row r="7" spans="1:6" ht="31.5">
      <c r="A7" s="3">
        <v>1030000000</v>
      </c>
      <c r="B7" s="13" t="s">
        <v>281</v>
      </c>
      <c r="C7" s="5">
        <f>C8+C10+C9</f>
        <v>330.90000000000003</v>
      </c>
      <c r="D7" s="5">
        <f>D8+D10+D9+D11</f>
        <v>223.71399</v>
      </c>
      <c r="E7" s="5">
        <f t="shared" si="2"/>
        <v>67.607733454215762</v>
      </c>
      <c r="F7" s="5">
        <f t="shared" si="1"/>
        <v>-107.18601000000004</v>
      </c>
    </row>
    <row r="8" spans="1:6">
      <c r="A8" s="7">
        <v>1030223001</v>
      </c>
      <c r="B8" s="8" t="s">
        <v>283</v>
      </c>
      <c r="C8" s="9">
        <v>123.43</v>
      </c>
      <c r="D8" s="10">
        <v>97.631410000000002</v>
      </c>
      <c r="E8" s="9">
        <f t="shared" si="2"/>
        <v>79.098606497609978</v>
      </c>
      <c r="F8" s="9">
        <f t="shared" si="1"/>
        <v>-25.798590000000004</v>
      </c>
    </row>
    <row r="9" spans="1:6">
      <c r="A9" s="7">
        <v>1030224001</v>
      </c>
      <c r="B9" s="8" t="s">
        <v>289</v>
      </c>
      <c r="C9" s="9">
        <v>1.32</v>
      </c>
      <c r="D9" s="10">
        <v>0.83648</v>
      </c>
      <c r="E9" s="9">
        <f t="shared" si="2"/>
        <v>63.369696969696967</v>
      </c>
      <c r="F9" s="9">
        <f t="shared" si="1"/>
        <v>-0.48352000000000006</v>
      </c>
    </row>
    <row r="10" spans="1:6">
      <c r="A10" s="7">
        <v>1030225001</v>
      </c>
      <c r="B10" s="8" t="s">
        <v>282</v>
      </c>
      <c r="C10" s="9">
        <v>206.15</v>
      </c>
      <c r="D10" s="10">
        <v>148.00711999999999</v>
      </c>
      <c r="E10" s="9">
        <f t="shared" si="2"/>
        <v>71.795837982051893</v>
      </c>
      <c r="F10" s="9">
        <f t="shared" si="1"/>
        <v>-58.142880000000019</v>
      </c>
    </row>
    <row r="11" spans="1:6">
      <c r="A11" s="7">
        <v>1030226001</v>
      </c>
      <c r="B11" s="8" t="s">
        <v>291</v>
      </c>
      <c r="C11" s="9">
        <v>0</v>
      </c>
      <c r="D11" s="10">
        <v>-22.761019999999998</v>
      </c>
      <c r="E11" s="9" t="e">
        <f t="shared" si="2"/>
        <v>#DIV/0!</v>
      </c>
      <c r="F11" s="9">
        <f t="shared" si="1"/>
        <v>-22.761019999999998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2.532</v>
      </c>
      <c r="E12" s="5">
        <f t="shared" si="0"/>
        <v>25.319999999999997</v>
      </c>
      <c r="F12" s="5">
        <f t="shared" si="1"/>
        <v>-7.468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2.532</v>
      </c>
      <c r="E13" s="9">
        <f t="shared" si="0"/>
        <v>25.319999999999997</v>
      </c>
      <c r="F13" s="9">
        <f t="shared" si="1"/>
        <v>-7.468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500</v>
      </c>
      <c r="D14" s="5">
        <f>D15+D16</f>
        <v>161.18451000000002</v>
      </c>
      <c r="E14" s="5">
        <f t="shared" si="0"/>
        <v>32.236902000000008</v>
      </c>
      <c r="F14" s="5">
        <f t="shared" si="1"/>
        <v>-338.81548999999995</v>
      </c>
    </row>
    <row r="15" spans="1:6" s="6" customFormat="1" ht="15.75" customHeight="1">
      <c r="A15" s="7">
        <v>1060100000</v>
      </c>
      <c r="B15" s="11" t="s">
        <v>9</v>
      </c>
      <c r="C15" s="9">
        <v>110</v>
      </c>
      <c r="D15" s="10">
        <v>10.967599999999999</v>
      </c>
      <c r="E15" s="9">
        <f t="shared" si="0"/>
        <v>9.970545454545455</v>
      </c>
      <c r="F15" s="9">
        <f>SUM(D15-C15)</f>
        <v>-99.032399999999996</v>
      </c>
    </row>
    <row r="16" spans="1:6" ht="15.75" customHeight="1">
      <c r="A16" s="7">
        <v>1060600000</v>
      </c>
      <c r="B16" s="11" t="s">
        <v>8</v>
      </c>
      <c r="C16" s="9">
        <v>390</v>
      </c>
      <c r="D16" s="10">
        <v>150.21691000000001</v>
      </c>
      <c r="E16" s="9">
        <f t="shared" si="0"/>
        <v>38.517156410256412</v>
      </c>
      <c r="F16" s="9">
        <f t="shared" si="1"/>
        <v>-239.78308999999999</v>
      </c>
    </row>
    <row r="17" spans="1:6" s="6" customFormat="1">
      <c r="A17" s="3">
        <v>1080000000</v>
      </c>
      <c r="B17" s="4" t="s">
        <v>11</v>
      </c>
      <c r="C17" s="5">
        <f>C18</f>
        <v>8</v>
      </c>
      <c r="D17" s="5">
        <f>D18</f>
        <v>19.8</v>
      </c>
      <c r="E17" s="5">
        <f t="shared" si="0"/>
        <v>247.5</v>
      </c>
      <c r="F17" s="5">
        <f t="shared" si="1"/>
        <v>11.8</v>
      </c>
    </row>
    <row r="18" spans="1:6" ht="18" customHeight="1">
      <c r="A18" s="7">
        <v>1080400001</v>
      </c>
      <c r="B18" s="8" t="s">
        <v>228</v>
      </c>
      <c r="C18" s="9">
        <v>8</v>
      </c>
      <c r="D18" s="10">
        <v>19.8</v>
      </c>
      <c r="E18" s="9">
        <f t="shared" si="0"/>
        <v>247.5</v>
      </c>
      <c r="F18" s="9">
        <f t="shared" si="1"/>
        <v>11.8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7.7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3.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33</v>
      </c>
      <c r="D25" s="5">
        <f>D27+D29</f>
        <v>5.0369000000000002</v>
      </c>
      <c r="E25" s="5">
        <f t="shared" si="0"/>
        <v>15.263333333333334</v>
      </c>
      <c r="F25" s="5">
        <f t="shared" si="1"/>
        <v>-27.963100000000001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33</v>
      </c>
      <c r="D26" s="5">
        <f>D27</f>
        <v>5.0369000000000002</v>
      </c>
      <c r="E26" s="5">
        <f t="shared" si="0"/>
        <v>15.263333333333334</v>
      </c>
      <c r="F26" s="5">
        <f t="shared" si="1"/>
        <v>-27.963100000000001</v>
      </c>
    </row>
    <row r="27" spans="1:6" ht="18" customHeight="1">
      <c r="A27" s="16">
        <v>1110502510</v>
      </c>
      <c r="B27" s="17" t="s">
        <v>226</v>
      </c>
      <c r="C27" s="12">
        <v>33</v>
      </c>
      <c r="D27" s="10">
        <v>5.0369000000000002</v>
      </c>
      <c r="E27" s="9">
        <f t="shared" si="0"/>
        <v>15.263333333333334</v>
      </c>
      <c r="F27" s="9">
        <f t="shared" si="1"/>
        <v>-27.963100000000001</v>
      </c>
    </row>
    <row r="28" spans="1:6" ht="0.75" hidden="1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 hidden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idden="1">
      <c r="A30" s="7">
        <v>1130305005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6.5" hidden="1" customHeight="1">
      <c r="A31" s="70">
        <v>1140000000</v>
      </c>
      <c r="B31" s="71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7.5" hidden="1" customHeight="1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t="15.75" hidden="1" customHeight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22.5" hidden="1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8.75" customHeight="1">
      <c r="A37" s="3">
        <v>1000000000</v>
      </c>
      <c r="B37" s="4" t="s">
        <v>19</v>
      </c>
      <c r="C37" s="127">
        <f>SUM(C4,C25)</f>
        <v>967.7</v>
      </c>
      <c r="D37" s="127">
        <f>D4+D25</f>
        <v>460.11381</v>
      </c>
      <c r="E37" s="5">
        <f t="shared" si="0"/>
        <v>47.547154076676655</v>
      </c>
      <c r="F37" s="5">
        <f t="shared" si="1"/>
        <v>-507.58619000000004</v>
      </c>
    </row>
    <row r="38" spans="1:7" s="6" customFormat="1">
      <c r="A38" s="3">
        <v>2000000000</v>
      </c>
      <c r="B38" s="4" t="s">
        <v>20</v>
      </c>
      <c r="C38" s="5">
        <f>C39+C41+C42+C43+C44+C45</f>
        <v>2633.8540000000003</v>
      </c>
      <c r="D38" s="438">
        <f>D39+D41+D42+D43+D45</f>
        <v>1717.297</v>
      </c>
      <c r="E38" s="5">
        <f t="shared" si="0"/>
        <v>65.200918501936698</v>
      </c>
      <c r="F38" s="5">
        <f t="shared" si="1"/>
        <v>-916.55700000000024</v>
      </c>
      <c r="G38" s="19"/>
    </row>
    <row r="39" spans="1:7" ht="14.25" customHeight="1">
      <c r="A39" s="16">
        <v>2021000000</v>
      </c>
      <c r="B39" s="17" t="s">
        <v>21</v>
      </c>
      <c r="C39" s="99">
        <f>1221.5+37.496</f>
        <v>1258.9960000000001</v>
      </c>
      <c r="D39" s="20">
        <v>920.82899999999995</v>
      </c>
      <c r="E39" s="9">
        <f t="shared" si="0"/>
        <v>73.139946433507333</v>
      </c>
      <c r="F39" s="9">
        <f t="shared" si="1"/>
        <v>-338.16700000000014</v>
      </c>
    </row>
    <row r="40" spans="1:7" ht="15.75" hidden="1" customHeight="1">
      <c r="A40" s="16">
        <v>2020100310</v>
      </c>
      <c r="B40" s="17" t="s">
        <v>232</v>
      </c>
      <c r="C40" s="99"/>
      <c r="D40" s="20">
        <v>0</v>
      </c>
      <c r="E40" s="9" t="e">
        <f t="shared" si="0"/>
        <v>#DIV/0!</v>
      </c>
      <c r="F40" s="9">
        <f t="shared" si="1"/>
        <v>0</v>
      </c>
    </row>
    <row r="41" spans="1:7" ht="15.75" customHeight="1">
      <c r="A41" s="16">
        <v>2021500200</v>
      </c>
      <c r="B41" s="17" t="s">
        <v>232</v>
      </c>
      <c r="C41" s="99">
        <v>730</v>
      </c>
      <c r="D41" s="20">
        <v>215</v>
      </c>
      <c r="E41" s="9">
        <f t="shared" si="0"/>
        <v>29.452054794520549</v>
      </c>
      <c r="F41" s="9">
        <f t="shared" si="1"/>
        <v>-515</v>
      </c>
    </row>
    <row r="42" spans="1:7">
      <c r="A42" s="16">
        <v>2022000000</v>
      </c>
      <c r="B42" s="17" t="s">
        <v>22</v>
      </c>
      <c r="C42" s="99">
        <v>480.904</v>
      </c>
      <c r="D42" s="10">
        <v>435.16199999999998</v>
      </c>
      <c r="E42" s="9"/>
      <c r="F42" s="9">
        <f t="shared" si="1"/>
        <v>-45.742000000000019</v>
      </c>
    </row>
    <row r="43" spans="1:7">
      <c r="A43" s="16">
        <v>2023000000</v>
      </c>
      <c r="B43" s="17" t="s">
        <v>23</v>
      </c>
      <c r="C43" s="12">
        <v>73.953999999999994</v>
      </c>
      <c r="D43" s="252">
        <v>59.305999999999997</v>
      </c>
      <c r="E43" s="9">
        <f t="shared" si="0"/>
        <v>80.193093003759103</v>
      </c>
      <c r="F43" s="9">
        <f t="shared" si="1"/>
        <v>-14.647999999999996</v>
      </c>
    </row>
    <row r="44" spans="1:7" ht="0.75" hidden="1" customHeight="1">
      <c r="A44" s="16">
        <v>2020400000</v>
      </c>
      <c r="B44" s="17" t="s">
        <v>24</v>
      </c>
      <c r="C44" s="12"/>
      <c r="D44" s="253"/>
      <c r="E44" s="9" t="e">
        <f t="shared" si="0"/>
        <v>#DIV/0!</v>
      </c>
      <c r="F44" s="9">
        <f t="shared" si="1"/>
        <v>0</v>
      </c>
    </row>
    <row r="45" spans="1:7">
      <c r="A45" s="16">
        <v>2070500010</v>
      </c>
      <c r="B45" s="8" t="s">
        <v>355</v>
      </c>
      <c r="C45" s="12">
        <v>90</v>
      </c>
      <c r="D45" s="253">
        <v>87</v>
      </c>
      <c r="E45" s="9">
        <f t="shared" si="0"/>
        <v>96.666666666666671</v>
      </c>
      <c r="F45" s="9">
        <f t="shared" si="1"/>
        <v>-3</v>
      </c>
    </row>
    <row r="46" spans="1:7" hidden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7" s="6" customFormat="1" ht="31.5" hidden="1">
      <c r="A47" s="3">
        <v>3000000000</v>
      </c>
      <c r="B47" s="13" t="s">
        <v>27</v>
      </c>
      <c r="C47" s="278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 hidden="1">
      <c r="A48" s="3">
        <v>2190500010</v>
      </c>
      <c r="B48" s="13" t="s">
        <v>326</v>
      </c>
      <c r="C48" s="278">
        <v>0</v>
      </c>
      <c r="D48" s="14">
        <v>0</v>
      </c>
      <c r="E48" s="5"/>
      <c r="F48" s="5"/>
    </row>
    <row r="49" spans="1:8" s="6" customFormat="1" ht="16.5" customHeight="1">
      <c r="A49" s="3"/>
      <c r="B49" s="4" t="s">
        <v>28</v>
      </c>
      <c r="C49" s="281">
        <f>C37+C38</f>
        <v>3601.5540000000001</v>
      </c>
      <c r="D49" s="281">
        <f>D37+D38</f>
        <v>2177.4108099999999</v>
      </c>
      <c r="E49" s="5">
        <f t="shared" si="0"/>
        <v>60.457536108024478</v>
      </c>
      <c r="F49" s="5">
        <f t="shared" si="1"/>
        <v>-1424.1431900000002</v>
      </c>
      <c r="G49" s="296"/>
      <c r="H49" s="440"/>
    </row>
    <row r="50" spans="1:8" s="6" customFormat="1" ht="15.75" customHeight="1">
      <c r="A50" s="3"/>
      <c r="B50" s="21" t="s">
        <v>321</v>
      </c>
      <c r="C50" s="281">
        <f>C49-C95</f>
        <v>16.760440000000017</v>
      </c>
      <c r="D50" s="281">
        <f>D49-D95</f>
        <v>88.294690000000173</v>
      </c>
      <c r="E50" s="22"/>
      <c r="F50" s="22"/>
    </row>
    <row r="51" spans="1:8">
      <c r="A51" s="23"/>
      <c r="B51" s="24"/>
      <c r="C51" s="115"/>
      <c r="D51" s="25"/>
      <c r="E51" s="26"/>
      <c r="F51" s="27"/>
    </row>
    <row r="52" spans="1:8" ht="32.25" customHeight="1">
      <c r="A52" s="28" t="s">
        <v>1</v>
      </c>
      <c r="B52" s="28" t="s">
        <v>29</v>
      </c>
      <c r="C52" s="249" t="s">
        <v>346</v>
      </c>
      <c r="D52" s="73" t="s">
        <v>412</v>
      </c>
      <c r="E52" s="72" t="s">
        <v>3</v>
      </c>
      <c r="F52" s="74" t="s">
        <v>4</v>
      </c>
    </row>
    <row r="53" spans="1:8">
      <c r="A53" s="29">
        <v>1</v>
      </c>
      <c r="B53" s="28">
        <v>2</v>
      </c>
      <c r="C53" s="87">
        <v>3</v>
      </c>
      <c r="D53" s="87">
        <v>4</v>
      </c>
      <c r="E53" s="87">
        <v>5</v>
      </c>
      <c r="F53" s="87">
        <v>6</v>
      </c>
    </row>
    <row r="54" spans="1:8" s="6" customFormat="1" ht="16.5" customHeight="1">
      <c r="A54" s="30" t="s">
        <v>30</v>
      </c>
      <c r="B54" s="31" t="s">
        <v>31</v>
      </c>
      <c r="C54" s="32">
        <f>C55+C56+C57+C58+C59+C61+C60</f>
        <v>1135.8050000000001</v>
      </c>
      <c r="D54" s="33">
        <f>D56+D61</f>
        <v>578.95999999999992</v>
      </c>
      <c r="E54" s="34">
        <f>SUM(D54/C54*100)</f>
        <v>50.973538591571611</v>
      </c>
      <c r="F54" s="34">
        <f>SUM(D54-C54)</f>
        <v>-556.84500000000014</v>
      </c>
    </row>
    <row r="55" spans="1:8" s="6" customFormat="1" ht="17.25" hidden="1" customHeight="1">
      <c r="A55" s="35" t="s">
        <v>32</v>
      </c>
      <c r="B55" s="36" t="s">
        <v>33</v>
      </c>
      <c r="C55" s="37"/>
      <c r="D55" s="37"/>
      <c r="E55" s="38"/>
      <c r="F55" s="38"/>
    </row>
    <row r="56" spans="1:8" ht="20.25" customHeight="1">
      <c r="A56" s="35" t="s">
        <v>34</v>
      </c>
      <c r="B56" s="39" t="s">
        <v>35</v>
      </c>
      <c r="C56" s="37">
        <v>1128.096</v>
      </c>
      <c r="D56" s="37">
        <v>576.25149999999996</v>
      </c>
      <c r="E56" s="38">
        <f>SUM(D56/C56*100)</f>
        <v>51.081778501120468</v>
      </c>
      <c r="F56" s="38">
        <f t="shared" ref="F56:F95" si="3">SUM(D56-C56)</f>
        <v>-551.84450000000004</v>
      </c>
    </row>
    <row r="57" spans="1:8" ht="0.75" hidden="1" customHeight="1">
      <c r="A57" s="35" t="s">
        <v>36</v>
      </c>
      <c r="B57" s="39" t="s">
        <v>37</v>
      </c>
      <c r="C57" s="37"/>
      <c r="D57" s="37"/>
      <c r="E57" s="38"/>
      <c r="F57" s="38">
        <f t="shared" si="3"/>
        <v>0</v>
      </c>
    </row>
    <row r="58" spans="1:8" ht="17.25" hidden="1" customHeight="1">
      <c r="A58" s="35" t="s">
        <v>38</v>
      </c>
      <c r="B58" s="39" t="s">
        <v>39</v>
      </c>
      <c r="C58" s="37"/>
      <c r="D58" s="37"/>
      <c r="E58" s="38" t="e">
        <f t="shared" ref="E58:E95" si="4">SUM(D58/C58*100)</f>
        <v>#DIV/0!</v>
      </c>
      <c r="F58" s="38">
        <f t="shared" si="3"/>
        <v>0</v>
      </c>
    </row>
    <row r="59" spans="1:8" ht="0.75" hidden="1" customHeight="1">
      <c r="A59" s="35" t="s">
        <v>40</v>
      </c>
      <c r="B59" s="39" t="s">
        <v>41</v>
      </c>
      <c r="C59" s="37">
        <v>0</v>
      </c>
      <c r="D59" s="37">
        <v>0</v>
      </c>
      <c r="E59" s="38" t="e">
        <f t="shared" si="4"/>
        <v>#DIV/0!</v>
      </c>
      <c r="F59" s="38">
        <f t="shared" si="3"/>
        <v>0</v>
      </c>
    </row>
    <row r="60" spans="1:8" ht="15.75" customHeight="1">
      <c r="A60" s="35" t="s">
        <v>42</v>
      </c>
      <c r="B60" s="39" t="s">
        <v>43</v>
      </c>
      <c r="C60" s="40">
        <v>5</v>
      </c>
      <c r="D60" s="40">
        <v>0</v>
      </c>
      <c r="E60" s="38">
        <f t="shared" si="4"/>
        <v>0</v>
      </c>
      <c r="F60" s="38">
        <f t="shared" si="3"/>
        <v>-5</v>
      </c>
    </row>
    <row r="61" spans="1:8" ht="17.25" customHeight="1">
      <c r="A61" s="35" t="s">
        <v>44</v>
      </c>
      <c r="B61" s="39" t="s">
        <v>45</v>
      </c>
      <c r="C61" s="37">
        <v>2.7090000000000001</v>
      </c>
      <c r="D61" s="37">
        <v>2.7084999999999999</v>
      </c>
      <c r="E61" s="38">
        <f t="shared" si="4"/>
        <v>99.981543004798809</v>
      </c>
      <c r="F61" s="38">
        <f t="shared" si="3"/>
        <v>-5.0000000000016698E-4</v>
      </c>
    </row>
    <row r="62" spans="1:8" s="6" customFormat="1" ht="17.850000000000001" customHeight="1">
      <c r="A62" s="41" t="s">
        <v>46</v>
      </c>
      <c r="B62" s="42" t="s">
        <v>47</v>
      </c>
      <c r="C62" s="32">
        <f>C63</f>
        <v>70.594999999999999</v>
      </c>
      <c r="D62" s="32">
        <f>D63</f>
        <v>40.802509999999998</v>
      </c>
      <c r="E62" s="34">
        <f t="shared" si="4"/>
        <v>57.798016856717894</v>
      </c>
      <c r="F62" s="34">
        <f t="shared" si="3"/>
        <v>-29.792490000000001</v>
      </c>
    </row>
    <row r="63" spans="1:8" ht="17.850000000000001" customHeight="1">
      <c r="A63" s="43" t="s">
        <v>48</v>
      </c>
      <c r="B63" s="44" t="s">
        <v>49</v>
      </c>
      <c r="C63" s="37">
        <v>70.594999999999999</v>
      </c>
      <c r="D63" s="37">
        <v>40.802509999999998</v>
      </c>
      <c r="E63" s="38">
        <f t="shared" si="4"/>
        <v>57.798016856717894</v>
      </c>
      <c r="F63" s="38">
        <f t="shared" si="3"/>
        <v>-29.792490000000001</v>
      </c>
    </row>
    <row r="64" spans="1:8" s="6" customFormat="1" ht="17.25" customHeight="1">
      <c r="A64" s="30" t="s">
        <v>50</v>
      </c>
      <c r="B64" s="31" t="s">
        <v>51</v>
      </c>
      <c r="C64" s="32">
        <f>C67+C68</f>
        <v>4</v>
      </c>
      <c r="D64" s="32">
        <f>SUM(D65:D67)</f>
        <v>2</v>
      </c>
      <c r="E64" s="34">
        <f t="shared" si="4"/>
        <v>50</v>
      </c>
      <c r="F64" s="34">
        <f t="shared" si="3"/>
        <v>-2</v>
      </c>
    </row>
    <row r="65" spans="1:7" ht="17.25" hidden="1" customHeight="1">
      <c r="A65" s="35" t="s">
        <v>52</v>
      </c>
      <c r="B65" s="39" t="s">
        <v>53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7.25" hidden="1" customHeight="1">
      <c r="A66" s="45" t="s">
        <v>54</v>
      </c>
      <c r="B66" s="39" t="s">
        <v>55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t="18" customHeight="1">
      <c r="A67" s="46" t="s">
        <v>56</v>
      </c>
      <c r="B67" s="47" t="s">
        <v>57</v>
      </c>
      <c r="C67" s="37">
        <v>2</v>
      </c>
      <c r="D67" s="37">
        <v>2</v>
      </c>
      <c r="E67" s="34">
        <f t="shared" si="4"/>
        <v>100</v>
      </c>
      <c r="F67" s="34">
        <f t="shared" si="3"/>
        <v>0</v>
      </c>
    </row>
    <row r="68" spans="1:7" ht="18" customHeight="1">
      <c r="A68" s="46" t="s">
        <v>219</v>
      </c>
      <c r="B68" s="47" t="s">
        <v>220</v>
      </c>
      <c r="C68" s="37">
        <v>2</v>
      </c>
      <c r="D68" s="37">
        <v>0</v>
      </c>
      <c r="E68" s="38">
        <f t="shared" si="4"/>
        <v>0</v>
      </c>
      <c r="F68" s="38">
        <f t="shared" si="3"/>
        <v>-2</v>
      </c>
    </row>
    <row r="69" spans="1:7" s="6" customFormat="1" ht="15.75" customHeight="1">
      <c r="A69" s="30" t="s">
        <v>58</v>
      </c>
      <c r="B69" s="31" t="s">
        <v>59</v>
      </c>
      <c r="C69" s="48">
        <f>SUM(C70:C73)</f>
        <v>908.89155999999991</v>
      </c>
      <c r="D69" s="48">
        <f>D70+D71+D72+D73</f>
        <v>758.28727000000003</v>
      </c>
      <c r="E69" s="34">
        <f t="shared" si="4"/>
        <v>83.429894540994539</v>
      </c>
      <c r="F69" s="34">
        <f t="shared" si="3"/>
        <v>-150.60428999999988</v>
      </c>
    </row>
    <row r="70" spans="1:7" ht="16.5" customHeight="1">
      <c r="A70" s="35" t="s">
        <v>60</v>
      </c>
      <c r="B70" s="39" t="s">
        <v>61</v>
      </c>
      <c r="C70" s="49">
        <v>9.7089999999999996</v>
      </c>
      <c r="D70" s="37">
        <v>0</v>
      </c>
      <c r="E70" s="38">
        <f t="shared" si="4"/>
        <v>0</v>
      </c>
      <c r="F70" s="38">
        <f t="shared" si="3"/>
        <v>-9.7089999999999996</v>
      </c>
    </row>
    <row r="71" spans="1:7" s="6" customFormat="1" ht="19.5" hidden="1" customHeight="1">
      <c r="A71" s="35" t="s">
        <v>62</v>
      </c>
      <c r="B71" s="39" t="s">
        <v>63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  <c r="G71" s="50"/>
    </row>
    <row r="72" spans="1:7" ht="17.25" customHeight="1">
      <c r="A72" s="35" t="s">
        <v>64</v>
      </c>
      <c r="B72" s="39" t="s">
        <v>65</v>
      </c>
      <c r="C72" s="49">
        <v>879.18255999999997</v>
      </c>
      <c r="D72" s="37">
        <v>757.28727000000003</v>
      </c>
      <c r="E72" s="38">
        <f t="shared" si="4"/>
        <v>86.135383531720649</v>
      </c>
      <c r="F72" s="38">
        <f t="shared" si="3"/>
        <v>-121.89528999999993</v>
      </c>
    </row>
    <row r="73" spans="1:7" ht="15.75" customHeight="1">
      <c r="A73" s="35" t="s">
        <v>66</v>
      </c>
      <c r="B73" s="39" t="s">
        <v>67</v>
      </c>
      <c r="C73" s="49">
        <v>20</v>
      </c>
      <c r="D73" s="37">
        <v>1</v>
      </c>
      <c r="E73" s="38">
        <f t="shared" si="4"/>
        <v>5</v>
      </c>
      <c r="F73" s="38">
        <f t="shared" si="3"/>
        <v>-19</v>
      </c>
    </row>
    <row r="74" spans="1:7" s="6" customFormat="1" ht="18" customHeight="1">
      <c r="A74" s="30" t="s">
        <v>68</v>
      </c>
      <c r="B74" s="31" t="s">
        <v>69</v>
      </c>
      <c r="C74" s="32">
        <f>SUM(C75:C77)</f>
        <v>184.80199999999999</v>
      </c>
      <c r="D74" s="32">
        <f>D77</f>
        <v>122.06634</v>
      </c>
      <c r="E74" s="34">
        <f t="shared" si="4"/>
        <v>66.05249943182433</v>
      </c>
      <c r="F74" s="34">
        <f t="shared" si="3"/>
        <v>-62.735659999999996</v>
      </c>
    </row>
    <row r="75" spans="1:7" ht="15.75" hidden="1" customHeight="1">
      <c r="A75" s="35" t="s">
        <v>70</v>
      </c>
      <c r="B75" s="51" t="s">
        <v>71</v>
      </c>
      <c r="C75" s="37">
        <v>0</v>
      </c>
      <c r="D75" s="37">
        <v>0</v>
      </c>
      <c r="E75" s="38" t="e">
        <f t="shared" si="4"/>
        <v>#DIV/0!</v>
      </c>
      <c r="F75" s="38">
        <f t="shared" si="3"/>
        <v>0</v>
      </c>
    </row>
    <row r="76" spans="1:7" ht="15.75" hidden="1" customHeight="1">
      <c r="A76" s="35" t="s">
        <v>72</v>
      </c>
      <c r="B76" s="51" t="s">
        <v>73</v>
      </c>
      <c r="C76" s="37">
        <v>0</v>
      </c>
      <c r="D76" s="37"/>
      <c r="E76" s="38" t="e">
        <f t="shared" si="4"/>
        <v>#DIV/0!</v>
      </c>
      <c r="F76" s="38">
        <f t="shared" si="3"/>
        <v>0</v>
      </c>
    </row>
    <row r="77" spans="1:7" ht="17.850000000000001" customHeight="1">
      <c r="A77" s="35" t="s">
        <v>74</v>
      </c>
      <c r="B77" s="39" t="s">
        <v>75</v>
      </c>
      <c r="C77" s="37">
        <f>126.571+53.231+5</f>
        <v>184.80199999999999</v>
      </c>
      <c r="D77" s="37">
        <v>122.06634</v>
      </c>
      <c r="E77" s="38">
        <f t="shared" si="4"/>
        <v>66.05249943182433</v>
      </c>
      <c r="F77" s="38">
        <f t="shared" si="3"/>
        <v>-62.735659999999996</v>
      </c>
    </row>
    <row r="78" spans="1:7" s="6" customFormat="1" ht="17.850000000000001" customHeight="1">
      <c r="A78" s="30" t="s">
        <v>86</v>
      </c>
      <c r="B78" s="31" t="s">
        <v>87</v>
      </c>
      <c r="C78" s="32">
        <f>C79</f>
        <v>1277.7</v>
      </c>
      <c r="D78" s="32">
        <f>D79</f>
        <v>585</v>
      </c>
      <c r="E78" s="34">
        <f t="shared" si="4"/>
        <v>45.78539563277765</v>
      </c>
      <c r="F78" s="34">
        <f t="shared" si="3"/>
        <v>-692.7</v>
      </c>
    </row>
    <row r="79" spans="1:7" ht="15" customHeight="1">
      <c r="A79" s="35" t="s">
        <v>88</v>
      </c>
      <c r="B79" s="39" t="s">
        <v>234</v>
      </c>
      <c r="C79" s="37">
        <v>1277.7</v>
      </c>
      <c r="D79" s="37">
        <v>585</v>
      </c>
      <c r="E79" s="38">
        <f t="shared" si="4"/>
        <v>45.78539563277765</v>
      </c>
      <c r="F79" s="38">
        <f t="shared" si="3"/>
        <v>-692.7</v>
      </c>
    </row>
    <row r="80" spans="1:7" s="6" customFormat="1" ht="0.75" hidden="1" customHeight="1">
      <c r="A80" s="52">
        <v>1000</v>
      </c>
      <c r="B80" s="31" t="s">
        <v>89</v>
      </c>
      <c r="C80" s="32">
        <f>SUM(C81:C84)</f>
        <v>0</v>
      </c>
      <c r="D80" s="32">
        <f>SUM(D81:D84)</f>
        <v>0</v>
      </c>
      <c r="E80" s="34" t="e">
        <f t="shared" si="4"/>
        <v>#DIV/0!</v>
      </c>
      <c r="F80" s="34">
        <f t="shared" si="3"/>
        <v>0</v>
      </c>
    </row>
    <row r="81" spans="1:6" ht="0.75" hidden="1" customHeight="1">
      <c r="A81" s="53">
        <v>1001</v>
      </c>
      <c r="B81" s="54" t="s">
        <v>90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6" ht="17.25" hidden="1" customHeight="1">
      <c r="A82" s="53">
        <v>1003</v>
      </c>
      <c r="B82" s="54" t="s">
        <v>91</v>
      </c>
      <c r="C82" s="37">
        <v>0</v>
      </c>
      <c r="D82" s="37">
        <v>0</v>
      </c>
      <c r="E82" s="38" t="e">
        <f t="shared" si="4"/>
        <v>#DIV/0!</v>
      </c>
      <c r="F82" s="38">
        <f t="shared" si="3"/>
        <v>0</v>
      </c>
    </row>
    <row r="83" spans="1:6" ht="17.25" hidden="1" customHeight="1">
      <c r="A83" s="53">
        <v>1004</v>
      </c>
      <c r="B83" s="54" t="s">
        <v>92</v>
      </c>
      <c r="C83" s="37"/>
      <c r="D83" s="55"/>
      <c r="E83" s="38" t="e">
        <f t="shared" si="4"/>
        <v>#DIV/0!</v>
      </c>
      <c r="F83" s="38">
        <f t="shared" si="3"/>
        <v>0</v>
      </c>
    </row>
    <row r="84" spans="1:6" ht="17.25" hidden="1" customHeight="1">
      <c r="A84" s="35" t="s">
        <v>93</v>
      </c>
      <c r="B84" s="39" t="s">
        <v>94</v>
      </c>
      <c r="C84" s="37">
        <v>0</v>
      </c>
      <c r="D84" s="37">
        <v>0</v>
      </c>
      <c r="E84" s="38"/>
      <c r="F84" s="38">
        <f t="shared" si="3"/>
        <v>0</v>
      </c>
    </row>
    <row r="85" spans="1:6" ht="17.850000000000001" customHeight="1">
      <c r="A85" s="30" t="s">
        <v>95</v>
      </c>
      <c r="B85" s="31" t="s">
        <v>96</v>
      </c>
      <c r="C85" s="32">
        <f>C86+C87+C88+C89+C90</f>
        <v>3</v>
      </c>
      <c r="D85" s="32">
        <f>D86+D87+D88+D89+D90</f>
        <v>2</v>
      </c>
      <c r="E85" s="38">
        <f t="shared" si="4"/>
        <v>66.666666666666657</v>
      </c>
      <c r="F85" s="22">
        <f>F86+F87+F88+F89+F90</f>
        <v>-1</v>
      </c>
    </row>
    <row r="86" spans="1:6" ht="17.25" customHeight="1">
      <c r="A86" s="35" t="s">
        <v>97</v>
      </c>
      <c r="B86" s="39" t="s">
        <v>98</v>
      </c>
      <c r="C86" s="37">
        <v>3</v>
      </c>
      <c r="D86" s="37">
        <v>2</v>
      </c>
      <c r="E86" s="38">
        <f t="shared" si="4"/>
        <v>66.666666666666657</v>
      </c>
      <c r="F86" s="38">
        <f>SUM(D86-C86)</f>
        <v>-1</v>
      </c>
    </row>
    <row r="87" spans="1:6" ht="15.75" hidden="1" customHeight="1">
      <c r="A87" s="35" t="s">
        <v>99</v>
      </c>
      <c r="B87" s="39" t="s">
        <v>100</v>
      </c>
      <c r="C87" s="37"/>
      <c r="D87" s="37"/>
      <c r="E87" s="38" t="e">
        <f t="shared" si="4"/>
        <v>#DIV/0!</v>
      </c>
      <c r="F87" s="38">
        <f>SUM(D87-C87)</f>
        <v>0</v>
      </c>
    </row>
    <row r="88" spans="1:6" ht="15.75" hidden="1" customHeight="1">
      <c r="A88" s="35" t="s">
        <v>101</v>
      </c>
      <c r="B88" s="39" t="s">
        <v>102</v>
      </c>
      <c r="C88" s="37"/>
      <c r="D88" s="37"/>
      <c r="E88" s="38" t="e">
        <f t="shared" si="4"/>
        <v>#DIV/0!</v>
      </c>
      <c r="F88" s="38"/>
    </row>
    <row r="89" spans="1:6" ht="15.75" hidden="1" customHeight="1">
      <c r="A89" s="35" t="s">
        <v>103</v>
      </c>
      <c r="B89" s="39" t="s">
        <v>104</v>
      </c>
      <c r="C89" s="37"/>
      <c r="D89" s="37"/>
      <c r="E89" s="38" t="e">
        <f t="shared" si="4"/>
        <v>#DIV/0!</v>
      </c>
      <c r="F89" s="38"/>
    </row>
    <row r="90" spans="1:6" ht="15.75" hidden="1" customHeight="1">
      <c r="A90" s="35" t="s">
        <v>105</v>
      </c>
      <c r="B90" s="39" t="s">
        <v>106</v>
      </c>
      <c r="C90" s="37"/>
      <c r="D90" s="37"/>
      <c r="E90" s="38" t="e">
        <f t="shared" si="4"/>
        <v>#DIV/0!</v>
      </c>
      <c r="F90" s="38"/>
    </row>
    <row r="91" spans="1:6" s="6" customFormat="1" ht="15.75" hidden="1" customHeight="1">
      <c r="A91" s="52">
        <v>1400</v>
      </c>
      <c r="B91" s="56" t="s">
        <v>115</v>
      </c>
      <c r="C91" s="48">
        <f>C92+C93+C94</f>
        <v>0</v>
      </c>
      <c r="D91" s="48">
        <f>SUM(D92:D94)</f>
        <v>0</v>
      </c>
      <c r="E91" s="34" t="e">
        <f t="shared" si="4"/>
        <v>#DIV/0!</v>
      </c>
      <c r="F91" s="34">
        <f t="shared" si="3"/>
        <v>0</v>
      </c>
    </row>
    <row r="92" spans="1:6" ht="15.75" hidden="1" customHeight="1">
      <c r="A92" s="53">
        <v>1401</v>
      </c>
      <c r="B92" s="54" t="s">
        <v>116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6" ht="18" hidden="1" customHeight="1">
      <c r="A93" s="53">
        <v>1402</v>
      </c>
      <c r="B93" s="54" t="s">
        <v>117</v>
      </c>
      <c r="C93" s="240"/>
      <c r="D93" s="241"/>
      <c r="E93" s="38" t="e">
        <f t="shared" si="4"/>
        <v>#DIV/0!</v>
      </c>
      <c r="F93" s="38">
        <f t="shared" si="3"/>
        <v>0</v>
      </c>
    </row>
    <row r="94" spans="1:6" ht="15.75" hidden="1" customHeight="1">
      <c r="A94" s="53">
        <v>1403</v>
      </c>
      <c r="B94" s="54" t="s">
        <v>118</v>
      </c>
      <c r="C94" s="49">
        <v>0</v>
      </c>
      <c r="D94" s="37">
        <v>0</v>
      </c>
      <c r="E94" s="38" t="e">
        <f t="shared" si="4"/>
        <v>#DIV/0!</v>
      </c>
      <c r="F94" s="38">
        <f t="shared" si="3"/>
        <v>0</v>
      </c>
    </row>
    <row r="95" spans="1:6" s="6" customFormat="1" ht="16.5" customHeight="1">
      <c r="A95" s="52"/>
      <c r="B95" s="57" t="s">
        <v>119</v>
      </c>
      <c r="C95" s="33">
        <f>C54+C62+C64+C69+C74+C78+C80+C85+C91</f>
        <v>3584.7935600000001</v>
      </c>
      <c r="D95" s="33">
        <f>D54+D62+D64+D69+D74+D78+D85</f>
        <v>2089.1161199999997</v>
      </c>
      <c r="E95" s="34">
        <f t="shared" si="4"/>
        <v>58.277166733138174</v>
      </c>
      <c r="F95" s="34">
        <f t="shared" si="3"/>
        <v>-1495.6774400000004</v>
      </c>
    </row>
    <row r="96" spans="1:6" ht="20.25" customHeight="1">
      <c r="C96" s="126"/>
      <c r="D96" s="101"/>
    </row>
    <row r="97" spans="1:4" s="65" customFormat="1" ht="13.5" customHeight="1">
      <c r="A97" s="63" t="s">
        <v>120</v>
      </c>
      <c r="B97" s="63"/>
      <c r="C97" s="116"/>
      <c r="D97" s="64"/>
    </row>
    <row r="98" spans="1:4" s="65" customFormat="1" ht="12.75">
      <c r="A98" s="66" t="s">
        <v>121</v>
      </c>
      <c r="B98" s="66"/>
      <c r="C98" s="134" t="s">
        <v>122</v>
      </c>
      <c r="D98" s="134"/>
    </row>
    <row r="99" spans="1:4" ht="5.25" customHeight="1">
      <c r="C99" s="120"/>
    </row>
    <row r="141" hidden="1"/>
  </sheetData>
  <customSheetViews>
    <customSheetView guid="{A54C432C-6C68-4B53-A75C-446EB3A61B2B}" scale="70" showPageBreaks="1" hiddenRows="1" view="pageBreakPreview" topLeftCell="A52">
      <selection activeCell="C95" activeCellId="1" sqref="C49:D50 C95:D95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B30CE22D-C12F-4E12-8BB9-3AAE0A6991CC}" scale="70" showPageBreaks="1" hiddenRows="1" view="pageBreakPreview" topLeftCell="A25">
      <selection activeCell="D86" sqref="D86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5BFCA170-DEAE-4D2C-98A0-1E68B427AC01}" showPageBreaks="1" hiddenRows="1" topLeftCell="A28">
      <selection activeCell="B100" sqref="B100"/>
      <pageMargins left="0.7" right="0.7" top="0.75" bottom="0.75" header="0.3" footer="0.3"/>
      <pageSetup paperSize="9" scale="60" orientation="portrait" r:id="rId3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4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6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G141"/>
  <sheetViews>
    <sheetView view="pageBreakPreview" topLeftCell="A62" zoomScale="70" zoomScaleNormal="100" zoomScaleSheetLayoutView="70" workbookViewId="0">
      <selection activeCell="C97" activeCellId="1" sqref="C51:D52 C97:D97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36" t="s">
        <v>428</v>
      </c>
      <c r="B1" s="436"/>
      <c r="C1" s="436"/>
      <c r="D1" s="436"/>
      <c r="E1" s="436"/>
      <c r="F1" s="436"/>
    </row>
    <row r="2" spans="1:6">
      <c r="A2" s="436"/>
      <c r="B2" s="436"/>
      <c r="C2" s="436"/>
      <c r="D2" s="436"/>
      <c r="E2" s="436"/>
      <c r="F2" s="43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C5+C12+C17+C7+C14</f>
        <v>989.12</v>
      </c>
      <c r="D4" s="5">
        <f>D5+D12+D14+D17+D20+D7</f>
        <v>578.58668</v>
      </c>
      <c r="E4" s="5">
        <f>SUM(D4/C4*100)</f>
        <v>58.495094629569721</v>
      </c>
      <c r="F4" s="5">
        <f>SUM(D4-C4)</f>
        <v>-410.53332</v>
      </c>
    </row>
    <row r="5" spans="1:6" s="6" customFormat="1">
      <c r="A5" s="68">
        <v>1010000000</v>
      </c>
      <c r="B5" s="67" t="s">
        <v>6</v>
      </c>
      <c r="C5" s="5">
        <f>C6</f>
        <v>95.3</v>
      </c>
      <c r="D5" s="5">
        <f>D6</f>
        <v>52.120100000000001</v>
      </c>
      <c r="E5" s="5">
        <f t="shared" ref="E5:E51" si="0">SUM(D5/C5*100)</f>
        <v>54.690556138509969</v>
      </c>
      <c r="F5" s="5">
        <f t="shared" ref="F5:F51" si="1">SUM(D5-C5)</f>
        <v>-43.179899999999996</v>
      </c>
    </row>
    <row r="6" spans="1:6">
      <c r="A6" s="7">
        <v>1010200001</v>
      </c>
      <c r="B6" s="8" t="s">
        <v>229</v>
      </c>
      <c r="C6" s="9">
        <v>95.3</v>
      </c>
      <c r="D6" s="10">
        <v>52.120100000000001</v>
      </c>
      <c r="E6" s="9">
        <f t="shared" ref="E6:E11" si="2">SUM(D6/C6*100)</f>
        <v>54.690556138509969</v>
      </c>
      <c r="F6" s="9">
        <f t="shared" si="1"/>
        <v>-43.179899999999996</v>
      </c>
    </row>
    <row r="7" spans="1:6" ht="31.5">
      <c r="A7" s="3">
        <v>1030000000</v>
      </c>
      <c r="B7" s="13" t="s">
        <v>281</v>
      </c>
      <c r="C7" s="5">
        <f>C8+C10+C9</f>
        <v>313.82</v>
      </c>
      <c r="D7" s="5">
        <f>D8+D10+D9+D11</f>
        <v>212.16751000000002</v>
      </c>
      <c r="E7" s="9">
        <f t="shared" si="2"/>
        <v>67.608026894398066</v>
      </c>
      <c r="F7" s="9">
        <f t="shared" si="1"/>
        <v>-101.65248999999997</v>
      </c>
    </row>
    <row r="8" spans="1:6">
      <c r="A8" s="7">
        <v>1030223001</v>
      </c>
      <c r="B8" s="8" t="s">
        <v>283</v>
      </c>
      <c r="C8" s="9">
        <v>117.05</v>
      </c>
      <c r="D8" s="10">
        <v>92.592410000000001</v>
      </c>
      <c r="E8" s="9">
        <f t="shared" si="2"/>
        <v>79.105006407518147</v>
      </c>
      <c r="F8" s="9">
        <f t="shared" si="1"/>
        <v>-24.457589999999996</v>
      </c>
    </row>
    <row r="9" spans="1:6">
      <c r="A9" s="7">
        <v>1030224001</v>
      </c>
      <c r="B9" s="8" t="s">
        <v>289</v>
      </c>
      <c r="C9" s="9">
        <v>1.26</v>
      </c>
      <c r="D9" s="10">
        <v>0.79335</v>
      </c>
      <c r="E9" s="9">
        <f t="shared" si="2"/>
        <v>62.964285714285715</v>
      </c>
      <c r="F9" s="9">
        <f t="shared" si="1"/>
        <v>-0.46665000000000001</v>
      </c>
    </row>
    <row r="10" spans="1:6">
      <c r="A10" s="7">
        <v>1030225001</v>
      </c>
      <c r="B10" s="8" t="s">
        <v>282</v>
      </c>
      <c r="C10" s="9">
        <v>195.51</v>
      </c>
      <c r="D10" s="10">
        <v>140.36803</v>
      </c>
      <c r="E10" s="9">
        <f t="shared" si="2"/>
        <v>71.795831415272886</v>
      </c>
      <c r="F10" s="9">
        <f t="shared" si="1"/>
        <v>-55.141969999999986</v>
      </c>
    </row>
    <row r="11" spans="1:6">
      <c r="A11" s="7">
        <v>1030226001</v>
      </c>
      <c r="B11" s="8" t="s">
        <v>291</v>
      </c>
      <c r="C11" s="9">
        <v>0</v>
      </c>
      <c r="D11" s="10">
        <v>-21.586279999999999</v>
      </c>
      <c r="E11" s="9" t="e">
        <f t="shared" si="2"/>
        <v>#DIV/0!</v>
      </c>
      <c r="F11" s="9">
        <f t="shared" si="1"/>
        <v>-21.586279999999999</v>
      </c>
    </row>
    <row r="12" spans="1:6" s="6" customFormat="1">
      <c r="A12" s="68">
        <v>1050000000</v>
      </c>
      <c r="B12" s="67" t="s">
        <v>7</v>
      </c>
      <c r="C12" s="5">
        <f>SUM(C13:C13)</f>
        <v>35</v>
      </c>
      <c r="D12" s="5">
        <f>SUM(D13:D13)</f>
        <v>69.827370000000002</v>
      </c>
      <c r="E12" s="5">
        <f t="shared" si="0"/>
        <v>199.50677142857143</v>
      </c>
      <c r="F12" s="5">
        <f t="shared" si="1"/>
        <v>34.827370000000002</v>
      </c>
    </row>
    <row r="13" spans="1:6" ht="15.75" customHeight="1">
      <c r="A13" s="7">
        <v>1050300000</v>
      </c>
      <c r="B13" s="11" t="s">
        <v>230</v>
      </c>
      <c r="C13" s="12">
        <v>35</v>
      </c>
      <c r="D13" s="10">
        <v>69.827370000000002</v>
      </c>
      <c r="E13" s="9">
        <f t="shared" si="0"/>
        <v>199.50677142857143</v>
      </c>
      <c r="F13" s="9">
        <f t="shared" si="1"/>
        <v>34.827370000000002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535</v>
      </c>
      <c r="D14" s="5">
        <f>D15+D16</f>
        <v>236.9717</v>
      </c>
      <c r="E14" s="9">
        <f t="shared" si="0"/>
        <v>44.293775700934582</v>
      </c>
      <c r="F14" s="9">
        <f t="shared" si="1"/>
        <v>-298.0283</v>
      </c>
    </row>
    <row r="15" spans="1:6" s="6" customFormat="1" ht="15.75" customHeight="1">
      <c r="A15" s="7">
        <v>1060100000</v>
      </c>
      <c r="B15" s="11" t="s">
        <v>9</v>
      </c>
      <c r="C15" s="279">
        <v>75</v>
      </c>
      <c r="D15" s="10">
        <v>22.861139999999999</v>
      </c>
      <c r="E15" s="9">
        <f>SUM(D15/C15*100)</f>
        <v>30.48152</v>
      </c>
      <c r="F15" s="9">
        <f>SUM(D15-C14)</f>
        <v>-512.13886000000002</v>
      </c>
    </row>
    <row r="16" spans="1:6" ht="15.75" customHeight="1">
      <c r="A16" s="7">
        <v>1060600000</v>
      </c>
      <c r="B16" s="11" t="s">
        <v>8</v>
      </c>
      <c r="C16" s="9">
        <v>460</v>
      </c>
      <c r="D16" s="10">
        <v>214.11055999999999</v>
      </c>
      <c r="E16" s="9">
        <f t="shared" si="0"/>
        <v>46.545773913043476</v>
      </c>
      <c r="F16" s="9">
        <f t="shared" si="1"/>
        <v>-245.88944000000001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7.5</v>
      </c>
      <c r="E17" s="5">
        <f t="shared" si="0"/>
        <v>75</v>
      </c>
      <c r="F17" s="5">
        <f t="shared" si="1"/>
        <v>-2.5</v>
      </c>
    </row>
    <row r="18" spans="1:6" ht="18.75" customHeight="1">
      <c r="A18" s="7">
        <v>1080400001</v>
      </c>
      <c r="B18" s="8" t="s">
        <v>228</v>
      </c>
      <c r="C18" s="9">
        <v>10</v>
      </c>
      <c r="D18" s="10">
        <v>7.5</v>
      </c>
      <c r="E18" s="9">
        <f t="shared" si="0"/>
        <v>75</v>
      </c>
      <c r="F18" s="9">
        <f t="shared" si="1"/>
        <v>-2.5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0.75" hidden="1" customHeight="1">
      <c r="A20" s="68">
        <v>1090000000</v>
      </c>
      <c r="B20" s="69" t="s">
        <v>231</v>
      </c>
      <c r="C20" s="5">
        <f>C21+C22+C23+C24</f>
        <v>0</v>
      </c>
      <c r="D20" s="5">
        <f>D22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6.5" hidden="1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C26+C29+C31+C37+C34</f>
        <v>82</v>
      </c>
      <c r="D25" s="5">
        <f>D26+D29+D31+D37-D34</f>
        <v>39.044690000000003</v>
      </c>
      <c r="E25" s="5">
        <f t="shared" si="0"/>
        <v>47.615475609756103</v>
      </c>
      <c r="F25" s="5">
        <f t="shared" si="1"/>
        <v>-42.955309999999997</v>
      </c>
    </row>
    <row r="26" spans="1:6" s="6" customFormat="1" ht="15.75" customHeight="1">
      <c r="A26" s="68">
        <v>1110000000</v>
      </c>
      <c r="B26" s="69" t="s">
        <v>129</v>
      </c>
      <c r="C26" s="5">
        <f>C27+C28</f>
        <v>82</v>
      </c>
      <c r="D26" s="5">
        <f>D27+D28</f>
        <v>13.965</v>
      </c>
      <c r="E26" s="5">
        <f t="shared" si="0"/>
        <v>17.030487804878046</v>
      </c>
      <c r="F26" s="5">
        <f t="shared" si="1"/>
        <v>-68.034999999999997</v>
      </c>
    </row>
    <row r="27" spans="1:6" ht="15.75" customHeight="1">
      <c r="A27" s="16">
        <v>1110502510</v>
      </c>
      <c r="B27" s="17" t="s">
        <v>226</v>
      </c>
      <c r="C27" s="12">
        <v>80</v>
      </c>
      <c r="D27" s="10">
        <v>13.965</v>
      </c>
      <c r="E27" s="9">
        <f t="shared" si="0"/>
        <v>17.456250000000001</v>
      </c>
      <c r="F27" s="9">
        <f t="shared" si="1"/>
        <v>-66.034999999999997</v>
      </c>
    </row>
    <row r="28" spans="1:6" ht="17.25" customHeight="1">
      <c r="A28" s="7">
        <v>1110503505</v>
      </c>
      <c r="B28" s="11" t="s">
        <v>225</v>
      </c>
      <c r="C28" s="12">
        <v>2</v>
      </c>
      <c r="D28" s="10">
        <v>0</v>
      </c>
      <c r="E28" s="9">
        <f t="shared" si="0"/>
        <v>0</v>
      </c>
      <c r="F28" s="9">
        <f t="shared" si="1"/>
        <v>-2</v>
      </c>
    </row>
    <row r="29" spans="1:6" s="15" customFormat="1" ht="33.75" customHeight="1">
      <c r="A29" s="68">
        <v>1130000000</v>
      </c>
      <c r="B29" s="69" t="s">
        <v>131</v>
      </c>
      <c r="C29" s="5">
        <f>C30</f>
        <v>0</v>
      </c>
      <c r="D29" s="5">
        <f>D30</f>
        <v>25.080850000000002</v>
      </c>
      <c r="E29" s="5" t="e">
        <f t="shared" si="0"/>
        <v>#DIV/0!</v>
      </c>
      <c r="F29" s="5">
        <f t="shared" si="1"/>
        <v>25.080850000000002</v>
      </c>
    </row>
    <row r="30" spans="1:6" ht="17.25" customHeight="1">
      <c r="A30" s="7">
        <v>1130206005</v>
      </c>
      <c r="B30" s="8" t="s">
        <v>224</v>
      </c>
      <c r="C30" s="9">
        <v>0</v>
      </c>
      <c r="D30" s="10">
        <v>25.080850000000002</v>
      </c>
      <c r="E30" s="9" t="e">
        <f t="shared" si="0"/>
        <v>#DIV/0!</v>
      </c>
      <c r="F30" s="9">
        <f t="shared" si="1"/>
        <v>25.080850000000002</v>
      </c>
    </row>
    <row r="31" spans="1:6" ht="22.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7.25" hidden="1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3">
        <v>1160000000</v>
      </c>
      <c r="B34" s="13" t="s">
        <v>252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-1.16E-3</v>
      </c>
    </row>
    <row r="35" spans="1:7" ht="47.25" hidden="1">
      <c r="A35" s="7">
        <v>1163305010</v>
      </c>
      <c r="B35" s="8" t="s">
        <v>268</v>
      </c>
      <c r="C35" s="9">
        <v>0</v>
      </c>
      <c r="D35" s="10">
        <v>0</v>
      </c>
      <c r="E35" s="10" t="e">
        <f>E37</f>
        <v>#DIV/0!</v>
      </c>
      <c r="F35" s="10">
        <f>F37</f>
        <v>-1.16E-3</v>
      </c>
    </row>
    <row r="36" spans="1:7" ht="47.25" hidden="1">
      <c r="A36" s="7">
        <v>1169005010</v>
      </c>
      <c r="B36" s="8" t="s">
        <v>343</v>
      </c>
      <c r="C36" s="9">
        <v>0</v>
      </c>
      <c r="D36" s="10">
        <v>0</v>
      </c>
      <c r="E36" s="10" t="e">
        <f>E38</f>
        <v>#DIV/0!</v>
      </c>
      <c r="F36" s="10">
        <f>F38</f>
        <v>-1.16E-3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-1.16E-3</v>
      </c>
      <c r="E37" s="9" t="e">
        <f t="shared" si="0"/>
        <v>#DIV/0!</v>
      </c>
      <c r="F37" s="5">
        <f t="shared" si="1"/>
        <v>-1.16E-3</v>
      </c>
    </row>
    <row r="38" spans="1:7">
      <c r="A38" s="7">
        <v>1170105005</v>
      </c>
      <c r="B38" s="8" t="s">
        <v>18</v>
      </c>
      <c r="C38" s="9">
        <v>0</v>
      </c>
      <c r="D38" s="9">
        <v>-1.16E-3</v>
      </c>
      <c r="E38" s="9" t="e">
        <f t="shared" si="0"/>
        <v>#DIV/0!</v>
      </c>
      <c r="F38" s="9">
        <f t="shared" si="1"/>
        <v>-1.16E-3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19</v>
      </c>
      <c r="C40" s="127">
        <f>SUM(C4,C25)</f>
        <v>1071.1199999999999</v>
      </c>
      <c r="D40" s="127">
        <f>D4+D25</f>
        <v>617.63137000000006</v>
      </c>
      <c r="E40" s="5">
        <f t="shared" si="0"/>
        <v>57.662201247292565</v>
      </c>
      <c r="F40" s="5">
        <f t="shared" si="1"/>
        <v>-453.48862999999983</v>
      </c>
    </row>
    <row r="41" spans="1:7" s="6" customFormat="1">
      <c r="A41" s="3">
        <v>2000000000</v>
      </c>
      <c r="B41" s="4" t="s">
        <v>20</v>
      </c>
      <c r="C41" s="5">
        <f>C42+C44+C45+C46+C47+C48+C43+C50</f>
        <v>2587.5070000000001</v>
      </c>
      <c r="D41" s="346">
        <f>D42+D44+D45+D46+D47+D48+D43+D50</f>
        <v>1665.8731</v>
      </c>
      <c r="E41" s="5">
        <f t="shared" si="0"/>
        <v>64.381394910235983</v>
      </c>
      <c r="F41" s="5">
        <f t="shared" si="1"/>
        <v>-921.63390000000004</v>
      </c>
      <c r="G41" s="19"/>
    </row>
    <row r="42" spans="1:7" ht="16.5" customHeight="1">
      <c r="A42" s="16">
        <v>2021000000</v>
      </c>
      <c r="B42" s="17" t="s">
        <v>21</v>
      </c>
      <c r="C42" s="12">
        <f>1897.5+9.163</f>
        <v>1906.663</v>
      </c>
      <c r="D42" s="20">
        <v>1430.432</v>
      </c>
      <c r="E42" s="9">
        <f t="shared" si="0"/>
        <v>75.022801617275832</v>
      </c>
      <c r="F42" s="9">
        <f t="shared" si="1"/>
        <v>-476.23099999999999</v>
      </c>
    </row>
    <row r="43" spans="1:7" ht="17.25" customHeight="1">
      <c r="A43" s="16">
        <v>2021500200</v>
      </c>
      <c r="B43" s="17" t="s">
        <v>232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22</v>
      </c>
      <c r="C44" s="12">
        <v>573.79</v>
      </c>
      <c r="D44" s="10">
        <v>142.03800000000001</v>
      </c>
      <c r="E44" s="9">
        <f t="shared" si="0"/>
        <v>24.754352637724605</v>
      </c>
      <c r="F44" s="9">
        <f t="shared" si="1"/>
        <v>-431.75199999999995</v>
      </c>
    </row>
    <row r="45" spans="1:7" ht="15" customHeight="1">
      <c r="A45" s="16">
        <v>2023000000</v>
      </c>
      <c r="B45" s="17" t="s">
        <v>23</v>
      </c>
      <c r="C45" s="12">
        <v>73.953999999999994</v>
      </c>
      <c r="D45" s="252">
        <v>60.3431</v>
      </c>
      <c r="E45" s="9">
        <f t="shared" si="0"/>
        <v>81.595451226438058</v>
      </c>
      <c r="F45" s="9">
        <f t="shared" si="1"/>
        <v>-13.610899999999994</v>
      </c>
    </row>
    <row r="46" spans="1:7" hidden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23.25" hidden="1" customHeight="1">
      <c r="A47" s="16">
        <v>2020900000</v>
      </c>
      <c r="B47" s="18" t="s">
        <v>25</v>
      </c>
      <c r="C47" s="12"/>
      <c r="D47" s="253"/>
      <c r="E47" s="9" t="e">
        <f t="shared" si="0"/>
        <v>#DIV/0!</v>
      </c>
      <c r="F47" s="9">
        <f t="shared" si="1"/>
        <v>0</v>
      </c>
    </row>
    <row r="48" spans="1:7" ht="23.25" hidden="1" customHeight="1">
      <c r="A48" s="7">
        <v>2190500005</v>
      </c>
      <c r="B48" s="11" t="s">
        <v>26</v>
      </c>
      <c r="C48" s="14"/>
      <c r="D48" s="14"/>
      <c r="E48" s="5"/>
      <c r="F48" s="5">
        <f>SUM(D48-C48)</f>
        <v>0</v>
      </c>
    </row>
    <row r="49" spans="1:7" s="6" customFormat="1" ht="27.75" hidden="1" customHeight="1">
      <c r="A49" s="3">
        <v>3000000000</v>
      </c>
      <c r="B49" s="13" t="s">
        <v>27</v>
      </c>
      <c r="C49" s="278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7">
        <v>2070500010</v>
      </c>
      <c r="B50" s="8" t="s">
        <v>355</v>
      </c>
      <c r="C50" s="12">
        <v>33.1</v>
      </c>
      <c r="D50" s="10">
        <v>33.06</v>
      </c>
      <c r="E50" s="9">
        <f t="shared" si="0"/>
        <v>99.879154078549846</v>
      </c>
      <c r="F50" s="9">
        <f t="shared" si="1"/>
        <v>-3.9999999999999147E-2</v>
      </c>
    </row>
    <row r="51" spans="1:7" s="6" customFormat="1" ht="19.5" customHeight="1">
      <c r="A51" s="3"/>
      <c r="B51" s="4" t="s">
        <v>28</v>
      </c>
      <c r="C51" s="93">
        <f>C40+C41</f>
        <v>3658.627</v>
      </c>
      <c r="D51" s="441">
        <f>D40+D41</f>
        <v>2283.5044699999999</v>
      </c>
      <c r="E51" s="93">
        <f t="shared" si="0"/>
        <v>62.414246382591067</v>
      </c>
      <c r="F51" s="93">
        <f t="shared" si="1"/>
        <v>-1375.1225300000001</v>
      </c>
      <c r="G51" s="296"/>
    </row>
    <row r="52" spans="1:7" s="6" customFormat="1">
      <c r="A52" s="3"/>
      <c r="B52" s="21" t="s">
        <v>321</v>
      </c>
      <c r="C52" s="93">
        <f>C51-C97</f>
        <v>-73.666529999999966</v>
      </c>
      <c r="D52" s="93">
        <f>D51-D97</f>
        <v>290.90793000000008</v>
      </c>
      <c r="E52" s="22"/>
      <c r="F52" s="22"/>
    </row>
    <row r="53" spans="1:7">
      <c r="A53" s="23"/>
      <c r="B53" s="24"/>
      <c r="C53" s="251"/>
      <c r="D53" s="251"/>
      <c r="E53" s="26"/>
      <c r="F53" s="27"/>
    </row>
    <row r="54" spans="1:7" ht="46.5" customHeight="1">
      <c r="A54" s="28" t="s">
        <v>1</v>
      </c>
      <c r="B54" s="28" t="s">
        <v>29</v>
      </c>
      <c r="C54" s="244" t="s">
        <v>346</v>
      </c>
      <c r="D54" s="245" t="s">
        <v>412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247">
        <f>C57+C58+C59+C60+C61+C63+C62</f>
        <v>1291.3660000000002</v>
      </c>
      <c r="D56" s="33">
        <f>D57+D58+D59+D60+D61+D63+D62</f>
        <v>775.43912999999998</v>
      </c>
      <c r="E56" s="34">
        <f>SUM(D56/C56*100)</f>
        <v>60.047974780193982</v>
      </c>
      <c r="F56" s="34">
        <f>SUM(D56-C56)</f>
        <v>-515.92687000000024</v>
      </c>
    </row>
    <row r="57" spans="1:7" s="6" customFormat="1" ht="31.5" hidden="1">
      <c r="A57" s="35" t="s">
        <v>32</v>
      </c>
      <c r="B57" s="36" t="s">
        <v>33</v>
      </c>
      <c r="C57" s="37"/>
      <c r="D57" s="136"/>
      <c r="E57" s="38"/>
      <c r="F57" s="38"/>
    </row>
    <row r="58" spans="1:7" ht="18.75" customHeight="1">
      <c r="A58" s="35" t="s">
        <v>34</v>
      </c>
      <c r="B58" s="39" t="s">
        <v>35</v>
      </c>
      <c r="C58" s="37">
        <v>1274.5630000000001</v>
      </c>
      <c r="D58" s="37">
        <v>764.09163000000001</v>
      </c>
      <c r="E58" s="38">
        <f t="shared" ref="E58:E97" si="3">SUM(D58/C58*100)</f>
        <v>59.949302623722787</v>
      </c>
      <c r="F58" s="38">
        <f t="shared" ref="F58:F97" si="4">SUM(D58-C58)</f>
        <v>-510.47137000000009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" hidden="1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11.803000000000001</v>
      </c>
      <c r="D63" s="37">
        <v>11.3475</v>
      </c>
      <c r="E63" s="38">
        <f t="shared" si="3"/>
        <v>96.140811658053025</v>
      </c>
      <c r="F63" s="38">
        <f t="shared" si="4"/>
        <v>-0.45550000000000068</v>
      </c>
    </row>
    <row r="64" spans="1:7" s="6" customFormat="1">
      <c r="A64" s="41" t="s">
        <v>46</v>
      </c>
      <c r="B64" s="42" t="s">
        <v>47</v>
      </c>
      <c r="C64" s="32">
        <f>C65</f>
        <v>70.594999999999999</v>
      </c>
      <c r="D64" s="32">
        <f>D65</f>
        <v>48.432270000000003</v>
      </c>
      <c r="E64" s="34">
        <f t="shared" si="3"/>
        <v>68.60580777675473</v>
      </c>
      <c r="F64" s="34">
        <f t="shared" si="4"/>
        <v>-22.162729999999996</v>
      </c>
    </row>
    <row r="65" spans="1:7">
      <c r="A65" s="43" t="s">
        <v>48</v>
      </c>
      <c r="B65" s="44" t="s">
        <v>49</v>
      </c>
      <c r="C65" s="37">
        <v>70.594999999999999</v>
      </c>
      <c r="D65" s="37">
        <v>48.432270000000003</v>
      </c>
      <c r="E65" s="38">
        <f t="shared" si="3"/>
        <v>68.60580777675473</v>
      </c>
      <c r="F65" s="38">
        <f t="shared" si="4"/>
        <v>-22.162729999999996</v>
      </c>
    </row>
    <row r="66" spans="1:7" s="6" customFormat="1" ht="18.75" customHeight="1">
      <c r="A66" s="30" t="s">
        <v>50</v>
      </c>
      <c r="B66" s="31" t="s">
        <v>51</v>
      </c>
      <c r="C66" s="32">
        <f>C69+C70</f>
        <v>9.25</v>
      </c>
      <c r="D66" s="32">
        <f>D69+D70</f>
        <v>1.45</v>
      </c>
      <c r="E66" s="34">
        <f t="shared" si="3"/>
        <v>15.675675675675677</v>
      </c>
      <c r="F66" s="34">
        <f t="shared" si="4"/>
        <v>-7.8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56</v>
      </c>
      <c r="B69" s="47" t="s">
        <v>57</v>
      </c>
      <c r="C69" s="97">
        <v>5</v>
      </c>
      <c r="D69" s="37">
        <v>0</v>
      </c>
      <c r="E69" s="38">
        <f t="shared" si="3"/>
        <v>0</v>
      </c>
      <c r="F69" s="38">
        <f t="shared" si="4"/>
        <v>-5</v>
      </c>
    </row>
    <row r="70" spans="1:7" ht="15.75" customHeight="1">
      <c r="A70" s="46" t="s">
        <v>219</v>
      </c>
      <c r="B70" s="47" t="s">
        <v>220</v>
      </c>
      <c r="C70" s="37">
        <v>4.25</v>
      </c>
      <c r="D70" s="37">
        <v>1.45</v>
      </c>
      <c r="E70" s="38">
        <f t="shared" si="3"/>
        <v>34.117647058823529</v>
      </c>
      <c r="F70" s="38">
        <f t="shared" si="4"/>
        <v>-2.8</v>
      </c>
    </row>
    <row r="71" spans="1:7" s="6" customFormat="1" ht="16.5" customHeight="1">
      <c r="A71" s="30" t="s">
        <v>58</v>
      </c>
      <c r="B71" s="31" t="s">
        <v>59</v>
      </c>
      <c r="C71" s="48">
        <f>SUM(C72:C75)</f>
        <v>995.69153000000006</v>
      </c>
      <c r="D71" s="48">
        <f>SUM(D72:D75)</f>
        <v>297.27006</v>
      </c>
      <c r="E71" s="34">
        <f t="shared" si="3"/>
        <v>29.855638121175943</v>
      </c>
      <c r="F71" s="34">
        <f t="shared" si="4"/>
        <v>-698.42147</v>
      </c>
    </row>
    <row r="72" spans="1:7" ht="15.75" customHeight="1">
      <c r="A72" s="35" t="s">
        <v>60</v>
      </c>
      <c r="B72" s="39" t="s">
        <v>61</v>
      </c>
      <c r="C72" s="49">
        <v>9.7089999999999996</v>
      </c>
      <c r="D72" s="37">
        <v>3.75</v>
      </c>
      <c r="E72" s="38">
        <f t="shared" si="3"/>
        <v>38.623957153156866</v>
      </c>
      <c r="F72" s="38">
        <f t="shared" si="4"/>
        <v>-5.9589999999999996</v>
      </c>
    </row>
    <row r="73" spans="1:7" s="6" customFormat="1" ht="19.5" customHeight="1">
      <c r="A73" s="35" t="s">
        <v>62</v>
      </c>
      <c r="B73" s="39" t="s">
        <v>63</v>
      </c>
      <c r="C73" s="49">
        <v>79.168999999999997</v>
      </c>
      <c r="D73" s="37">
        <v>73.958060000000003</v>
      </c>
      <c r="E73" s="38">
        <f t="shared" si="3"/>
        <v>93.417953997145347</v>
      </c>
      <c r="F73" s="38">
        <f t="shared" si="4"/>
        <v>-5.2109399999999937</v>
      </c>
      <c r="G73" s="50"/>
    </row>
    <row r="74" spans="1:7">
      <c r="A74" s="35" t="s">
        <v>64</v>
      </c>
      <c r="B74" s="39" t="s">
        <v>65</v>
      </c>
      <c r="C74" s="49">
        <v>844.95153000000005</v>
      </c>
      <c r="D74" s="37">
        <v>180</v>
      </c>
      <c r="E74" s="38">
        <f t="shared" si="3"/>
        <v>21.302997108011628</v>
      </c>
      <c r="F74" s="38">
        <f t="shared" si="4"/>
        <v>-664.95153000000005</v>
      </c>
    </row>
    <row r="75" spans="1:7" ht="16.5" customHeight="1">
      <c r="A75" s="35" t="s">
        <v>66</v>
      </c>
      <c r="B75" s="39" t="s">
        <v>67</v>
      </c>
      <c r="C75" s="49">
        <f>31.862+30</f>
        <v>61.861999999999995</v>
      </c>
      <c r="D75" s="37">
        <v>39.561999999999998</v>
      </c>
      <c r="E75" s="38">
        <f t="shared" si="3"/>
        <v>63.952022243057129</v>
      </c>
      <c r="F75" s="38">
        <f t="shared" si="4"/>
        <v>-22.299999999999997</v>
      </c>
    </row>
    <row r="76" spans="1:7" s="6" customFormat="1" ht="19.5" customHeight="1">
      <c r="A76" s="30" t="s">
        <v>68</v>
      </c>
      <c r="B76" s="31" t="s">
        <v>69</v>
      </c>
      <c r="C76" s="32">
        <f>SUM(C77:C79)</f>
        <v>490.59100000000001</v>
      </c>
      <c r="D76" s="32">
        <f>SUM(D77:D79)</f>
        <v>287.41807999999997</v>
      </c>
      <c r="E76" s="34">
        <f t="shared" si="3"/>
        <v>58.58608902323931</v>
      </c>
      <c r="F76" s="34">
        <f t="shared" si="4"/>
        <v>-203.17292000000003</v>
      </c>
    </row>
    <row r="77" spans="1:7" ht="18" hidden="1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8" hidden="1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>
      <c r="A79" s="35" t="s">
        <v>74</v>
      </c>
      <c r="B79" s="39" t="s">
        <v>75</v>
      </c>
      <c r="C79" s="37">
        <v>490.59100000000001</v>
      </c>
      <c r="D79" s="37">
        <v>287.41807999999997</v>
      </c>
      <c r="E79" s="38">
        <f t="shared" si="3"/>
        <v>58.58608902323931</v>
      </c>
      <c r="F79" s="38">
        <f t="shared" si="4"/>
        <v>-203.17292000000003</v>
      </c>
    </row>
    <row r="80" spans="1:7" s="6" customFormat="1">
      <c r="A80" s="30" t="s">
        <v>86</v>
      </c>
      <c r="B80" s="31" t="s">
        <v>87</v>
      </c>
      <c r="C80" s="32">
        <f>C81</f>
        <v>872.8</v>
      </c>
      <c r="D80" s="32">
        <f>SUM(D81)</f>
        <v>581.87199999999996</v>
      </c>
      <c r="E80" s="34">
        <f t="shared" si="3"/>
        <v>66.667277726856085</v>
      </c>
      <c r="F80" s="34">
        <f t="shared" si="4"/>
        <v>-290.928</v>
      </c>
    </row>
    <row r="81" spans="1:6" ht="17.25" customHeight="1">
      <c r="A81" s="35" t="s">
        <v>88</v>
      </c>
      <c r="B81" s="39" t="s">
        <v>234</v>
      </c>
      <c r="C81" s="37">
        <v>872.8</v>
      </c>
      <c r="D81" s="37">
        <v>581.87199999999996</v>
      </c>
      <c r="E81" s="38">
        <f t="shared" si="3"/>
        <v>66.667277726856085</v>
      </c>
      <c r="F81" s="38">
        <f t="shared" si="4"/>
        <v>-290.928</v>
      </c>
    </row>
    <row r="82" spans="1:6" s="6" customFormat="1" ht="21.7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8" hidden="1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7.2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23.25" hidden="1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2</v>
      </c>
      <c r="D87" s="32">
        <f>D88</f>
        <v>0.71499999999999997</v>
      </c>
      <c r="E87" s="38">
        <f t="shared" si="3"/>
        <v>35.75</v>
      </c>
      <c r="F87" s="22">
        <f>F88+F89+F90+F91+F92</f>
        <v>-1.2850000000000001</v>
      </c>
    </row>
    <row r="88" spans="1:6" ht="19.5" customHeight="1">
      <c r="A88" s="35" t="s">
        <v>97</v>
      </c>
      <c r="B88" s="39" t="s">
        <v>98</v>
      </c>
      <c r="C88" s="37">
        <v>2</v>
      </c>
      <c r="D88" s="37">
        <v>0.71499999999999997</v>
      </c>
      <c r="E88" s="38">
        <f t="shared" si="3"/>
        <v>35.75</v>
      </c>
      <c r="F88" s="38">
        <f>SUM(D88-C88)</f>
        <v>-1.2850000000000001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 t="s">
        <v>339</v>
      </c>
      <c r="E90" s="38" t="e">
        <f t="shared" si="3"/>
        <v>#VALUE!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3"/>
        <v>#DIV/0!</v>
      </c>
      <c r="F92" s="38"/>
    </row>
    <row r="93" spans="1:6" s="6" customFormat="1" ht="15.7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3"/>
        <v>#DIV/0!</v>
      </c>
      <c r="F93" s="34">
        <f t="shared" si="4"/>
        <v>0</v>
      </c>
    </row>
    <row r="94" spans="1:6" ht="15.75" hidden="1" customHeight="1">
      <c r="A94" s="53">
        <v>1401</v>
      </c>
      <c r="B94" s="54" t="s">
        <v>116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5.75" hidden="1" customHeight="1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5.75" hidden="1" customHeight="1">
      <c r="A96" s="53">
        <v>1403</v>
      </c>
      <c r="B96" s="54" t="s">
        <v>118</v>
      </c>
      <c r="C96" s="49">
        <v>0</v>
      </c>
      <c r="D96" s="37">
        <v>0</v>
      </c>
      <c r="E96" s="38" t="e">
        <f t="shared" si="3"/>
        <v>#DIV/0!</v>
      </c>
      <c r="F96" s="38">
        <f t="shared" si="4"/>
        <v>0</v>
      </c>
    </row>
    <row r="97" spans="1:6" s="6" customFormat="1" ht="15.75" customHeight="1">
      <c r="A97" s="52"/>
      <c r="B97" s="57" t="s">
        <v>119</v>
      </c>
      <c r="C97" s="442">
        <f>C56+C64+C66+C71+C76+C80+C82+C87+C93</f>
        <v>3732.2935299999999</v>
      </c>
      <c r="D97" s="442">
        <f>D56+D64+D66+D71+D76+D80+D82+D87+D93</f>
        <v>1992.5965399999998</v>
      </c>
      <c r="E97" s="34">
        <f t="shared" si="3"/>
        <v>53.387991163706786</v>
      </c>
      <c r="F97" s="34">
        <f t="shared" si="4"/>
        <v>-1739.6969900000001</v>
      </c>
    </row>
    <row r="98" spans="1:6">
      <c r="C98" s="126"/>
      <c r="D98" s="101"/>
    </row>
    <row r="99" spans="1:6" s="65" customFormat="1" ht="16.5" customHeight="1">
      <c r="A99" s="63" t="s">
        <v>120</v>
      </c>
      <c r="B99" s="63"/>
      <c r="C99" s="250"/>
      <c r="D99" s="250"/>
      <c r="E99" s="439"/>
    </row>
    <row r="100" spans="1:6" s="65" customFormat="1" ht="20.25" customHeight="1">
      <c r="A100" s="66" t="s">
        <v>121</v>
      </c>
      <c r="B100" s="66"/>
      <c r="C100" s="65" t="s">
        <v>122</v>
      </c>
    </row>
    <row r="101" spans="1:6" ht="13.5" customHeight="1">
      <c r="C101" s="120"/>
    </row>
    <row r="103" spans="1:6" ht="5.25" customHeight="1"/>
    <row r="141" hidden="1"/>
  </sheetData>
  <customSheetViews>
    <customSheetView guid="{A54C432C-6C68-4B53-A75C-446EB3A61B2B}" scale="70" showPageBreaks="1" hiddenRows="1" view="pageBreakPreview" topLeftCell="A62">
      <selection activeCell="C97" activeCellId="1" sqref="C51:D52 C97:D97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B30CE22D-C12F-4E12-8BB9-3AAE0A6991CC}" scale="70" showPageBreaks="1" hiddenRows="1" view="pageBreakPreview" topLeftCell="A28">
      <selection activeCell="D99" sqref="D99:E99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3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4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6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41"/>
  <sheetViews>
    <sheetView view="pageBreakPreview" topLeftCell="A69" zoomScale="70" zoomScaleNormal="100" zoomScaleSheetLayoutView="70" workbookViewId="0">
      <selection activeCell="C97" activeCellId="1" sqref="C51:D52 C97:D97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5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37" t="s">
        <v>429</v>
      </c>
      <c r="B1" s="437"/>
      <c r="C1" s="437"/>
      <c r="D1" s="437"/>
      <c r="E1" s="437"/>
      <c r="F1" s="437"/>
    </row>
    <row r="2" spans="1:6">
      <c r="A2" s="436"/>
      <c r="B2" s="436"/>
      <c r="C2" s="436"/>
      <c r="D2" s="436"/>
      <c r="E2" s="436"/>
      <c r="F2" s="43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727.76</v>
      </c>
      <c r="D4" s="5">
        <f>D5+D12+D14+D17+D7</f>
        <v>379.29093999999998</v>
      </c>
      <c r="E4" s="5">
        <f>SUM(D4/C4*100)</f>
        <v>52.117585467736617</v>
      </c>
      <c r="F4" s="5">
        <f>SUM(D4-C4)</f>
        <v>-348.46906000000001</v>
      </c>
    </row>
    <row r="5" spans="1:6" s="6" customFormat="1">
      <c r="A5" s="68">
        <v>1010000000</v>
      </c>
      <c r="B5" s="67" t="s">
        <v>6</v>
      </c>
      <c r="C5" s="5">
        <f>C6</f>
        <v>33.4</v>
      </c>
      <c r="D5" s="5">
        <f>D6</f>
        <v>22.319800000000001</v>
      </c>
      <c r="E5" s="5">
        <f t="shared" ref="E5:E51" si="0">SUM(D5/C5*100)</f>
        <v>66.825748502994017</v>
      </c>
      <c r="F5" s="5">
        <f t="shared" ref="F5:F51" si="1">SUM(D5-C5)</f>
        <v>-11.080199999999998</v>
      </c>
    </row>
    <row r="6" spans="1:6">
      <c r="A6" s="7">
        <v>1010200001</v>
      </c>
      <c r="B6" s="8" t="s">
        <v>229</v>
      </c>
      <c r="C6" s="9">
        <v>33.4</v>
      </c>
      <c r="D6" s="10">
        <v>22.319800000000001</v>
      </c>
      <c r="E6" s="9">
        <f t="shared" ref="E6:E11" si="2">SUM(D6/C6*100)</f>
        <v>66.825748502994017</v>
      </c>
      <c r="F6" s="9">
        <f t="shared" si="1"/>
        <v>-11.080199999999998</v>
      </c>
    </row>
    <row r="7" spans="1:6" ht="31.5">
      <c r="A7" s="3">
        <v>1030000000</v>
      </c>
      <c r="B7" s="13" t="s">
        <v>281</v>
      </c>
      <c r="C7" s="5">
        <f>C8+C10+C9</f>
        <v>322.36</v>
      </c>
      <c r="D7" s="5">
        <f>D8+D10+D9+D11</f>
        <v>217.94074999999998</v>
      </c>
      <c r="E7" s="5">
        <f t="shared" si="2"/>
        <v>67.607876287380563</v>
      </c>
      <c r="F7" s="5">
        <f t="shared" si="1"/>
        <v>-104.41925000000003</v>
      </c>
    </row>
    <row r="8" spans="1:6">
      <c r="A8" s="7">
        <v>1030223001</v>
      </c>
      <c r="B8" s="8" t="s">
        <v>283</v>
      </c>
      <c r="C8" s="9">
        <v>120.24</v>
      </c>
      <c r="D8" s="10">
        <v>95.111879999999999</v>
      </c>
      <c r="E8" s="9">
        <f t="shared" si="2"/>
        <v>79.101696606786433</v>
      </c>
      <c r="F8" s="9">
        <f t="shared" si="1"/>
        <v>-25.128119999999996</v>
      </c>
    </row>
    <row r="9" spans="1:6">
      <c r="A9" s="7">
        <v>1030224001</v>
      </c>
      <c r="B9" s="8" t="s">
        <v>289</v>
      </c>
      <c r="C9" s="9">
        <v>1.29</v>
      </c>
      <c r="D9" s="10">
        <v>0.81491000000000002</v>
      </c>
      <c r="E9" s="9">
        <f t="shared" si="2"/>
        <v>63.171317829457365</v>
      </c>
      <c r="F9" s="9">
        <f t="shared" si="1"/>
        <v>-0.47509000000000001</v>
      </c>
    </row>
    <row r="10" spans="1:6">
      <c r="A10" s="7">
        <v>1030225001</v>
      </c>
      <c r="B10" s="8" t="s">
        <v>282</v>
      </c>
      <c r="C10" s="9">
        <v>200.83</v>
      </c>
      <c r="D10" s="10">
        <v>144.18756999999999</v>
      </c>
      <c r="E10" s="9">
        <f t="shared" si="2"/>
        <v>71.795832295971707</v>
      </c>
      <c r="F10" s="9">
        <f t="shared" si="1"/>
        <v>-56.642430000000019</v>
      </c>
    </row>
    <row r="11" spans="1:6">
      <c r="A11" s="7">
        <v>1030226001</v>
      </c>
      <c r="B11" s="8" t="s">
        <v>291</v>
      </c>
      <c r="C11" s="9">
        <v>0</v>
      </c>
      <c r="D11" s="10">
        <v>-22.17361</v>
      </c>
      <c r="E11" s="9" t="e">
        <f t="shared" si="2"/>
        <v>#DIV/0!</v>
      </c>
      <c r="F11" s="9">
        <f t="shared" si="1"/>
        <v>-22.17361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8.5609699999999993</v>
      </c>
      <c r="E12" s="5">
        <f t="shared" si="0"/>
        <v>85.609699999999989</v>
      </c>
      <c r="F12" s="5">
        <f t="shared" si="1"/>
        <v>-1.4390300000000007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8.5609699999999993</v>
      </c>
      <c r="E13" s="9">
        <f t="shared" si="0"/>
        <v>85.609699999999989</v>
      </c>
      <c r="F13" s="9">
        <f t="shared" si="1"/>
        <v>-1.4390300000000007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355</v>
      </c>
      <c r="D14" s="5">
        <f>D15+D16</f>
        <v>129.66942</v>
      </c>
      <c r="E14" s="5">
        <f t="shared" si="0"/>
        <v>36.526597183098595</v>
      </c>
      <c r="F14" s="5">
        <f t="shared" si="1"/>
        <v>-225.33058</v>
      </c>
    </row>
    <row r="15" spans="1:6" s="6" customFormat="1" ht="15.75" customHeight="1">
      <c r="A15" s="7">
        <v>1060100000</v>
      </c>
      <c r="B15" s="11" t="s">
        <v>9</v>
      </c>
      <c r="C15" s="9">
        <v>40</v>
      </c>
      <c r="D15" s="10">
        <v>13.47983</v>
      </c>
      <c r="E15" s="9">
        <f t="shared" si="0"/>
        <v>33.699574999999996</v>
      </c>
      <c r="F15" s="9">
        <f>SUM(D15-C15)</f>
        <v>-26.52017</v>
      </c>
    </row>
    <row r="16" spans="1:6" ht="15.75" customHeight="1">
      <c r="A16" s="7">
        <v>1060600000</v>
      </c>
      <c r="B16" s="11" t="s">
        <v>8</v>
      </c>
      <c r="C16" s="9">
        <v>315</v>
      </c>
      <c r="D16" s="10">
        <v>116.18959</v>
      </c>
      <c r="E16" s="9">
        <f t="shared" si="0"/>
        <v>36.885584126984128</v>
      </c>
      <c r="F16" s="9">
        <f t="shared" si="1"/>
        <v>-198.81040999999999</v>
      </c>
    </row>
    <row r="17" spans="1:6" s="6" customFormat="1">
      <c r="A17" s="3">
        <v>1080000000</v>
      </c>
      <c r="B17" s="4" t="s">
        <v>11</v>
      </c>
      <c r="C17" s="5">
        <f>C18</f>
        <v>7</v>
      </c>
      <c r="D17" s="5">
        <f>D18</f>
        <v>0.8</v>
      </c>
      <c r="E17" s="5">
        <f t="shared" si="0"/>
        <v>11.428571428571429</v>
      </c>
      <c r="F17" s="5">
        <f t="shared" si="1"/>
        <v>-6.2</v>
      </c>
    </row>
    <row r="18" spans="1:6" ht="16.5" customHeight="1">
      <c r="A18" s="7">
        <v>1080400001</v>
      </c>
      <c r="B18" s="8" t="s">
        <v>228</v>
      </c>
      <c r="C18" s="9">
        <v>7</v>
      </c>
      <c r="D18" s="10">
        <v>0.8</v>
      </c>
      <c r="E18" s="9">
        <f t="shared" si="0"/>
        <v>11.428571428571429</v>
      </c>
      <c r="F18" s="9">
        <f t="shared" si="1"/>
        <v>-6.2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13</v>
      </c>
      <c r="C25" s="5">
        <f>C26+C29+C31+C37+C34</f>
        <v>182</v>
      </c>
      <c r="D25" s="5">
        <f>D26+D29+D31+D37+D34</f>
        <v>45.121899999999997</v>
      </c>
      <c r="E25" s="5">
        <f t="shared" si="0"/>
        <v>24.792252747252746</v>
      </c>
      <c r="F25" s="5">
        <f t="shared" si="1"/>
        <v>-136.87810000000002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132</v>
      </c>
      <c r="D26" s="5">
        <f>D27+D28</f>
        <v>23.854800000000001</v>
      </c>
      <c r="E26" s="5">
        <f t="shared" si="0"/>
        <v>18.071818181818184</v>
      </c>
      <c r="F26" s="5">
        <f t="shared" si="1"/>
        <v>-108.1452</v>
      </c>
    </row>
    <row r="27" spans="1:6">
      <c r="A27" s="16">
        <v>1110502510</v>
      </c>
      <c r="B27" s="17" t="s">
        <v>226</v>
      </c>
      <c r="C27" s="12">
        <v>115</v>
      </c>
      <c r="D27" s="10">
        <v>6.5140000000000002</v>
      </c>
      <c r="E27" s="9">
        <f t="shared" si="0"/>
        <v>5.6643478260869564</v>
      </c>
      <c r="F27" s="9">
        <f t="shared" si="1"/>
        <v>-108.486</v>
      </c>
    </row>
    <row r="28" spans="1:6" ht="18.75" customHeight="1">
      <c r="A28" s="7">
        <v>1110503505</v>
      </c>
      <c r="B28" s="11" t="s">
        <v>225</v>
      </c>
      <c r="C28" s="12">
        <v>17</v>
      </c>
      <c r="D28" s="10">
        <v>17.340800000000002</v>
      </c>
      <c r="E28" s="9">
        <f t="shared" si="0"/>
        <v>102.00470588235295</v>
      </c>
      <c r="F28" s="9">
        <f t="shared" si="1"/>
        <v>0.34080000000000155</v>
      </c>
    </row>
    <row r="29" spans="1:6" s="15" customFormat="1" ht="37.5" customHeight="1">
      <c r="A29" s="68">
        <v>1130000000</v>
      </c>
      <c r="B29" s="69" t="s">
        <v>131</v>
      </c>
      <c r="C29" s="5">
        <f>C30</f>
        <v>50</v>
      </c>
      <c r="D29" s="5">
        <f>D30</f>
        <v>21.386410000000001</v>
      </c>
      <c r="E29" s="5">
        <f t="shared" si="0"/>
        <v>42.772820000000003</v>
      </c>
      <c r="F29" s="5">
        <f t="shared" si="1"/>
        <v>-28.613589999999999</v>
      </c>
    </row>
    <row r="30" spans="1:6" ht="18" customHeight="1">
      <c r="A30" s="7">
        <v>1130206005</v>
      </c>
      <c r="B30" s="8" t="s">
        <v>224</v>
      </c>
      <c r="C30" s="9">
        <v>50</v>
      </c>
      <c r="D30" s="10">
        <v>21.386410000000001</v>
      </c>
      <c r="E30" s="9">
        <f t="shared" si="0"/>
        <v>42.772820000000003</v>
      </c>
      <c r="F30" s="9">
        <f t="shared" si="1"/>
        <v>-28.613589999999999</v>
      </c>
    </row>
    <row r="31" spans="1:6" ht="18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29.2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1160000000</v>
      </c>
      <c r="B34" s="13" t="s">
        <v>252</v>
      </c>
      <c r="C34" s="14">
        <f>C35+C36</f>
        <v>0</v>
      </c>
      <c r="D34" s="14">
        <f>D35+D36</f>
        <v>8.7899999999999992E-3</v>
      </c>
      <c r="E34" s="5" t="e">
        <f t="shared" si="0"/>
        <v>#DIV/0!</v>
      </c>
      <c r="F34" s="5">
        <f t="shared" si="1"/>
        <v>8.7899999999999992E-3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1169005010</v>
      </c>
      <c r="B36" s="8" t="s">
        <v>344</v>
      </c>
      <c r="C36" s="9">
        <v>0</v>
      </c>
      <c r="D36" s="10">
        <v>8.7899999999999992E-3</v>
      </c>
      <c r="E36" s="9" t="e">
        <f>SUM(D36/C36*100)</f>
        <v>#DIV/0!</v>
      </c>
      <c r="F36" s="9">
        <f>SUM(D36-C36)</f>
        <v>8.7899999999999992E-3</v>
      </c>
    </row>
    <row r="37" spans="1:7" ht="21" customHeight="1">
      <c r="A37" s="3">
        <v>1170000000</v>
      </c>
      <c r="B37" s="13" t="s">
        <v>135</v>
      </c>
      <c r="C37" s="5">
        <f>C38+C39</f>
        <v>0</v>
      </c>
      <c r="D37" s="5">
        <f>D38+D39</f>
        <v>-0.12809999999999999</v>
      </c>
      <c r="E37" s="5" t="e">
        <f t="shared" si="0"/>
        <v>#DIV/0!</v>
      </c>
      <c r="F37" s="5">
        <f t="shared" si="1"/>
        <v>-0.12809999999999999</v>
      </c>
    </row>
    <row r="38" spans="1:7" ht="17.25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1170505005</v>
      </c>
      <c r="B39" s="11" t="s">
        <v>221</v>
      </c>
      <c r="C39" s="9">
        <v>0</v>
      </c>
      <c r="D39" s="10">
        <v>-0.12809999999999999</v>
      </c>
      <c r="E39" s="9" t="e">
        <f t="shared" si="0"/>
        <v>#DIV/0!</v>
      </c>
      <c r="F39" s="9">
        <f t="shared" si="1"/>
        <v>-0.12809999999999999</v>
      </c>
    </row>
    <row r="40" spans="1:7" s="6" customFormat="1">
      <c r="A40" s="3">
        <v>1000000000</v>
      </c>
      <c r="B40" s="4" t="s">
        <v>19</v>
      </c>
      <c r="C40" s="127">
        <f>SUM(C4,C25)</f>
        <v>909.76</v>
      </c>
      <c r="D40" s="127">
        <f>D4+D25</f>
        <v>424.41283999999996</v>
      </c>
      <c r="E40" s="5">
        <f t="shared" si="0"/>
        <v>46.651077207175518</v>
      </c>
      <c r="F40" s="5">
        <f t="shared" si="1"/>
        <v>-485.34716000000003</v>
      </c>
    </row>
    <row r="41" spans="1:7" s="6" customFormat="1">
      <c r="A41" s="3">
        <v>2000000000</v>
      </c>
      <c r="B41" s="4" t="s">
        <v>20</v>
      </c>
      <c r="C41" s="5">
        <f>C42+C43+C44+C45+C46+C47+C50</f>
        <v>2539.1910000000003</v>
      </c>
      <c r="D41" s="438">
        <f>D42+D43+D44+D45+D46+D47+D50</f>
        <v>1642.9450999999999</v>
      </c>
      <c r="E41" s="5">
        <f t="shared" si="0"/>
        <v>64.703486267870346</v>
      </c>
      <c r="F41" s="5">
        <f t="shared" si="1"/>
        <v>-896.24590000000035</v>
      </c>
      <c r="G41" s="19"/>
    </row>
    <row r="42" spans="1:7" ht="16.5" customHeight="1">
      <c r="A42" s="16">
        <v>2021000000</v>
      </c>
      <c r="B42" s="17" t="s">
        <v>21</v>
      </c>
      <c r="C42" s="12">
        <v>1243.7660000000001</v>
      </c>
      <c r="D42" s="20">
        <v>911.779</v>
      </c>
      <c r="E42" s="9">
        <f t="shared" si="0"/>
        <v>73.30792126493246</v>
      </c>
      <c r="F42" s="9">
        <f t="shared" si="1"/>
        <v>-331.98700000000008</v>
      </c>
    </row>
    <row r="43" spans="1:7" ht="15.75" customHeight="1">
      <c r="A43" s="16">
        <v>2021500200</v>
      </c>
      <c r="B43" s="17" t="s">
        <v>232</v>
      </c>
      <c r="C43" s="12">
        <v>400</v>
      </c>
      <c r="D43" s="20">
        <v>200</v>
      </c>
      <c r="E43" s="9">
        <f t="shared" si="0"/>
        <v>50</v>
      </c>
      <c r="F43" s="9">
        <f t="shared" si="1"/>
        <v>-200</v>
      </c>
    </row>
    <row r="44" spans="1:7">
      <c r="A44" s="16">
        <v>2022000000</v>
      </c>
      <c r="B44" s="17" t="s">
        <v>22</v>
      </c>
      <c r="C44" s="12">
        <v>725.07</v>
      </c>
      <c r="D44" s="10">
        <v>373.72300000000001</v>
      </c>
      <c r="E44" s="9">
        <f t="shared" si="0"/>
        <v>51.543023432220338</v>
      </c>
      <c r="F44" s="9">
        <f t="shared" si="1"/>
        <v>-351.34700000000004</v>
      </c>
    </row>
    <row r="45" spans="1:7" ht="15" customHeight="1">
      <c r="A45" s="16">
        <v>2023000000</v>
      </c>
      <c r="B45" s="17" t="s">
        <v>23</v>
      </c>
      <c r="C45" s="12">
        <v>73.254999999999995</v>
      </c>
      <c r="D45" s="252">
        <v>60.3431</v>
      </c>
      <c r="E45" s="9">
        <f t="shared" si="0"/>
        <v>82.374035901986218</v>
      </c>
      <c r="F45" s="9">
        <f t="shared" si="1"/>
        <v>-12.911899999999996</v>
      </c>
    </row>
    <row r="46" spans="1:7" ht="0.75" hidden="1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17.25" hidden="1" customHeight="1">
      <c r="A47" s="16">
        <v>2020900000</v>
      </c>
      <c r="B47" s="18" t="s">
        <v>25</v>
      </c>
      <c r="C47" s="12"/>
      <c r="D47" s="253"/>
      <c r="E47" s="9" t="e">
        <f t="shared" si="0"/>
        <v>#DIV/0!</v>
      </c>
      <c r="F47" s="9">
        <f t="shared" si="1"/>
        <v>0</v>
      </c>
    </row>
    <row r="48" spans="1:7" ht="17.25" hidden="1" customHeight="1">
      <c r="A48" s="16">
        <v>2080500010</v>
      </c>
      <c r="B48" s="18" t="s">
        <v>256</v>
      </c>
      <c r="C48" s="12"/>
      <c r="D48" s="253"/>
      <c r="E48" s="9"/>
      <c r="F48" s="9"/>
    </row>
    <row r="49" spans="1:7" s="6" customFormat="1" ht="17.25" hidden="1" customHeight="1">
      <c r="A49" s="3">
        <v>3000000000</v>
      </c>
      <c r="B49" s="13" t="s">
        <v>27</v>
      </c>
      <c r="C49" s="278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7.25" customHeight="1">
      <c r="A50" s="7">
        <v>2070500010</v>
      </c>
      <c r="B50" s="8" t="s">
        <v>355</v>
      </c>
      <c r="C50" s="12">
        <v>97.1</v>
      </c>
      <c r="D50" s="10">
        <v>97.1</v>
      </c>
      <c r="E50" s="9">
        <f t="shared" si="0"/>
        <v>100</v>
      </c>
      <c r="F50" s="9">
        <f t="shared" si="1"/>
        <v>0</v>
      </c>
    </row>
    <row r="51" spans="1:7" s="6" customFormat="1" ht="17.25" customHeight="1">
      <c r="A51" s="3"/>
      <c r="B51" s="4" t="s">
        <v>28</v>
      </c>
      <c r="C51" s="281">
        <f>C40+C41</f>
        <v>3448.951</v>
      </c>
      <c r="D51" s="444">
        <f>D40+D41</f>
        <v>2067.3579399999999</v>
      </c>
      <c r="E51" s="93">
        <f t="shared" si="0"/>
        <v>59.941644285465344</v>
      </c>
      <c r="F51" s="93">
        <f t="shared" si="1"/>
        <v>-1381.5930600000002</v>
      </c>
      <c r="G51" s="94"/>
    </row>
    <row r="52" spans="1:7" s="6" customFormat="1" ht="16.5" customHeight="1">
      <c r="A52" s="3"/>
      <c r="B52" s="21" t="s">
        <v>322</v>
      </c>
      <c r="C52" s="281">
        <f>C51-C97</f>
        <v>53.393469999999979</v>
      </c>
      <c r="D52" s="281">
        <f>D51-D97</f>
        <v>83.871589999999742</v>
      </c>
      <c r="E52" s="282"/>
      <c r="F52" s="282"/>
    </row>
    <row r="53" spans="1:7">
      <c r="A53" s="23"/>
      <c r="B53" s="24"/>
      <c r="C53" s="329"/>
      <c r="D53" s="329"/>
      <c r="E53" s="26"/>
      <c r="F53" s="27"/>
    </row>
    <row r="54" spans="1:7" ht="32.25" customHeight="1">
      <c r="A54" s="28" t="s">
        <v>1</v>
      </c>
      <c r="B54" s="28" t="s">
        <v>29</v>
      </c>
      <c r="C54" s="249" t="s">
        <v>346</v>
      </c>
      <c r="D54" s="73" t="s">
        <v>412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3">
        <f>C57+C58+C59+C60+C61+C63+C62</f>
        <v>1139.7604999999999</v>
      </c>
      <c r="D56" s="33">
        <f>D57+D58+D59+D60+D61+D63+D62</f>
        <v>681.70507000000009</v>
      </c>
      <c r="E56" s="34">
        <f>SUM(D56/C56*100)</f>
        <v>59.811255961230472</v>
      </c>
      <c r="F56" s="34">
        <f>SUM(D56-C56)</f>
        <v>-458.05542999999977</v>
      </c>
    </row>
    <row r="57" spans="1:7" s="6" customFormat="1" ht="15.75" hidden="1" customHeight="1">
      <c r="A57" s="35" t="s">
        <v>32</v>
      </c>
      <c r="B57" s="36" t="s">
        <v>33</v>
      </c>
      <c r="C57" s="283"/>
      <c r="D57" s="283"/>
      <c r="E57" s="38"/>
      <c r="F57" s="38"/>
    </row>
    <row r="58" spans="1:7" ht="17.25" customHeight="1">
      <c r="A58" s="35" t="s">
        <v>34</v>
      </c>
      <c r="B58" s="39" t="s">
        <v>35</v>
      </c>
      <c r="C58" s="283">
        <v>1100.9659999999999</v>
      </c>
      <c r="D58" s="283">
        <v>676.06257000000005</v>
      </c>
      <c r="E58" s="38">
        <f t="shared" ref="E58:E97" si="3">SUM(D58/C58*100)</f>
        <v>61.406307733390506</v>
      </c>
      <c r="F58" s="38">
        <f t="shared" ref="F58:F97" si="4">SUM(D58-C58)</f>
        <v>-424.90342999999984</v>
      </c>
    </row>
    <row r="59" spans="1:7" ht="17.25" hidden="1" customHeight="1">
      <c r="A59" s="35" t="s">
        <v>36</v>
      </c>
      <c r="B59" s="39" t="s">
        <v>37</v>
      </c>
      <c r="C59" s="283"/>
      <c r="D59" s="283"/>
      <c r="E59" s="38"/>
      <c r="F59" s="38">
        <f t="shared" si="4"/>
        <v>0</v>
      </c>
    </row>
    <row r="60" spans="1:7" ht="15.75" hidden="1" customHeight="1">
      <c r="A60" s="35" t="s">
        <v>38</v>
      </c>
      <c r="B60" s="39" t="s">
        <v>39</v>
      </c>
      <c r="C60" s="283"/>
      <c r="D60" s="283"/>
      <c r="E60" s="38" t="e">
        <f t="shared" si="3"/>
        <v>#DIV/0!</v>
      </c>
      <c r="F60" s="38">
        <f t="shared" si="4"/>
        <v>0</v>
      </c>
    </row>
    <row r="61" spans="1:7" ht="15" customHeight="1">
      <c r="A61" s="35" t="s">
        <v>40</v>
      </c>
      <c r="B61" s="39" t="s">
        <v>41</v>
      </c>
      <c r="C61" s="283">
        <v>32.152000000000001</v>
      </c>
      <c r="D61" s="283">
        <v>0</v>
      </c>
      <c r="E61" s="38">
        <f t="shared" si="3"/>
        <v>0</v>
      </c>
      <c r="F61" s="38">
        <f t="shared" si="4"/>
        <v>-32.152000000000001</v>
      </c>
    </row>
    <row r="62" spans="1:7" ht="15.75" customHeight="1">
      <c r="A62" s="35" t="s">
        <v>42</v>
      </c>
      <c r="B62" s="39" t="s">
        <v>43</v>
      </c>
      <c r="C62" s="284">
        <v>1</v>
      </c>
      <c r="D62" s="284">
        <v>0</v>
      </c>
      <c r="E62" s="38">
        <f t="shared" si="3"/>
        <v>0</v>
      </c>
      <c r="F62" s="38">
        <f t="shared" si="4"/>
        <v>-1</v>
      </c>
    </row>
    <row r="63" spans="1:7" ht="19.5" customHeight="1">
      <c r="A63" s="35" t="s">
        <v>44</v>
      </c>
      <c r="B63" s="39" t="s">
        <v>45</v>
      </c>
      <c r="C63" s="283">
        <v>5.6425000000000001</v>
      </c>
      <c r="D63" s="283">
        <v>5.6425000000000001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46</v>
      </c>
      <c r="B64" s="42" t="s">
        <v>47</v>
      </c>
      <c r="C64" s="33">
        <f>C65</f>
        <v>70.596000000000004</v>
      </c>
      <c r="D64" s="33">
        <f>D65</f>
        <v>48.679569999999998</v>
      </c>
      <c r="E64" s="34">
        <f t="shared" si="3"/>
        <v>68.955139101365518</v>
      </c>
      <c r="F64" s="34">
        <f t="shared" si="4"/>
        <v>-21.916430000000005</v>
      </c>
    </row>
    <row r="65" spans="1:9">
      <c r="A65" s="43" t="s">
        <v>48</v>
      </c>
      <c r="B65" s="44" t="s">
        <v>49</v>
      </c>
      <c r="C65" s="283">
        <v>70.596000000000004</v>
      </c>
      <c r="D65" s="283">
        <v>48.679569999999998</v>
      </c>
      <c r="E65" s="38">
        <f t="shared" si="3"/>
        <v>68.955139101365518</v>
      </c>
      <c r="F65" s="38">
        <f t="shared" si="4"/>
        <v>-21.916430000000005</v>
      </c>
    </row>
    <row r="66" spans="1:9" s="6" customFormat="1" ht="18" customHeight="1">
      <c r="A66" s="30" t="s">
        <v>50</v>
      </c>
      <c r="B66" s="31" t="s">
        <v>51</v>
      </c>
      <c r="C66" s="33">
        <f>C69+C70</f>
        <v>4</v>
      </c>
      <c r="D66" s="33">
        <f>D69+D70</f>
        <v>0</v>
      </c>
      <c r="E66" s="34">
        <f t="shared" si="3"/>
        <v>0</v>
      </c>
      <c r="F66" s="34">
        <f t="shared" si="4"/>
        <v>-4</v>
      </c>
    </row>
    <row r="67" spans="1:9" ht="1.5" hidden="1" customHeight="1">
      <c r="A67" s="35" t="s">
        <v>52</v>
      </c>
      <c r="B67" s="39" t="s">
        <v>53</v>
      </c>
      <c r="C67" s="283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45" t="s">
        <v>54</v>
      </c>
      <c r="B68" s="39" t="s">
        <v>55</v>
      </c>
      <c r="C68" s="283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6" t="s">
        <v>56</v>
      </c>
      <c r="B69" s="47" t="s">
        <v>57</v>
      </c>
      <c r="C69" s="285">
        <v>2</v>
      </c>
      <c r="D69" s="33">
        <v>0</v>
      </c>
      <c r="E69" s="34">
        <f t="shared" si="3"/>
        <v>0</v>
      </c>
      <c r="F69" s="34">
        <f t="shared" si="4"/>
        <v>-2</v>
      </c>
    </row>
    <row r="70" spans="1:9">
      <c r="A70" s="46" t="s">
        <v>219</v>
      </c>
      <c r="B70" s="47" t="s">
        <v>220</v>
      </c>
      <c r="C70" s="283">
        <v>2</v>
      </c>
      <c r="D70" s="283">
        <v>0</v>
      </c>
      <c r="E70" s="34">
        <f t="shared" si="3"/>
        <v>0</v>
      </c>
      <c r="F70" s="34">
        <f t="shared" si="4"/>
        <v>-2</v>
      </c>
    </row>
    <row r="71" spans="1:9" s="6" customFormat="1" ht="17.25" customHeight="1">
      <c r="A71" s="30" t="s">
        <v>58</v>
      </c>
      <c r="B71" s="31" t="s">
        <v>59</v>
      </c>
      <c r="C71" s="33">
        <f>SUM(C72:C75)</f>
        <v>1271.0955300000001</v>
      </c>
      <c r="D71" s="33">
        <f>SUM(D72:D75)</f>
        <v>708.40427</v>
      </c>
      <c r="E71" s="34">
        <f t="shared" si="3"/>
        <v>55.731788310198837</v>
      </c>
      <c r="F71" s="34">
        <f t="shared" si="4"/>
        <v>-562.69126000000006</v>
      </c>
      <c r="I71" s="108"/>
    </row>
    <row r="72" spans="1:9" ht="15.75" customHeight="1">
      <c r="A72" s="35" t="s">
        <v>60</v>
      </c>
      <c r="B72" s="39" t="s">
        <v>61</v>
      </c>
      <c r="C72" s="283">
        <v>8.2590000000000003</v>
      </c>
      <c r="D72" s="283">
        <v>3.75</v>
      </c>
      <c r="E72" s="38">
        <f t="shared" si="3"/>
        <v>45.405012713403558</v>
      </c>
      <c r="F72" s="38">
        <f t="shared" si="4"/>
        <v>-4.5090000000000003</v>
      </c>
    </row>
    <row r="73" spans="1:9" s="6" customFormat="1" ht="19.5" customHeight="1">
      <c r="A73" s="35" t="s">
        <v>62</v>
      </c>
      <c r="B73" s="39" t="s">
        <v>63</v>
      </c>
      <c r="C73" s="283">
        <v>60</v>
      </c>
      <c r="D73" s="283">
        <v>23.57723</v>
      </c>
      <c r="E73" s="38">
        <f t="shared" si="3"/>
        <v>39.295383333333334</v>
      </c>
      <c r="F73" s="38">
        <f t="shared" si="4"/>
        <v>-36.42277</v>
      </c>
      <c r="G73" s="50"/>
    </row>
    <row r="74" spans="1:9">
      <c r="A74" s="35" t="s">
        <v>64</v>
      </c>
      <c r="B74" s="39" t="s">
        <v>65</v>
      </c>
      <c r="C74" s="283">
        <v>1130.0365300000001</v>
      </c>
      <c r="D74" s="283">
        <v>675.07704000000001</v>
      </c>
      <c r="E74" s="38">
        <f t="shared" si="3"/>
        <v>59.739399751970844</v>
      </c>
      <c r="F74" s="38">
        <f t="shared" si="4"/>
        <v>-454.95949000000007</v>
      </c>
    </row>
    <row r="75" spans="1:9">
      <c r="A75" s="35" t="s">
        <v>66</v>
      </c>
      <c r="B75" s="39" t="s">
        <v>67</v>
      </c>
      <c r="C75" s="283">
        <v>72.8</v>
      </c>
      <c r="D75" s="283">
        <v>6</v>
      </c>
      <c r="E75" s="38">
        <f t="shared" si="3"/>
        <v>8.2417582417582409</v>
      </c>
      <c r="F75" s="38">
        <f t="shared" si="4"/>
        <v>-66.8</v>
      </c>
    </row>
    <row r="76" spans="1:9" s="6" customFormat="1" ht="18" customHeight="1">
      <c r="A76" s="30" t="s">
        <v>68</v>
      </c>
      <c r="B76" s="31" t="s">
        <v>69</v>
      </c>
      <c r="C76" s="33">
        <f>SUM(C77:C79)</f>
        <v>211.602</v>
      </c>
      <c r="D76" s="33">
        <f>SUM(D77:D79)</f>
        <v>85.996440000000007</v>
      </c>
      <c r="E76" s="34">
        <f t="shared" si="3"/>
        <v>40.640655570363229</v>
      </c>
      <c r="F76" s="34">
        <f t="shared" si="4"/>
        <v>-125.60556</v>
      </c>
    </row>
    <row r="77" spans="1:9" ht="15" hidden="1" customHeight="1">
      <c r="A77" s="35" t="s">
        <v>70</v>
      </c>
      <c r="B77" s="51" t="s">
        <v>71</v>
      </c>
      <c r="C77" s="283"/>
      <c r="D77" s="283"/>
      <c r="E77" s="38" t="e">
        <f t="shared" si="3"/>
        <v>#DIV/0!</v>
      </c>
      <c r="F77" s="38">
        <f t="shared" si="4"/>
        <v>0</v>
      </c>
    </row>
    <row r="78" spans="1:9" ht="18" hidden="1" customHeight="1">
      <c r="A78" s="35" t="s">
        <v>72</v>
      </c>
      <c r="B78" s="51" t="s">
        <v>73</v>
      </c>
      <c r="C78" s="283"/>
      <c r="D78" s="283"/>
      <c r="E78" s="38" t="e">
        <f t="shared" si="3"/>
        <v>#DIV/0!</v>
      </c>
      <c r="F78" s="38">
        <f t="shared" si="4"/>
        <v>0</v>
      </c>
    </row>
    <row r="79" spans="1:9">
      <c r="A79" s="35" t="s">
        <v>74</v>
      </c>
      <c r="B79" s="39" t="s">
        <v>75</v>
      </c>
      <c r="C79" s="283">
        <v>211.602</v>
      </c>
      <c r="D79" s="283">
        <v>85.996440000000007</v>
      </c>
      <c r="E79" s="38">
        <f t="shared" si="3"/>
        <v>40.640655570363229</v>
      </c>
      <c r="F79" s="38">
        <f t="shared" si="4"/>
        <v>-125.60556</v>
      </c>
    </row>
    <row r="80" spans="1:9" s="6" customFormat="1">
      <c r="A80" s="30" t="s">
        <v>86</v>
      </c>
      <c r="B80" s="31" t="s">
        <v>87</v>
      </c>
      <c r="C80" s="33">
        <f>C81</f>
        <v>689.50350000000003</v>
      </c>
      <c r="D80" s="33">
        <f>SUM(D81)</f>
        <v>449.70299999999997</v>
      </c>
      <c r="E80" s="34">
        <f t="shared" si="3"/>
        <v>65.221278789737823</v>
      </c>
      <c r="F80" s="34">
        <f t="shared" si="4"/>
        <v>-239.80050000000006</v>
      </c>
    </row>
    <row r="81" spans="1:12" ht="15.75" customHeight="1">
      <c r="A81" s="35" t="s">
        <v>88</v>
      </c>
      <c r="B81" s="39" t="s">
        <v>234</v>
      </c>
      <c r="C81" s="283">
        <v>689.50350000000003</v>
      </c>
      <c r="D81" s="283">
        <v>449.70299999999997</v>
      </c>
      <c r="E81" s="38">
        <f t="shared" si="3"/>
        <v>65.221278789737823</v>
      </c>
      <c r="F81" s="38">
        <f t="shared" si="4"/>
        <v>-239.80050000000006</v>
      </c>
      <c r="L81" s="107"/>
    </row>
    <row r="82" spans="1:12" s="6" customFormat="1">
      <c r="A82" s="52">
        <v>1000</v>
      </c>
      <c r="B82" s="31" t="s">
        <v>89</v>
      </c>
      <c r="C82" s="33">
        <f>SUM(C83:C86)</f>
        <v>5</v>
      </c>
      <c r="D82" s="33">
        <f>SUM(D83:D86)</f>
        <v>5</v>
      </c>
      <c r="E82" s="34">
        <f>SUM(D82/C82*100)</f>
        <v>100</v>
      </c>
      <c r="F82" s="34">
        <f t="shared" si="4"/>
        <v>0</v>
      </c>
    </row>
    <row r="83" spans="1:12" hidden="1">
      <c r="A83" s="53">
        <v>1001</v>
      </c>
      <c r="B83" s="54" t="s">
        <v>90</v>
      </c>
      <c r="C83" s="283"/>
      <c r="D83" s="283"/>
      <c r="E83" s="356" t="e">
        <f>SUM(D83/C83*100)</f>
        <v>#DIV/0!</v>
      </c>
      <c r="F83" s="356">
        <f>SUM(D83-C83)</f>
        <v>0</v>
      </c>
    </row>
    <row r="84" spans="1:12" hidden="1">
      <c r="A84" s="53">
        <v>1003</v>
      </c>
      <c r="B84" s="54" t="s">
        <v>91</v>
      </c>
      <c r="C84" s="283"/>
      <c r="D84" s="283"/>
      <c r="E84" s="356" t="e">
        <f>SUM(D84/C84*100)</f>
        <v>#DIV/0!</v>
      </c>
      <c r="F84" s="356">
        <f>SUM(D84-C84)</f>
        <v>0</v>
      </c>
    </row>
    <row r="85" spans="1:12" hidden="1">
      <c r="A85" s="53">
        <v>1004</v>
      </c>
      <c r="B85" s="54" t="s">
        <v>92</v>
      </c>
      <c r="C85" s="283"/>
      <c r="D85" s="286"/>
      <c r="E85" s="356" t="e">
        <f>SUM(D85/C85*100)</f>
        <v>#DIV/0!</v>
      </c>
      <c r="F85" s="356">
        <f>SUM(D85-C85)</f>
        <v>0</v>
      </c>
    </row>
    <row r="86" spans="1:12" ht="15" customHeight="1">
      <c r="A86" s="35" t="s">
        <v>93</v>
      </c>
      <c r="B86" s="39" t="s">
        <v>94</v>
      </c>
      <c r="C86" s="283">
        <v>5</v>
      </c>
      <c r="D86" s="283">
        <v>5</v>
      </c>
      <c r="E86" s="356">
        <f>SUM(D86/C86*100)</f>
        <v>100</v>
      </c>
      <c r="F86" s="356">
        <f>SUM(D86-C86)</f>
        <v>0</v>
      </c>
    </row>
    <row r="87" spans="1:12" ht="19.5" customHeight="1">
      <c r="A87" s="30" t="s">
        <v>95</v>
      </c>
      <c r="B87" s="31" t="s">
        <v>96</v>
      </c>
      <c r="C87" s="33">
        <f>C88+C89+C90+C91+C92</f>
        <v>4</v>
      </c>
      <c r="D87" s="33">
        <f>D88+D89+D90+D91+D92</f>
        <v>3.9980000000000002</v>
      </c>
      <c r="E87" s="38">
        <f t="shared" si="3"/>
        <v>99.95</v>
      </c>
      <c r="F87" s="22">
        <f>F88+F89+F90+F91+F92</f>
        <v>-1.9999999999997797E-3</v>
      </c>
    </row>
    <row r="88" spans="1:12" ht="15.75" customHeight="1">
      <c r="A88" s="35" t="s">
        <v>97</v>
      </c>
      <c r="B88" s="39" t="s">
        <v>98</v>
      </c>
      <c r="C88" s="283">
        <v>4</v>
      </c>
      <c r="D88" s="283">
        <v>3.9980000000000002</v>
      </c>
      <c r="E88" s="38">
        <f t="shared" si="3"/>
        <v>99.95</v>
      </c>
      <c r="F88" s="38">
        <f>SUM(D88-C88)</f>
        <v>-1.9999999999997797E-3</v>
      </c>
    </row>
    <row r="89" spans="1:12" ht="0.75" hidden="1" customHeight="1">
      <c r="A89" s="35" t="s">
        <v>99</v>
      </c>
      <c r="B89" s="39" t="s">
        <v>100</v>
      </c>
      <c r="C89" s="283"/>
      <c r="D89" s="283">
        <v>0</v>
      </c>
      <c r="E89" s="38" t="e">
        <f t="shared" si="3"/>
        <v>#DIV/0!</v>
      </c>
      <c r="F89" s="38">
        <f>SUM(D89-C89)</f>
        <v>0</v>
      </c>
    </row>
    <row r="90" spans="1:12" ht="15.75" hidden="1" customHeight="1">
      <c r="A90" s="35" t="s">
        <v>101</v>
      </c>
      <c r="B90" s="39" t="s">
        <v>102</v>
      </c>
      <c r="C90" s="283"/>
      <c r="D90" s="283"/>
      <c r="E90" s="38" t="e">
        <f t="shared" si="3"/>
        <v>#DIV/0!</v>
      </c>
      <c r="F90" s="38"/>
    </row>
    <row r="91" spans="1:12" ht="3" hidden="1" customHeight="1">
      <c r="A91" s="35" t="s">
        <v>103</v>
      </c>
      <c r="B91" s="39" t="s">
        <v>104</v>
      </c>
      <c r="C91" s="283"/>
      <c r="D91" s="283"/>
      <c r="E91" s="38" t="e">
        <f t="shared" si="3"/>
        <v>#DIV/0!</v>
      </c>
      <c r="F91" s="38"/>
    </row>
    <row r="92" spans="1:12" ht="15" hidden="1" customHeight="1">
      <c r="A92" s="35" t="s">
        <v>105</v>
      </c>
      <c r="B92" s="39" t="s">
        <v>106</v>
      </c>
      <c r="C92" s="283"/>
      <c r="D92" s="283"/>
      <c r="E92" s="38" t="e">
        <f t="shared" si="3"/>
        <v>#DIV/0!</v>
      </c>
      <c r="F92" s="38"/>
    </row>
    <row r="93" spans="1:12" s="6" customFormat="1" ht="12" hidden="1" customHeight="1">
      <c r="A93" s="52">
        <v>1400</v>
      </c>
      <c r="B93" s="56" t="s">
        <v>115</v>
      </c>
      <c r="C93" s="33">
        <f>C94+C95+C96</f>
        <v>0</v>
      </c>
      <c r="D93" s="33">
        <f>SUM(D94:D96)</f>
        <v>0</v>
      </c>
      <c r="E93" s="34" t="e">
        <f t="shared" si="3"/>
        <v>#DIV/0!</v>
      </c>
      <c r="F93" s="34">
        <f t="shared" si="4"/>
        <v>0</v>
      </c>
    </row>
    <row r="94" spans="1:12" ht="15.75" hidden="1" customHeight="1">
      <c r="A94" s="53">
        <v>1401</v>
      </c>
      <c r="B94" s="54" t="s">
        <v>116</v>
      </c>
      <c r="C94" s="283"/>
      <c r="D94" s="283"/>
      <c r="E94" s="38" t="e">
        <f t="shared" si="3"/>
        <v>#DIV/0!</v>
      </c>
      <c r="F94" s="38">
        <f t="shared" si="4"/>
        <v>0</v>
      </c>
    </row>
    <row r="95" spans="1:12" hidden="1">
      <c r="A95" s="53">
        <v>1402</v>
      </c>
      <c r="B95" s="54" t="s">
        <v>117</v>
      </c>
      <c r="C95" s="283"/>
      <c r="D95" s="283"/>
      <c r="E95" s="38" t="e">
        <f t="shared" si="3"/>
        <v>#DIV/0!</v>
      </c>
      <c r="F95" s="38">
        <f t="shared" si="4"/>
        <v>0</v>
      </c>
    </row>
    <row r="96" spans="1:12" ht="23.25" hidden="1" customHeight="1">
      <c r="A96" s="53">
        <v>1403</v>
      </c>
      <c r="B96" s="54" t="s">
        <v>118</v>
      </c>
      <c r="C96" s="283"/>
      <c r="D96" s="283"/>
      <c r="E96" s="38" t="e">
        <f t="shared" si="3"/>
        <v>#DIV/0!</v>
      </c>
      <c r="F96" s="38">
        <f t="shared" si="4"/>
        <v>0</v>
      </c>
    </row>
    <row r="97" spans="1:7" s="6" customFormat="1" ht="16.5" customHeight="1">
      <c r="A97" s="52"/>
      <c r="B97" s="57" t="s">
        <v>119</v>
      </c>
      <c r="C97" s="33">
        <f>C56+C64+C66+C71+C76+C80+C87+C82</f>
        <v>3395.55753</v>
      </c>
      <c r="D97" s="33">
        <f>D56+D64+D66+D71+D76+D80+D87+D82</f>
        <v>1983.4863500000001</v>
      </c>
      <c r="E97" s="34">
        <f t="shared" si="3"/>
        <v>58.414158278154694</v>
      </c>
      <c r="F97" s="34">
        <f t="shared" si="4"/>
        <v>-1412.0711799999999</v>
      </c>
      <c r="G97" s="151"/>
    </row>
    <row r="98" spans="1:7" ht="20.25" customHeight="1">
      <c r="C98" s="126"/>
      <c r="D98" s="101"/>
    </row>
    <row r="99" spans="1:7" s="65" customFormat="1" ht="13.5" customHeight="1">
      <c r="A99" s="63" t="s">
        <v>120</v>
      </c>
      <c r="B99" s="63"/>
      <c r="C99" s="116"/>
      <c r="D99" s="64"/>
      <c r="E99" s="64"/>
    </row>
    <row r="100" spans="1:7" s="65" customFormat="1" ht="12.75">
      <c r="A100" s="66" t="s">
        <v>121</v>
      </c>
      <c r="B100" s="66"/>
      <c r="C100" s="134" t="s">
        <v>122</v>
      </c>
      <c r="D100" s="134"/>
    </row>
    <row r="101" spans="1:7">
      <c r="C101" s="120"/>
    </row>
    <row r="103" spans="1:7" ht="5.25" customHeight="1"/>
    <row r="141" hidden="1"/>
  </sheetData>
  <customSheetViews>
    <customSheetView guid="{A54C432C-6C68-4B53-A75C-446EB3A61B2B}" scale="70" showPageBreaks="1" hiddenRows="1" view="pageBreakPreview" topLeftCell="A69">
      <selection activeCell="C97" activeCellId="1" sqref="C51:D52 C97:D97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B30CE22D-C12F-4E12-8BB9-3AAE0A6991CC}" scale="70" showPageBreaks="1" hiddenRows="1" view="pageBreakPreview" topLeftCell="A37">
      <selection activeCell="D99" sqref="D99:E99"/>
      <pageMargins left="0.70866141732283472" right="0.70866141732283472" top="0.74803149606299213" bottom="0.74803149606299213" header="0.31496062992125984" footer="0.31496062992125984"/>
      <pageSetup paperSize="9" scale="53" orientation="portrait" r:id="rId2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3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4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5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8" orientation="portrait" r:id="rId6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G141"/>
  <sheetViews>
    <sheetView view="pageBreakPreview" topLeftCell="A39" zoomScale="70" zoomScaleNormal="100" zoomScaleSheetLayoutView="70" workbookViewId="0">
      <selection activeCell="C50" activeCellId="1" sqref="C96:D96 C50:D51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36" t="s">
        <v>430</v>
      </c>
      <c r="B1" s="436"/>
      <c r="C1" s="436"/>
      <c r="D1" s="436"/>
      <c r="E1" s="436"/>
      <c r="F1" s="436"/>
    </row>
    <row r="2" spans="1:6">
      <c r="A2" s="436"/>
      <c r="B2" s="436"/>
      <c r="C2" s="436"/>
      <c r="D2" s="436"/>
      <c r="E2" s="436"/>
      <c r="F2" s="43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2400.41</v>
      </c>
      <c r="D4" s="5">
        <f>D5+D12+D14+D17+D7</f>
        <v>1320.61328</v>
      </c>
      <c r="E4" s="5">
        <f>SUM(D4/C4*100)</f>
        <v>55.016154740231883</v>
      </c>
      <c r="F4" s="5">
        <f>SUM(D4-C4)</f>
        <v>-1079.7967199999998</v>
      </c>
    </row>
    <row r="5" spans="1:6" s="6" customFormat="1">
      <c r="A5" s="68">
        <v>1010000000</v>
      </c>
      <c r="B5" s="67" t="s">
        <v>6</v>
      </c>
      <c r="C5" s="5">
        <f>C6</f>
        <v>114.5</v>
      </c>
      <c r="D5" s="5">
        <f>D6</f>
        <v>78.698989999999995</v>
      </c>
      <c r="E5" s="5">
        <f t="shared" ref="E5:E50" si="0">SUM(D5/C5*100)</f>
        <v>68.732742358078596</v>
      </c>
      <c r="F5" s="5">
        <f t="shared" ref="F5:F50" si="1">SUM(D5-C5)</f>
        <v>-35.801010000000005</v>
      </c>
    </row>
    <row r="6" spans="1:6">
      <c r="A6" s="7">
        <v>1010200001</v>
      </c>
      <c r="B6" s="8" t="s">
        <v>229</v>
      </c>
      <c r="C6" s="9">
        <v>114.5</v>
      </c>
      <c r="D6" s="10">
        <v>78.698989999999995</v>
      </c>
      <c r="E6" s="9">
        <f t="shared" ref="E6:E11" si="2">SUM(D6/C6*100)</f>
        <v>68.732742358078596</v>
      </c>
      <c r="F6" s="9">
        <f t="shared" si="1"/>
        <v>-35.801010000000005</v>
      </c>
    </row>
    <row r="7" spans="1:6" ht="31.5">
      <c r="A7" s="3">
        <v>1030000000</v>
      </c>
      <c r="B7" s="13" t="s">
        <v>281</v>
      </c>
      <c r="C7" s="5">
        <f>C8+C10+C9</f>
        <v>497.40999999999997</v>
      </c>
      <c r="D7" s="5">
        <f>D8+D10+D9+D11</f>
        <v>336.29269999999997</v>
      </c>
      <c r="E7" s="5">
        <f t="shared" si="2"/>
        <v>67.608753342313179</v>
      </c>
      <c r="F7" s="5">
        <f t="shared" si="1"/>
        <v>-161.1173</v>
      </c>
    </row>
    <row r="8" spans="1:6">
      <c r="A8" s="7">
        <v>1030223001</v>
      </c>
      <c r="B8" s="8" t="s">
        <v>283</v>
      </c>
      <c r="C8" s="9">
        <v>185.53</v>
      </c>
      <c r="D8" s="10">
        <v>146.7621</v>
      </c>
      <c r="E8" s="9">
        <f t="shared" si="2"/>
        <v>79.104241901579258</v>
      </c>
      <c r="F8" s="9">
        <f t="shared" si="1"/>
        <v>-38.767899999999997</v>
      </c>
    </row>
    <row r="9" spans="1:6">
      <c r="A9" s="7">
        <v>1030224001</v>
      </c>
      <c r="B9" s="8" t="s">
        <v>289</v>
      </c>
      <c r="C9" s="9">
        <v>2</v>
      </c>
      <c r="D9" s="10">
        <v>1.25745</v>
      </c>
      <c r="E9" s="9">
        <f t="shared" si="2"/>
        <v>62.872499999999995</v>
      </c>
      <c r="F9" s="9">
        <f t="shared" si="1"/>
        <v>-0.74255000000000004</v>
      </c>
    </row>
    <row r="10" spans="1:6">
      <c r="A10" s="7">
        <v>1030225001</v>
      </c>
      <c r="B10" s="8" t="s">
        <v>282</v>
      </c>
      <c r="C10" s="9">
        <v>309.88</v>
      </c>
      <c r="D10" s="10">
        <v>222.48813000000001</v>
      </c>
      <c r="E10" s="9">
        <f t="shared" si="2"/>
        <v>71.798157351232732</v>
      </c>
      <c r="F10" s="9">
        <f t="shared" si="1"/>
        <v>-87.391869999999983</v>
      </c>
    </row>
    <row r="11" spans="1:6">
      <c r="A11" s="7">
        <v>1030226001</v>
      </c>
      <c r="B11" s="8" t="s">
        <v>291</v>
      </c>
      <c r="C11" s="9">
        <v>0</v>
      </c>
      <c r="D11" s="10">
        <v>-34.214979999999997</v>
      </c>
      <c r="E11" s="9" t="e">
        <f t="shared" si="2"/>
        <v>#DIV/0!</v>
      </c>
      <c r="F11" s="9">
        <f t="shared" si="1"/>
        <v>-34.214979999999997</v>
      </c>
    </row>
    <row r="12" spans="1:6" s="6" customFormat="1">
      <c r="A12" s="68">
        <v>1050000000</v>
      </c>
      <c r="B12" s="67" t="s">
        <v>7</v>
      </c>
      <c r="C12" s="5">
        <f>SUM(C13:C13)</f>
        <v>15</v>
      </c>
      <c r="D12" s="5">
        <f>SUM(D13:D13)</f>
        <v>42.170999999999999</v>
      </c>
      <c r="E12" s="5">
        <f t="shared" si="0"/>
        <v>281.14</v>
      </c>
      <c r="F12" s="5">
        <f t="shared" si="1"/>
        <v>27.170999999999999</v>
      </c>
    </row>
    <row r="13" spans="1:6" ht="15.75" customHeight="1">
      <c r="A13" s="7">
        <v>1050300000</v>
      </c>
      <c r="B13" s="11" t="s">
        <v>230</v>
      </c>
      <c r="C13" s="12">
        <v>15</v>
      </c>
      <c r="D13" s="10">
        <v>42.170999999999999</v>
      </c>
      <c r="E13" s="9">
        <f t="shared" si="0"/>
        <v>281.14</v>
      </c>
      <c r="F13" s="9">
        <f t="shared" si="1"/>
        <v>27.170999999999999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1761.5</v>
      </c>
      <c r="D14" s="5">
        <f>D15+D16</f>
        <v>856.50058999999999</v>
      </c>
      <c r="E14" s="5">
        <f t="shared" si="0"/>
        <v>48.62336588135112</v>
      </c>
      <c r="F14" s="5">
        <f t="shared" si="1"/>
        <v>-904.99941000000001</v>
      </c>
    </row>
    <row r="15" spans="1:6" s="6" customFormat="1" ht="15.75" customHeight="1">
      <c r="A15" s="7">
        <v>1060100000</v>
      </c>
      <c r="B15" s="11" t="s">
        <v>9</v>
      </c>
      <c r="C15" s="9">
        <v>150</v>
      </c>
      <c r="D15" s="10">
        <v>90.049270000000007</v>
      </c>
      <c r="E15" s="9">
        <f t="shared" si="0"/>
        <v>60.032846666666671</v>
      </c>
      <c r="F15" s="9">
        <f>SUM(D15-C15)</f>
        <v>-59.950729999999993</v>
      </c>
    </row>
    <row r="16" spans="1:6" ht="15.75" customHeight="1">
      <c r="A16" s="7">
        <v>1060600000</v>
      </c>
      <c r="B16" s="11" t="s">
        <v>8</v>
      </c>
      <c r="C16" s="9">
        <v>1611.5</v>
      </c>
      <c r="D16" s="10">
        <v>766.45132000000001</v>
      </c>
      <c r="E16" s="9">
        <f t="shared" si="0"/>
        <v>47.561360223394352</v>
      </c>
      <c r="F16" s="9">
        <f t="shared" si="1"/>
        <v>-845.04867999999999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6.95</v>
      </c>
      <c r="E17" s="5">
        <f t="shared" si="0"/>
        <v>57.916666666666671</v>
      </c>
      <c r="F17" s="5">
        <f t="shared" si="1"/>
        <v>-5.05</v>
      </c>
    </row>
    <row r="18" spans="1:6" ht="15" customHeight="1">
      <c r="A18" s="7">
        <v>1080400001</v>
      </c>
      <c r="B18" s="8" t="s">
        <v>228</v>
      </c>
      <c r="C18" s="9">
        <v>12</v>
      </c>
      <c r="D18" s="10">
        <v>6.95</v>
      </c>
      <c r="E18" s="9">
        <f t="shared" si="0"/>
        <v>57.916666666666671</v>
      </c>
      <c r="F18" s="9">
        <f t="shared" si="1"/>
        <v>-5.05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250</v>
      </c>
      <c r="D25" s="5">
        <f>D26+D29+D31+D36+D34</f>
        <v>114.60264000000001</v>
      </c>
      <c r="E25" s="5">
        <f t="shared" si="0"/>
        <v>45.841056000000002</v>
      </c>
      <c r="F25" s="5">
        <f t="shared" si="1"/>
        <v>-135.39735999999999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250</v>
      </c>
      <c r="D26" s="5">
        <f>D27+D28</f>
        <v>65.194999999999993</v>
      </c>
      <c r="E26" s="5">
        <f t="shared" si="0"/>
        <v>26.077999999999996</v>
      </c>
      <c r="F26" s="5">
        <f t="shared" si="1"/>
        <v>-184.80500000000001</v>
      </c>
    </row>
    <row r="27" spans="1:6">
      <c r="A27" s="16">
        <v>1110502510</v>
      </c>
      <c r="B27" s="17" t="s">
        <v>226</v>
      </c>
      <c r="C27" s="12">
        <v>220</v>
      </c>
      <c r="D27" s="10">
        <v>40.216999999999999</v>
      </c>
      <c r="E27" s="9">
        <f t="shared" si="0"/>
        <v>18.280454545454543</v>
      </c>
      <c r="F27" s="9">
        <f t="shared" si="1"/>
        <v>-179.78300000000002</v>
      </c>
    </row>
    <row r="28" spans="1:6">
      <c r="A28" s="7">
        <v>1110503510</v>
      </c>
      <c r="B28" s="11" t="s">
        <v>225</v>
      </c>
      <c r="C28" s="12">
        <v>30</v>
      </c>
      <c r="D28" s="10">
        <v>24.978000000000002</v>
      </c>
      <c r="E28" s="9">
        <f t="shared" si="0"/>
        <v>83.26</v>
      </c>
      <c r="F28" s="9">
        <f t="shared" si="1"/>
        <v>-5.0219999999999985</v>
      </c>
    </row>
    <row r="29" spans="1:6" s="15" customFormat="1" ht="19.5" customHeight="1">
      <c r="A29" s="68">
        <v>1130000000</v>
      </c>
      <c r="B29" s="69" t="s">
        <v>131</v>
      </c>
      <c r="C29" s="5">
        <f>C30</f>
        <v>0</v>
      </c>
      <c r="D29" s="5">
        <f>D30</f>
        <v>48.231670000000001</v>
      </c>
      <c r="E29" s="5" t="e">
        <f t="shared" si="0"/>
        <v>#DIV/0!</v>
      </c>
      <c r="F29" s="5">
        <f t="shared" si="1"/>
        <v>48.231670000000001</v>
      </c>
    </row>
    <row r="30" spans="1:6" ht="21" customHeight="1">
      <c r="A30" s="7">
        <v>1130206510</v>
      </c>
      <c r="B30" s="8" t="s">
        <v>15</v>
      </c>
      <c r="C30" s="9">
        <v>0</v>
      </c>
      <c r="D30" s="10">
        <v>48.231670000000001</v>
      </c>
      <c r="E30" s="9" t="e">
        <f t="shared" si="0"/>
        <v>#DIV/0!</v>
      </c>
      <c r="F30" s="9">
        <f t="shared" si="1"/>
        <v>48.231670000000001</v>
      </c>
    </row>
    <row r="31" spans="1:6" ht="0.7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0.7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6.5" hidden="1" customHeight="1">
      <c r="A34" s="3">
        <v>1160000000</v>
      </c>
      <c r="B34" s="13" t="s">
        <v>252</v>
      </c>
      <c r="C34" s="9">
        <v>0</v>
      </c>
      <c r="D34" s="14">
        <f>D35</f>
        <v>1.17597</v>
      </c>
      <c r="E34" s="9" t="e">
        <f t="shared" si="0"/>
        <v>#DIV/0!</v>
      </c>
      <c r="F34" s="9">
        <f t="shared" si="1"/>
        <v>1.17597</v>
      </c>
    </row>
    <row r="35" spans="1:7" ht="0.75" hidden="1" customHeight="1">
      <c r="A35" s="7">
        <v>1163305010</v>
      </c>
      <c r="B35" s="8" t="s">
        <v>268</v>
      </c>
      <c r="C35" s="9">
        <v>0</v>
      </c>
      <c r="D35" s="10">
        <v>1.17597</v>
      </c>
      <c r="E35" s="9" t="e">
        <f t="shared" si="0"/>
        <v>#DIV/0!</v>
      </c>
      <c r="F35" s="9">
        <f t="shared" si="1"/>
        <v>1.17597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0</v>
      </c>
      <c r="E36" s="9" t="e">
        <f t="shared" si="0"/>
        <v>#DIV/0!</v>
      </c>
      <c r="F36" s="5">
        <f t="shared" si="1"/>
        <v>0</v>
      </c>
    </row>
    <row r="37" spans="1:7" ht="18" customHeight="1">
      <c r="A37" s="7">
        <v>1170105005</v>
      </c>
      <c r="B37" s="8" t="s">
        <v>18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hidden="1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19</v>
      </c>
      <c r="C39" s="127">
        <f>SUM(C4,C25)</f>
        <v>2650.41</v>
      </c>
      <c r="D39" s="127">
        <f>SUM(D4,D25)</f>
        <v>1435.2159200000001</v>
      </c>
      <c r="E39" s="5">
        <f t="shared" si="0"/>
        <v>54.150713285868989</v>
      </c>
      <c r="F39" s="5">
        <f t="shared" si="1"/>
        <v>-1215.1940799999998</v>
      </c>
    </row>
    <row r="40" spans="1:7" s="6" customFormat="1">
      <c r="A40" s="3">
        <v>2000000000</v>
      </c>
      <c r="B40" s="4" t="s">
        <v>20</v>
      </c>
      <c r="C40" s="5">
        <f>C41+C43+C44+C45+C46+C47+C48+C42</f>
        <v>2147.9899999999998</v>
      </c>
      <c r="D40" s="346">
        <f>D41+D42+D43+D44+D48+D47</f>
        <v>894.89025000000015</v>
      </c>
      <c r="E40" s="5">
        <f t="shared" si="0"/>
        <v>41.661751218581102</v>
      </c>
      <c r="F40" s="5">
        <f t="shared" si="1"/>
        <v>-1253.0997499999996</v>
      </c>
      <c r="G40" s="19"/>
    </row>
    <row r="41" spans="1:7" ht="15" customHeight="1">
      <c r="A41" s="16">
        <v>2021000000</v>
      </c>
      <c r="B41" s="17" t="s">
        <v>21</v>
      </c>
      <c r="C41" s="12">
        <v>859.154</v>
      </c>
      <c r="D41" s="20">
        <v>722.63099999999997</v>
      </c>
      <c r="E41" s="9">
        <f t="shared" si="0"/>
        <v>84.10960083989599</v>
      </c>
      <c r="F41" s="9">
        <f t="shared" si="1"/>
        <v>-136.52300000000002</v>
      </c>
    </row>
    <row r="42" spans="1:7" ht="15" customHeight="1">
      <c r="A42" s="16">
        <v>2021500200</v>
      </c>
      <c r="B42" s="17" t="s">
        <v>232</v>
      </c>
      <c r="C42" s="12">
        <v>600</v>
      </c>
      <c r="D42" s="20">
        <v>0</v>
      </c>
      <c r="E42" s="9">
        <f>SUM(D42/C42*100)</f>
        <v>0</v>
      </c>
      <c r="F42" s="9">
        <f>SUM(D42-C42)</f>
        <v>-600</v>
      </c>
    </row>
    <row r="43" spans="1:7">
      <c r="A43" s="16">
        <v>2022000000</v>
      </c>
      <c r="B43" s="17" t="s">
        <v>22</v>
      </c>
      <c r="C43" s="12">
        <v>457.16199999999998</v>
      </c>
      <c r="D43" s="10">
        <v>335.63900000000001</v>
      </c>
      <c r="E43" s="9">
        <f t="shared" si="0"/>
        <v>73.417956873055942</v>
      </c>
      <c r="F43" s="9">
        <f t="shared" si="1"/>
        <v>-121.52299999999997</v>
      </c>
    </row>
    <row r="44" spans="1:7" ht="18.75" customHeight="1">
      <c r="A44" s="16">
        <v>2023000000</v>
      </c>
      <c r="B44" s="17" t="s">
        <v>23</v>
      </c>
      <c r="C44" s="12">
        <v>71.573999999999998</v>
      </c>
      <c r="D44" s="252">
        <v>59.305999999999997</v>
      </c>
      <c r="E44" s="9">
        <f t="shared" si="0"/>
        <v>82.859697655573257</v>
      </c>
      <c r="F44" s="9">
        <f t="shared" si="1"/>
        <v>-12.268000000000001</v>
      </c>
    </row>
    <row r="45" spans="1:7" ht="17.25" customHeight="1">
      <c r="A45" s="16">
        <v>2020400000</v>
      </c>
      <c r="B45" s="17" t="s">
        <v>24</v>
      </c>
      <c r="C45" s="12">
        <v>120</v>
      </c>
      <c r="D45" s="253">
        <v>0</v>
      </c>
      <c r="E45" s="9">
        <f t="shared" si="0"/>
        <v>0</v>
      </c>
      <c r="F45" s="9">
        <f t="shared" si="1"/>
        <v>-120</v>
      </c>
    </row>
    <row r="46" spans="1:7" ht="47.25" hidden="1">
      <c r="A46" s="16">
        <v>2020900000</v>
      </c>
      <c r="B46" s="18" t="s">
        <v>25</v>
      </c>
      <c r="C46" s="12"/>
      <c r="D46" s="253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26</v>
      </c>
      <c r="C47" s="10">
        <v>0</v>
      </c>
      <c r="D47" s="10">
        <v>-262.74074999999999</v>
      </c>
      <c r="E47" s="5" t="e">
        <f t="shared" si="0"/>
        <v>#DIV/0!</v>
      </c>
      <c r="F47" s="5">
        <f>SUM(D47-C47)</f>
        <v>-262.74074999999999</v>
      </c>
    </row>
    <row r="48" spans="1:7" ht="18" customHeight="1">
      <c r="A48" s="7">
        <v>2070502010</v>
      </c>
      <c r="B48" s="11" t="s">
        <v>303</v>
      </c>
      <c r="C48" s="10">
        <v>40.1</v>
      </c>
      <c r="D48" s="10">
        <v>40.055</v>
      </c>
      <c r="E48" s="9">
        <f>SUM(D48/C48*100)</f>
        <v>99.887780548628427</v>
      </c>
      <c r="F48" s="9">
        <f>SUM(D48-C48)</f>
        <v>-4.5000000000001705E-2</v>
      </c>
    </row>
    <row r="49" spans="1:7" s="6" customFormat="1">
      <c r="A49" s="357">
        <v>2190000010</v>
      </c>
      <c r="B49" s="358" t="s">
        <v>26</v>
      </c>
      <c r="C49" s="12">
        <v>0</v>
      </c>
      <c r="D49" s="10">
        <v>-262.74074999999999</v>
      </c>
      <c r="E49" s="9" t="e">
        <f t="shared" si="0"/>
        <v>#DIV/0!</v>
      </c>
      <c r="F49" s="9">
        <f t="shared" si="1"/>
        <v>-262.74074999999999</v>
      </c>
    </row>
    <row r="50" spans="1:7" s="6" customFormat="1" ht="19.5" customHeight="1">
      <c r="A50" s="3"/>
      <c r="B50" s="4" t="s">
        <v>28</v>
      </c>
      <c r="C50" s="93">
        <f>C39+C40</f>
        <v>4798.3999999999996</v>
      </c>
      <c r="D50" s="441">
        <f>D39+D40</f>
        <v>2330.10617</v>
      </c>
      <c r="E50" s="5">
        <f t="shared" si="0"/>
        <v>48.560065230076702</v>
      </c>
      <c r="F50" s="5">
        <f t="shared" si="1"/>
        <v>-2468.2938299999996</v>
      </c>
      <c r="G50" s="94"/>
    </row>
    <row r="51" spans="1:7" s="6" customFormat="1">
      <c r="A51" s="3"/>
      <c r="B51" s="21" t="s">
        <v>321</v>
      </c>
      <c r="C51" s="93">
        <f>C50-C96</f>
        <v>-646.64892000000054</v>
      </c>
      <c r="D51" s="93">
        <f>D50-D96</f>
        <v>-106.94173000000001</v>
      </c>
      <c r="E51" s="22"/>
      <c r="F51" s="22"/>
    </row>
    <row r="52" spans="1:7">
      <c r="A52" s="23"/>
      <c r="B52" s="24"/>
      <c r="C52" s="354"/>
      <c r="D52" s="354" t="s">
        <v>337</v>
      </c>
      <c r="E52" s="26"/>
      <c r="F52" s="92"/>
    </row>
    <row r="53" spans="1:7" ht="50.25" customHeight="1">
      <c r="A53" s="28" t="s">
        <v>1</v>
      </c>
      <c r="B53" s="28" t="s">
        <v>29</v>
      </c>
      <c r="C53" s="244" t="s">
        <v>346</v>
      </c>
      <c r="D53" s="245" t="s">
        <v>412</v>
      </c>
      <c r="E53" s="72" t="s">
        <v>3</v>
      </c>
      <c r="F53" s="74" t="s">
        <v>4</v>
      </c>
    </row>
    <row r="54" spans="1:7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7" s="6" customFormat="1" ht="30.75" customHeight="1">
      <c r="A55" s="30" t="s">
        <v>30</v>
      </c>
      <c r="B55" s="31" t="s">
        <v>31</v>
      </c>
      <c r="C55" s="247">
        <f>C56+C57+C58+C59+C60+C62+C61</f>
        <v>1438.34</v>
      </c>
      <c r="D55" s="32">
        <f>D56+D57+D58+D59+D60+D62+D61</f>
        <v>881.19901000000004</v>
      </c>
      <c r="E55" s="34">
        <f>SUM(D55/C55*100)</f>
        <v>61.265000625721321</v>
      </c>
      <c r="F55" s="34">
        <f>SUM(D55-C55)</f>
        <v>-557.14098999999987</v>
      </c>
    </row>
    <row r="56" spans="1:7" s="6" customFormat="1" ht="31.5" hidden="1">
      <c r="A56" s="35" t="s">
        <v>32</v>
      </c>
      <c r="B56" s="36" t="s">
        <v>33</v>
      </c>
      <c r="C56" s="37"/>
      <c r="D56" s="37"/>
      <c r="E56" s="34" t="e">
        <f>SUM(D56/C56*100)</f>
        <v>#DIV/0!</v>
      </c>
      <c r="F56" s="38"/>
    </row>
    <row r="57" spans="1:7" ht="15" customHeight="1">
      <c r="A57" s="35" t="s">
        <v>34</v>
      </c>
      <c r="B57" s="39" t="s">
        <v>35</v>
      </c>
      <c r="C57" s="37">
        <v>1429.154</v>
      </c>
      <c r="D57" s="37">
        <v>877.44051000000002</v>
      </c>
      <c r="E57" s="34">
        <f>SUM(D57/C57*100)</f>
        <v>61.3957984933744</v>
      </c>
      <c r="F57" s="38">
        <f t="shared" ref="F57:F96" si="3">SUM(D57-C57)</f>
        <v>-551.71348999999998</v>
      </c>
    </row>
    <row r="58" spans="1:7" ht="16.5" hidden="1" customHeight="1">
      <c r="A58" s="35" t="s">
        <v>36</v>
      </c>
      <c r="B58" s="39" t="s">
        <v>37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7" ht="31.5" hidden="1" customHeight="1">
      <c r="A59" s="35" t="s">
        <v>38</v>
      </c>
      <c r="B59" s="39" t="s">
        <v>39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7" hidden="1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ref="E60:E96" si="4">SUM(D60/C60*100)</f>
        <v>#DIV/0!</v>
      </c>
      <c r="F60" s="38">
        <f t="shared" si="3"/>
        <v>0</v>
      </c>
    </row>
    <row r="61" spans="1:7">
      <c r="A61" s="35" t="s">
        <v>42</v>
      </c>
      <c r="B61" s="39" t="s">
        <v>43</v>
      </c>
      <c r="C61" s="40">
        <v>5</v>
      </c>
      <c r="D61" s="40">
        <v>0</v>
      </c>
      <c r="E61" s="38">
        <f t="shared" si="4"/>
        <v>0</v>
      </c>
      <c r="F61" s="38">
        <f t="shared" si="3"/>
        <v>-5</v>
      </c>
    </row>
    <row r="62" spans="1:7" ht="19.5" customHeight="1">
      <c r="A62" s="35" t="s">
        <v>44</v>
      </c>
      <c r="B62" s="39" t="s">
        <v>45</v>
      </c>
      <c r="C62" s="37">
        <v>4.1859999999999999</v>
      </c>
      <c r="D62" s="37">
        <v>3.7585000000000002</v>
      </c>
      <c r="E62" s="38">
        <f t="shared" si="4"/>
        <v>89.787386526516968</v>
      </c>
      <c r="F62" s="38">
        <f t="shared" si="3"/>
        <v>-0.42749999999999977</v>
      </c>
    </row>
    <row r="63" spans="1:7" s="6" customFormat="1">
      <c r="A63" s="41" t="s">
        <v>46</v>
      </c>
      <c r="B63" s="42" t="s">
        <v>47</v>
      </c>
      <c r="C63" s="32">
        <f>C64</f>
        <v>70.594999999999999</v>
      </c>
      <c r="D63" s="32">
        <f>D64</f>
        <v>45.599620000000002</v>
      </c>
      <c r="E63" s="34">
        <f t="shared" si="4"/>
        <v>64.593271478150015</v>
      </c>
      <c r="F63" s="34">
        <f t="shared" si="3"/>
        <v>-24.995379999999997</v>
      </c>
    </row>
    <row r="64" spans="1:7">
      <c r="A64" s="43" t="s">
        <v>48</v>
      </c>
      <c r="B64" s="44" t="s">
        <v>49</v>
      </c>
      <c r="C64" s="37">
        <v>70.594999999999999</v>
      </c>
      <c r="D64" s="37">
        <v>45.599620000000002</v>
      </c>
      <c r="E64" s="38">
        <f t="shared" si="4"/>
        <v>64.593271478150015</v>
      </c>
      <c r="F64" s="38">
        <f t="shared" si="3"/>
        <v>-24.995379999999997</v>
      </c>
    </row>
    <row r="65" spans="1:7" s="6" customFormat="1" ht="21" customHeight="1">
      <c r="A65" s="30" t="s">
        <v>50</v>
      </c>
      <c r="B65" s="31" t="s">
        <v>51</v>
      </c>
      <c r="C65" s="32">
        <f>C68+C69</f>
        <v>25.3</v>
      </c>
      <c r="D65" s="32">
        <f>D68+D69</f>
        <v>12.650740000000001</v>
      </c>
      <c r="E65" s="34">
        <f t="shared" si="4"/>
        <v>50.002924901185771</v>
      </c>
      <c r="F65" s="34">
        <f t="shared" si="3"/>
        <v>-12.64926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hidden="1" customHeight="1">
      <c r="A68" s="46" t="s">
        <v>56</v>
      </c>
      <c r="B68" s="47" t="s">
        <v>57</v>
      </c>
      <c r="C68" s="37">
        <v>0</v>
      </c>
      <c r="D68" s="37">
        <v>0</v>
      </c>
      <c r="E68" s="34" t="e">
        <f t="shared" si="4"/>
        <v>#DIV/0!</v>
      </c>
      <c r="F68" s="34">
        <f t="shared" si="3"/>
        <v>0</v>
      </c>
    </row>
    <row r="69" spans="1:7">
      <c r="A69" s="46" t="s">
        <v>219</v>
      </c>
      <c r="B69" s="47" t="s">
        <v>220</v>
      </c>
      <c r="C69" s="37">
        <v>25.3</v>
      </c>
      <c r="D69" s="37">
        <v>12.650740000000001</v>
      </c>
      <c r="E69" s="34">
        <f t="shared" si="4"/>
        <v>50.002924901185771</v>
      </c>
      <c r="F69" s="34">
        <f t="shared" si="3"/>
        <v>-12.64926</v>
      </c>
    </row>
    <row r="70" spans="1:7" s="6" customFormat="1" ht="17.25" customHeight="1">
      <c r="A70" s="30" t="s">
        <v>58</v>
      </c>
      <c r="B70" s="31" t="s">
        <v>59</v>
      </c>
      <c r="C70" s="48">
        <f>SUM(C71:C74)</f>
        <v>2233.5359200000003</v>
      </c>
      <c r="D70" s="48">
        <f>SUM(D71:D74)</f>
        <v>914.48603000000003</v>
      </c>
      <c r="E70" s="34">
        <f t="shared" si="4"/>
        <v>40.943421675528725</v>
      </c>
      <c r="F70" s="34">
        <f t="shared" si="3"/>
        <v>-1319.0498900000002</v>
      </c>
    </row>
    <row r="71" spans="1:7">
      <c r="A71" s="35" t="s">
        <v>60</v>
      </c>
      <c r="B71" s="39" t="s">
        <v>61</v>
      </c>
      <c r="C71" s="49">
        <v>4.0289999999999999</v>
      </c>
      <c r="D71" s="37">
        <v>0</v>
      </c>
      <c r="E71" s="38">
        <f t="shared" si="4"/>
        <v>0</v>
      </c>
      <c r="F71" s="38">
        <f t="shared" si="3"/>
        <v>-4.0289999999999999</v>
      </c>
    </row>
    <row r="72" spans="1:7" s="6" customFormat="1">
      <c r="A72" s="35" t="s">
        <v>62</v>
      </c>
      <c r="B72" s="39" t="s">
        <v>63</v>
      </c>
      <c r="C72" s="49">
        <v>1135</v>
      </c>
      <c r="D72" s="37">
        <v>218.19782000000001</v>
      </c>
      <c r="E72" s="38">
        <f t="shared" si="4"/>
        <v>19.22447753303965</v>
      </c>
      <c r="F72" s="38">
        <f t="shared" si="3"/>
        <v>-916.80218000000002</v>
      </c>
      <c r="G72" s="50"/>
    </row>
    <row r="73" spans="1:7">
      <c r="A73" s="35" t="s">
        <v>64</v>
      </c>
      <c r="B73" s="39" t="s">
        <v>65</v>
      </c>
      <c r="C73" s="49">
        <f>1035.39892</f>
        <v>1035.3989200000001</v>
      </c>
      <c r="D73" s="37">
        <v>671.28821000000005</v>
      </c>
      <c r="E73" s="38">
        <f t="shared" si="4"/>
        <v>64.833775372298049</v>
      </c>
      <c r="F73" s="38">
        <f t="shared" si="3"/>
        <v>-364.11071000000004</v>
      </c>
    </row>
    <row r="74" spans="1:7">
      <c r="A74" s="35" t="s">
        <v>66</v>
      </c>
      <c r="B74" s="39" t="s">
        <v>67</v>
      </c>
      <c r="C74" s="49">
        <v>59.107999999999997</v>
      </c>
      <c r="D74" s="37">
        <v>25</v>
      </c>
      <c r="E74" s="38">
        <f t="shared" si="4"/>
        <v>42.295459159504638</v>
      </c>
      <c r="F74" s="38">
        <f t="shared" si="3"/>
        <v>-34.107999999999997</v>
      </c>
    </row>
    <row r="75" spans="1:7" s="6" customFormat="1" ht="16.5" customHeight="1">
      <c r="A75" s="30" t="s">
        <v>68</v>
      </c>
      <c r="B75" s="31" t="s">
        <v>69</v>
      </c>
      <c r="C75" s="32">
        <f>SUM(C76:C78)</f>
        <v>707.07799999999997</v>
      </c>
      <c r="D75" s="32">
        <f>SUM(D76:D78)</f>
        <v>201.23052999999999</v>
      </c>
      <c r="E75" s="34">
        <f t="shared" si="4"/>
        <v>28.459452846786348</v>
      </c>
      <c r="F75" s="34">
        <f t="shared" si="3"/>
        <v>-505.84746999999999</v>
      </c>
    </row>
    <row r="76" spans="1:7" ht="0.75" hidden="1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4"/>
        <v>#DIV/0!</v>
      </c>
      <c r="F76" s="38">
        <f t="shared" si="3"/>
        <v>0</v>
      </c>
    </row>
    <row r="77" spans="1:7" ht="17.25" hidden="1" customHeight="1">
      <c r="A77" s="35" t="s">
        <v>72</v>
      </c>
      <c r="B77" s="51" t="s">
        <v>73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>
      <c r="A78" s="35" t="s">
        <v>74</v>
      </c>
      <c r="B78" s="39" t="s">
        <v>75</v>
      </c>
      <c r="C78" s="37">
        <v>707.07799999999997</v>
      </c>
      <c r="D78" s="37">
        <v>201.23052999999999</v>
      </c>
      <c r="E78" s="38">
        <f t="shared" si="4"/>
        <v>28.459452846786348</v>
      </c>
      <c r="F78" s="38">
        <f t="shared" si="3"/>
        <v>-505.84746999999999</v>
      </c>
    </row>
    <row r="79" spans="1:7" s="6" customFormat="1">
      <c r="A79" s="30" t="s">
        <v>86</v>
      </c>
      <c r="B79" s="31" t="s">
        <v>87</v>
      </c>
      <c r="C79" s="32">
        <f>C80</f>
        <v>950.2</v>
      </c>
      <c r="D79" s="32">
        <f>SUM(D80)</f>
        <v>379.68196999999998</v>
      </c>
      <c r="E79" s="34">
        <f t="shared" si="4"/>
        <v>39.95811092401599</v>
      </c>
      <c r="F79" s="34">
        <f t="shared" si="3"/>
        <v>-570.51803000000007</v>
      </c>
    </row>
    <row r="80" spans="1:7" ht="15.75" customHeight="1">
      <c r="A80" s="35" t="s">
        <v>88</v>
      </c>
      <c r="B80" s="39" t="s">
        <v>234</v>
      </c>
      <c r="C80" s="37">
        <v>950.2</v>
      </c>
      <c r="D80" s="37">
        <v>379.68196999999998</v>
      </c>
      <c r="E80" s="38">
        <f t="shared" si="4"/>
        <v>39.95811092401599</v>
      </c>
      <c r="F80" s="38">
        <f t="shared" si="3"/>
        <v>-570.51803000000007</v>
      </c>
    </row>
    <row r="81" spans="1:6" s="6" customFormat="1" ht="0.75" hidden="1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4"/>
        <v>#DIV/0!</v>
      </c>
      <c r="F81" s="34">
        <f t="shared" si="3"/>
        <v>0</v>
      </c>
    </row>
    <row r="82" spans="1:6" ht="0.75" hidden="1" customHeight="1">
      <c r="A82" s="53">
        <v>1001</v>
      </c>
      <c r="B82" s="54" t="s">
        <v>90</v>
      </c>
      <c r="C82" s="37"/>
      <c r="D82" s="37"/>
      <c r="E82" s="38" t="e">
        <f t="shared" si="4"/>
        <v>#DIV/0!</v>
      </c>
      <c r="F82" s="38">
        <f t="shared" si="3"/>
        <v>0</v>
      </c>
    </row>
    <row r="83" spans="1:6" hidden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4"/>
        <v>#DIV/0!</v>
      </c>
      <c r="F83" s="38">
        <f t="shared" si="3"/>
        <v>0</v>
      </c>
    </row>
    <row r="84" spans="1:6" hidden="1">
      <c r="A84" s="53">
        <v>1004</v>
      </c>
      <c r="B84" s="54" t="s">
        <v>92</v>
      </c>
      <c r="C84" s="37"/>
      <c r="D84" s="55"/>
      <c r="E84" s="38" t="e">
        <f t="shared" si="4"/>
        <v>#DIV/0!</v>
      </c>
      <c r="F84" s="38">
        <f t="shared" si="3"/>
        <v>0</v>
      </c>
    </row>
    <row r="85" spans="1:6" hidden="1">
      <c r="A85" s="35" t="s">
        <v>93</v>
      </c>
      <c r="B85" s="39" t="s">
        <v>94</v>
      </c>
      <c r="C85" s="37">
        <v>0</v>
      </c>
      <c r="D85" s="37">
        <v>0</v>
      </c>
      <c r="E85" s="38"/>
      <c r="F85" s="38">
        <f t="shared" si="3"/>
        <v>0</v>
      </c>
    </row>
    <row r="86" spans="1:6">
      <c r="A86" s="30" t="s">
        <v>95</v>
      </c>
      <c r="B86" s="31" t="s">
        <v>96</v>
      </c>
      <c r="C86" s="32">
        <f>C87+C88+C89+C90+C91</f>
        <v>20</v>
      </c>
      <c r="D86" s="32">
        <f>D87+D88+D89+D90+D91</f>
        <v>2.2000000000000002</v>
      </c>
      <c r="E86" s="38">
        <f t="shared" si="4"/>
        <v>11.000000000000002</v>
      </c>
      <c r="F86" s="22">
        <f>F87+F88+F89+F90+F91</f>
        <v>-17.8</v>
      </c>
    </row>
    <row r="87" spans="1:6" ht="17.25" customHeight="1">
      <c r="A87" s="35" t="s">
        <v>97</v>
      </c>
      <c r="B87" s="39" t="s">
        <v>98</v>
      </c>
      <c r="C87" s="37">
        <v>20</v>
      </c>
      <c r="D87" s="37">
        <v>2.2000000000000002</v>
      </c>
      <c r="E87" s="38">
        <f t="shared" si="4"/>
        <v>11.000000000000002</v>
      </c>
      <c r="F87" s="38">
        <f>SUM(D87-C87)</f>
        <v>-17.8</v>
      </c>
    </row>
    <row r="88" spans="1:6" ht="15.75" hidden="1" customHeight="1">
      <c r="A88" s="35" t="s">
        <v>99</v>
      </c>
      <c r="B88" s="39" t="s">
        <v>100</v>
      </c>
      <c r="C88" s="37"/>
      <c r="D88" s="37"/>
      <c r="E88" s="38" t="e">
        <f t="shared" si="4"/>
        <v>#DIV/0!</v>
      </c>
      <c r="F88" s="38">
        <f>SUM(D88-C88)</f>
        <v>0</v>
      </c>
    </row>
    <row r="89" spans="1:6" ht="15.75" hidden="1" customHeight="1">
      <c r="A89" s="35" t="s">
        <v>101</v>
      </c>
      <c r="B89" s="39" t="s">
        <v>102</v>
      </c>
      <c r="C89" s="37"/>
      <c r="D89" s="37"/>
      <c r="E89" s="38" t="e">
        <f t="shared" si="4"/>
        <v>#DIV/0!</v>
      </c>
      <c r="F89" s="38"/>
    </row>
    <row r="90" spans="1:6" ht="15.75" hidden="1" customHeight="1">
      <c r="A90" s="35" t="s">
        <v>103</v>
      </c>
      <c r="B90" s="39" t="s">
        <v>104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105</v>
      </c>
      <c r="B91" s="39" t="s">
        <v>106</v>
      </c>
      <c r="C91" s="37"/>
      <c r="D91" s="37"/>
      <c r="E91" s="38" t="e">
        <f t="shared" si="4"/>
        <v>#DIV/0!</v>
      </c>
      <c r="F91" s="38"/>
    </row>
    <row r="92" spans="1:6" s="6" customFormat="1" ht="15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4"/>
        <v>#DIV/0!</v>
      </c>
      <c r="F92" s="34">
        <f t="shared" si="3"/>
        <v>0</v>
      </c>
    </row>
    <row r="93" spans="1:6" ht="15.75" hidden="1" customHeight="1">
      <c r="A93" s="53">
        <v>1401</v>
      </c>
      <c r="B93" s="54" t="s">
        <v>116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6" ht="15.75" hidden="1" customHeight="1">
      <c r="A94" s="53">
        <v>1402</v>
      </c>
      <c r="B94" s="54" t="s">
        <v>117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1403</v>
      </c>
      <c r="B95" s="54" t="s">
        <v>118</v>
      </c>
      <c r="C95" s="49">
        <v>0</v>
      </c>
      <c r="D95" s="37">
        <v>0</v>
      </c>
      <c r="E95" s="38" t="e">
        <f t="shared" si="4"/>
        <v>#DIV/0!</v>
      </c>
      <c r="F95" s="38">
        <f t="shared" si="3"/>
        <v>0</v>
      </c>
    </row>
    <row r="96" spans="1:6" s="6" customFormat="1" ht="15.75" customHeight="1">
      <c r="A96" s="52"/>
      <c r="B96" s="57" t="s">
        <v>119</v>
      </c>
      <c r="C96" s="442">
        <f>C55+C63+C70+C75+C79+C81+C86+C65+C92</f>
        <v>5445.0489200000002</v>
      </c>
      <c r="D96" s="442">
        <f>D55+D63+D70+D75+D79+D81+D86+D65+D92</f>
        <v>2437.0479</v>
      </c>
      <c r="E96" s="34">
        <f t="shared" si="4"/>
        <v>44.75713507455503</v>
      </c>
      <c r="F96" s="34">
        <f t="shared" si="3"/>
        <v>-3008.0010200000002</v>
      </c>
    </row>
    <row r="97" spans="1:5">
      <c r="C97" s="126"/>
      <c r="D97" s="101"/>
    </row>
    <row r="98" spans="1:5" s="65" customFormat="1" ht="16.5" customHeight="1">
      <c r="A98" s="63" t="s">
        <v>120</v>
      </c>
      <c r="B98" s="63"/>
      <c r="C98" s="250"/>
      <c r="D98" s="250"/>
      <c r="E98" s="64"/>
    </row>
    <row r="99" spans="1:5" s="65" customFormat="1" ht="20.25" customHeight="1">
      <c r="A99" s="66" t="s">
        <v>121</v>
      </c>
      <c r="B99" s="66"/>
      <c r="C99" s="65" t="s">
        <v>122</v>
      </c>
    </row>
    <row r="100" spans="1:5" ht="13.5" customHeight="1">
      <c r="C100" s="120"/>
    </row>
    <row r="102" spans="1:5" ht="5.25" customHeight="1"/>
    <row r="141" hidden="1"/>
  </sheetData>
  <customSheetViews>
    <customSheetView guid="{A54C432C-6C68-4B53-A75C-446EB3A61B2B}" scale="70" showPageBreaks="1" printArea="1" hiddenRows="1" view="pageBreakPreview" topLeftCell="A39">
      <selection activeCell="C50" activeCellId="1" sqref="C96:D96 C50:D51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B30CE22D-C12F-4E12-8BB9-3AAE0A6991CC}" scale="70" showPageBreaks="1" printArea="1" hiddenRows="1" view="pageBreakPreview" topLeftCell="A28">
      <selection activeCell="E98" sqref="E98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5BFCA170-DEAE-4D2C-98A0-1E68B427AC01}" showPageBreaks="1" printArea="1" hiddenRows="1" topLeftCell="A37">
      <selection activeCell="B100" sqref="B100"/>
      <pageMargins left="0.7" right="0.7" top="0.75" bottom="0.75" header="0.3" footer="0.3"/>
      <pageSetup paperSize="9" scale="57" orientation="portrait" r:id="rId3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4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6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G141"/>
  <sheetViews>
    <sheetView view="pageBreakPreview" topLeftCell="A62" zoomScale="70" zoomScaleNormal="100" zoomScaleSheetLayoutView="70" workbookViewId="0">
      <selection activeCell="C98" activeCellId="1" sqref="C52:D53 C98:D98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9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36" t="s">
        <v>432</v>
      </c>
      <c r="B1" s="436"/>
      <c r="C1" s="436"/>
      <c r="D1" s="436"/>
      <c r="E1" s="436"/>
      <c r="F1" s="436"/>
    </row>
    <row r="2" spans="1:6">
      <c r="A2" s="436"/>
      <c r="B2" s="436"/>
      <c r="C2" s="436"/>
      <c r="D2" s="436"/>
      <c r="E2" s="436"/>
      <c r="F2" s="43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1338.54</v>
      </c>
      <c r="D4" s="5">
        <f>D5+D12+D14+D17+D7</f>
        <v>733.70150999999998</v>
      </c>
      <c r="E4" s="5">
        <f>SUM(D4/C4*100)</f>
        <v>54.813566273701198</v>
      </c>
      <c r="F4" s="5">
        <f>SUM(D4-C4)</f>
        <v>-604.83848999999998</v>
      </c>
    </row>
    <row r="5" spans="1:6" s="6" customFormat="1">
      <c r="A5" s="68">
        <v>1010000000</v>
      </c>
      <c r="B5" s="67" t="s">
        <v>6</v>
      </c>
      <c r="C5" s="5">
        <f>C6</f>
        <v>105.2</v>
      </c>
      <c r="D5" s="5">
        <f>D6</f>
        <v>81.604619999999997</v>
      </c>
      <c r="E5" s="5">
        <f t="shared" ref="E5:E52" si="0">SUM(D5/C5*100)</f>
        <v>77.570931558935357</v>
      </c>
      <c r="F5" s="5">
        <f t="shared" ref="F5:F52" si="1">SUM(D5-C5)</f>
        <v>-23.595380000000006</v>
      </c>
    </row>
    <row r="6" spans="1:6">
      <c r="A6" s="7">
        <v>1010200001</v>
      </c>
      <c r="B6" s="8" t="s">
        <v>229</v>
      </c>
      <c r="C6" s="9">
        <v>105.2</v>
      </c>
      <c r="D6" s="10">
        <v>81.604619999999997</v>
      </c>
      <c r="E6" s="9">
        <f t="shared" ref="E6:E11" si="2">SUM(D6/C6*100)</f>
        <v>77.570931558935357</v>
      </c>
      <c r="F6" s="9">
        <f t="shared" si="1"/>
        <v>-23.595380000000006</v>
      </c>
    </row>
    <row r="7" spans="1:6" ht="31.5">
      <c r="A7" s="3">
        <v>1030000000</v>
      </c>
      <c r="B7" s="13" t="s">
        <v>281</v>
      </c>
      <c r="C7" s="5">
        <f>C8+C10+C9</f>
        <v>670.33999999999992</v>
      </c>
      <c r="D7" s="5">
        <f>D8+D10+D9+D11</f>
        <v>453.20123000000001</v>
      </c>
      <c r="E7" s="5">
        <f t="shared" si="2"/>
        <v>67.607666258913397</v>
      </c>
      <c r="F7" s="5">
        <f t="shared" si="1"/>
        <v>-217.13876999999991</v>
      </c>
    </row>
    <row r="8" spans="1:6">
      <c r="A8" s="7">
        <v>1030223001</v>
      </c>
      <c r="B8" s="8" t="s">
        <v>283</v>
      </c>
      <c r="C8" s="9">
        <v>250.04</v>
      </c>
      <c r="D8" s="10">
        <v>197.78236000000001</v>
      </c>
      <c r="E8" s="9">
        <f t="shared" si="2"/>
        <v>79.100287953927378</v>
      </c>
      <c r="F8" s="9">
        <f t="shared" si="1"/>
        <v>-52.257639999999981</v>
      </c>
    </row>
    <row r="9" spans="1:6">
      <c r="A9" s="7">
        <v>1030224001</v>
      </c>
      <c r="B9" s="8" t="s">
        <v>289</v>
      </c>
      <c r="C9" s="9">
        <v>2.68</v>
      </c>
      <c r="D9" s="10">
        <v>1.69462</v>
      </c>
      <c r="E9" s="9">
        <f t="shared" si="2"/>
        <v>63.232089552238804</v>
      </c>
      <c r="F9" s="9">
        <f t="shared" si="1"/>
        <v>-0.98538000000000014</v>
      </c>
    </row>
    <row r="10" spans="1:6">
      <c r="A10" s="7">
        <v>1030225001</v>
      </c>
      <c r="B10" s="8" t="s">
        <v>282</v>
      </c>
      <c r="C10" s="9">
        <v>417.62</v>
      </c>
      <c r="D10" s="10">
        <v>299.83377000000002</v>
      </c>
      <c r="E10" s="9">
        <f t="shared" si="2"/>
        <v>71.795835927398116</v>
      </c>
      <c r="F10" s="9">
        <f t="shared" si="1"/>
        <v>-117.78622999999999</v>
      </c>
    </row>
    <row r="11" spans="1:6">
      <c r="A11" s="7">
        <v>1030226001</v>
      </c>
      <c r="B11" s="8" t="s">
        <v>291</v>
      </c>
      <c r="C11" s="9">
        <v>0</v>
      </c>
      <c r="D11" s="10">
        <v>-46.109520000000003</v>
      </c>
      <c r="E11" s="9" t="e">
        <f t="shared" si="2"/>
        <v>#DIV/0!</v>
      </c>
      <c r="F11" s="9">
        <f t="shared" si="1"/>
        <v>-46.109520000000003</v>
      </c>
    </row>
    <row r="12" spans="1:6" s="6" customFormat="1">
      <c r="A12" s="68">
        <v>1050000000</v>
      </c>
      <c r="B12" s="67" t="s">
        <v>7</v>
      </c>
      <c r="C12" s="5">
        <f>SUM(C13:C13)</f>
        <v>30</v>
      </c>
      <c r="D12" s="5">
        <f>SUM(D13:D13)</f>
        <v>1.6573199999999999</v>
      </c>
      <c r="E12" s="5">
        <f t="shared" si="0"/>
        <v>5.5243999999999991</v>
      </c>
      <c r="F12" s="5">
        <f t="shared" si="1"/>
        <v>-28.342680000000001</v>
      </c>
    </row>
    <row r="13" spans="1:6" ht="15.75" customHeight="1">
      <c r="A13" s="7">
        <v>1050300000</v>
      </c>
      <c r="B13" s="11" t="s">
        <v>230</v>
      </c>
      <c r="C13" s="12">
        <v>30</v>
      </c>
      <c r="D13" s="10">
        <v>1.6573199999999999</v>
      </c>
      <c r="E13" s="9">
        <f t="shared" si="0"/>
        <v>5.5243999999999991</v>
      </c>
      <c r="F13" s="9">
        <f t="shared" si="1"/>
        <v>-28.342680000000001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525</v>
      </c>
      <c r="D14" s="5">
        <f>D15+D16</f>
        <v>193.58834000000002</v>
      </c>
      <c r="E14" s="5">
        <f t="shared" si="0"/>
        <v>36.873969523809521</v>
      </c>
      <c r="F14" s="5">
        <f t="shared" si="1"/>
        <v>-331.41165999999998</v>
      </c>
    </row>
    <row r="15" spans="1:6" s="6" customFormat="1" ht="15.75" customHeight="1">
      <c r="A15" s="7">
        <v>1060100000</v>
      </c>
      <c r="B15" s="11" t="s">
        <v>9</v>
      </c>
      <c r="C15" s="9">
        <v>105</v>
      </c>
      <c r="D15" s="10">
        <v>46.545529999999999</v>
      </c>
      <c r="E15" s="9">
        <f t="shared" si="0"/>
        <v>44.329076190476194</v>
      </c>
      <c r="F15" s="9">
        <f>SUM(D15-C15)</f>
        <v>-58.454470000000001</v>
      </c>
    </row>
    <row r="16" spans="1:6" ht="15.75" customHeight="1">
      <c r="A16" s="7">
        <v>1060600000</v>
      </c>
      <c r="B16" s="11" t="s">
        <v>8</v>
      </c>
      <c r="C16" s="9">
        <v>420</v>
      </c>
      <c r="D16" s="10">
        <v>147.04281</v>
      </c>
      <c r="E16" s="9">
        <f t="shared" si="0"/>
        <v>35.010192857142854</v>
      </c>
      <c r="F16" s="9">
        <f t="shared" si="1"/>
        <v>-272.95718999999997</v>
      </c>
    </row>
    <row r="17" spans="1:6" s="6" customFormat="1">
      <c r="A17" s="3">
        <v>1080000000</v>
      </c>
      <c r="B17" s="4" t="s">
        <v>11</v>
      </c>
      <c r="C17" s="5">
        <f>C18</f>
        <v>8</v>
      </c>
      <c r="D17" s="5">
        <f>D18</f>
        <v>3.65</v>
      </c>
      <c r="E17" s="5">
        <f t="shared" si="0"/>
        <v>45.625</v>
      </c>
      <c r="F17" s="5">
        <f t="shared" si="1"/>
        <v>-4.3499999999999996</v>
      </c>
    </row>
    <row r="18" spans="1:6" ht="17.25" customHeight="1">
      <c r="A18" s="7">
        <v>1080400001</v>
      </c>
      <c r="B18" s="8" t="s">
        <v>272</v>
      </c>
      <c r="C18" s="9">
        <v>8</v>
      </c>
      <c r="D18" s="10">
        <v>3.65</v>
      </c>
      <c r="E18" s="9">
        <f t="shared" si="0"/>
        <v>45.625</v>
      </c>
      <c r="F18" s="9">
        <f t="shared" si="1"/>
        <v>-4.3499999999999996</v>
      </c>
    </row>
    <row r="19" spans="1:6" ht="49.5" hidden="1" customHeight="1">
      <c r="A19" s="7">
        <v>1080714001</v>
      </c>
      <c r="B19" s="8" t="s">
        <v>227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260</v>
      </c>
      <c r="D25" s="5">
        <f>D26+D29+D31+D34</f>
        <v>322.00469000000004</v>
      </c>
      <c r="E25" s="5">
        <f t="shared" si="0"/>
        <v>123.8479576923077</v>
      </c>
      <c r="F25" s="5">
        <f t="shared" si="1"/>
        <v>62.004690000000039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60</v>
      </c>
      <c r="D26" s="5">
        <f>D27+D28</f>
        <v>22</v>
      </c>
      <c r="E26" s="5">
        <f t="shared" si="0"/>
        <v>36.666666666666664</v>
      </c>
      <c r="F26" s="5">
        <f t="shared" si="1"/>
        <v>-38</v>
      </c>
    </row>
    <row r="27" spans="1:6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60</v>
      </c>
      <c r="D28" s="10">
        <v>22</v>
      </c>
      <c r="E28" s="9">
        <f t="shared" si="0"/>
        <v>36.666666666666664</v>
      </c>
      <c r="F28" s="9">
        <f t="shared" si="1"/>
        <v>-38</v>
      </c>
    </row>
    <row r="29" spans="1:6" s="15" customFormat="1" ht="27.75" customHeight="1">
      <c r="A29" s="68">
        <v>1130000000</v>
      </c>
      <c r="B29" s="69" t="s">
        <v>131</v>
      </c>
      <c r="C29" s="5">
        <f>C30</f>
        <v>200</v>
      </c>
      <c r="D29" s="5">
        <f>D30</f>
        <v>300.24479000000002</v>
      </c>
      <c r="E29" s="5">
        <f t="shared" si="0"/>
        <v>150.12239500000001</v>
      </c>
      <c r="F29" s="5">
        <f t="shared" si="1"/>
        <v>100.24479000000002</v>
      </c>
    </row>
    <row r="30" spans="1:6" ht="15.75" customHeight="1">
      <c r="A30" s="7">
        <v>1130206005</v>
      </c>
      <c r="B30" s="8" t="s">
        <v>15</v>
      </c>
      <c r="C30" s="9">
        <v>200</v>
      </c>
      <c r="D30" s="10">
        <v>300.24479000000002</v>
      </c>
      <c r="E30" s="9">
        <f t="shared" si="0"/>
        <v>150.12239500000001</v>
      </c>
      <c r="F30" s="9">
        <f t="shared" si="1"/>
        <v>100.24479000000002</v>
      </c>
    </row>
    <row r="31" spans="1:6" ht="20.2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" hidden="1" customHeight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7.2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135</v>
      </c>
      <c r="C34" s="5">
        <f>C35+C36</f>
        <v>0</v>
      </c>
      <c r="D34" s="5">
        <f>D35+D36</f>
        <v>-0.24010000000000001</v>
      </c>
      <c r="E34" s="5" t="e">
        <f t="shared" si="0"/>
        <v>#DIV/0!</v>
      </c>
      <c r="F34" s="5">
        <f t="shared" si="1"/>
        <v>-0.24010000000000001</v>
      </c>
    </row>
    <row r="35" spans="1:7" ht="19.5" customHeight="1">
      <c r="A35" s="7">
        <v>1170105010</v>
      </c>
      <c r="B35" s="8" t="s">
        <v>18</v>
      </c>
      <c r="C35" s="9">
        <v>0</v>
      </c>
      <c r="D35" s="9">
        <v>-0.24010000000000001</v>
      </c>
      <c r="E35" s="9" t="e">
        <f t="shared" si="0"/>
        <v>#DIV/0!</v>
      </c>
      <c r="F35" s="9">
        <f t="shared" si="1"/>
        <v>-0.24010000000000001</v>
      </c>
    </row>
    <row r="36" spans="1:7" ht="0.75" hidden="1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19</v>
      </c>
      <c r="C37" s="127">
        <f>SUM(C4,C25)</f>
        <v>1598.54</v>
      </c>
      <c r="D37" s="127">
        <f>D4+D25</f>
        <v>1055.7062000000001</v>
      </c>
      <c r="E37" s="5">
        <f t="shared" si="0"/>
        <v>66.041900734420167</v>
      </c>
      <c r="F37" s="5">
        <f t="shared" si="1"/>
        <v>-542.83379999999988</v>
      </c>
    </row>
    <row r="38" spans="1:7" s="6" customFormat="1">
      <c r="A38" s="3">
        <v>2000000000</v>
      </c>
      <c r="B38" s="4" t="s">
        <v>20</v>
      </c>
      <c r="C38" s="5">
        <f>C39+C41+C42+C43+C50+C51</f>
        <v>5606.6020000000008</v>
      </c>
      <c r="D38" s="5">
        <f>D39+D41+D42+D43+D50+D51</f>
        <v>2920.4364999999998</v>
      </c>
      <c r="E38" s="5">
        <f t="shared" si="0"/>
        <v>52.089242289714868</v>
      </c>
      <c r="F38" s="5">
        <f t="shared" si="1"/>
        <v>-2686.165500000001</v>
      </c>
      <c r="G38" s="19"/>
    </row>
    <row r="39" spans="1:7">
      <c r="A39" s="16">
        <v>2021000000</v>
      </c>
      <c r="B39" s="17" t="s">
        <v>21</v>
      </c>
      <c r="C39" s="12">
        <v>2768.5630000000001</v>
      </c>
      <c r="D39" s="20">
        <v>2080.174</v>
      </c>
      <c r="E39" s="9">
        <v>0</v>
      </c>
      <c r="F39" s="9">
        <f t="shared" si="1"/>
        <v>-688.38900000000012</v>
      </c>
    </row>
    <row r="40" spans="1:7" ht="14.25" customHeight="1">
      <c r="A40" s="16">
        <v>2020100310</v>
      </c>
      <c r="B40" s="17" t="s">
        <v>232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 ht="17.25" customHeight="1">
      <c r="A41" s="16">
        <v>2021500200</v>
      </c>
      <c r="B41" s="17" t="s">
        <v>232</v>
      </c>
      <c r="C41" s="12">
        <v>624.97</v>
      </c>
      <c r="D41" s="20">
        <v>0</v>
      </c>
      <c r="E41" s="9">
        <f t="shared" si="0"/>
        <v>0</v>
      </c>
      <c r="F41" s="9">
        <f t="shared" si="1"/>
        <v>-624.97</v>
      </c>
    </row>
    <row r="42" spans="1:7">
      <c r="A42" s="16">
        <v>2022000000</v>
      </c>
      <c r="B42" s="17" t="s">
        <v>22</v>
      </c>
      <c r="C42" s="12">
        <v>1977.37</v>
      </c>
      <c r="D42" s="10">
        <v>635.33000000000004</v>
      </c>
      <c r="E42" s="9">
        <f t="shared" si="0"/>
        <v>32.130051533096996</v>
      </c>
      <c r="F42" s="9">
        <f t="shared" si="1"/>
        <v>-1342.04</v>
      </c>
    </row>
    <row r="43" spans="1:7" ht="17.25" customHeight="1">
      <c r="A43" s="16">
        <v>2023000000</v>
      </c>
      <c r="B43" s="17" t="s">
        <v>23</v>
      </c>
      <c r="C43" s="12">
        <v>157.59899999999999</v>
      </c>
      <c r="D43" s="252">
        <v>126.8325</v>
      </c>
      <c r="E43" s="9">
        <f t="shared" si="0"/>
        <v>80.477985266403977</v>
      </c>
      <c r="F43" s="9">
        <f t="shared" si="1"/>
        <v>-30.766499999999994</v>
      </c>
    </row>
    <row r="44" spans="1:7" ht="18" hidden="1" customHeight="1">
      <c r="A44" s="16">
        <v>2020400000</v>
      </c>
      <c r="B44" s="17" t="s">
        <v>24</v>
      </c>
      <c r="C44" s="12"/>
      <c r="D44" s="253"/>
      <c r="E44" s="9" t="e">
        <f t="shared" si="0"/>
        <v>#DIV/0!</v>
      </c>
      <c r="F44" s="9">
        <f t="shared" si="1"/>
        <v>0</v>
      </c>
    </row>
    <row r="45" spans="1:7" ht="14.25" hidden="1" customHeight="1">
      <c r="A45" s="16">
        <v>2020900000</v>
      </c>
      <c r="B45" s="18" t="s">
        <v>25</v>
      </c>
      <c r="C45" s="12"/>
      <c r="D45" s="253"/>
      <c r="E45" s="9" t="e">
        <f t="shared" si="0"/>
        <v>#DIV/0!</v>
      </c>
      <c r="F45" s="9">
        <f t="shared" si="1"/>
        <v>0</v>
      </c>
    </row>
    <row r="46" spans="1:7" ht="16.5" hidden="1" customHeight="1">
      <c r="A46" s="124">
        <v>2180000000</v>
      </c>
      <c r="B46" s="125" t="s">
        <v>302</v>
      </c>
      <c r="C46" s="278">
        <f>C47</f>
        <v>0</v>
      </c>
      <c r="D46" s="355">
        <f>D47</f>
        <v>0</v>
      </c>
      <c r="E46" s="9" t="e">
        <f t="shared" si="0"/>
        <v>#DIV/0!</v>
      </c>
      <c r="F46" s="9">
        <f t="shared" si="1"/>
        <v>0</v>
      </c>
    </row>
    <row r="47" spans="1:7" ht="18" hidden="1" customHeight="1">
      <c r="A47" s="16">
        <v>2180501010</v>
      </c>
      <c r="B47" s="18" t="s">
        <v>301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17.25" hidden="1" customHeight="1">
      <c r="A48" s="7">
        <v>2190500005</v>
      </c>
      <c r="B48" s="11" t="s">
        <v>26</v>
      </c>
      <c r="C48" s="14"/>
      <c r="D48" s="14"/>
      <c r="E48" s="9" t="e">
        <f t="shared" si="0"/>
        <v>#DIV/0!</v>
      </c>
      <c r="F48" s="9">
        <f t="shared" si="1"/>
        <v>0</v>
      </c>
    </row>
    <row r="49" spans="1:7" s="6" customFormat="1" ht="15.75" hidden="1" customHeight="1">
      <c r="A49" s="3">
        <v>3000000000</v>
      </c>
      <c r="B49" s="13" t="s">
        <v>27</v>
      </c>
      <c r="C49" s="122">
        <v>0</v>
      </c>
      <c r="D49" s="14">
        <v>0</v>
      </c>
      <c r="E49" s="9" t="e">
        <f t="shared" si="0"/>
        <v>#DIV/0!</v>
      </c>
      <c r="F49" s="9">
        <f t="shared" si="1"/>
        <v>0</v>
      </c>
    </row>
    <row r="50" spans="1:7" s="6" customFormat="1" ht="15" hidden="1" customHeight="1">
      <c r="A50" s="7">
        <v>2020400000</v>
      </c>
      <c r="B50" s="8" t="s">
        <v>24</v>
      </c>
      <c r="C50" s="12">
        <v>0</v>
      </c>
      <c r="D50" s="10">
        <v>0</v>
      </c>
      <c r="E50" s="9" t="e">
        <f t="shared" si="0"/>
        <v>#DIV/0!</v>
      </c>
      <c r="F50" s="9">
        <f t="shared" si="1"/>
        <v>0</v>
      </c>
    </row>
    <row r="51" spans="1:7" s="6" customFormat="1" ht="15" customHeight="1">
      <c r="A51" s="7">
        <v>2070500010</v>
      </c>
      <c r="B51" s="11" t="s">
        <v>303</v>
      </c>
      <c r="C51" s="12">
        <v>78.099999999999994</v>
      </c>
      <c r="D51" s="10">
        <v>78.099999999999994</v>
      </c>
      <c r="E51" s="9">
        <f>SUM(D51/C51*100)</f>
        <v>100</v>
      </c>
      <c r="F51" s="9">
        <f>SUM(D51-C51)</f>
        <v>0</v>
      </c>
    </row>
    <row r="52" spans="1:7" s="6" customFormat="1" ht="18" customHeight="1">
      <c r="A52" s="3"/>
      <c r="B52" s="4" t="s">
        <v>28</v>
      </c>
      <c r="C52" s="93">
        <f>C37+C38</f>
        <v>7205.1420000000007</v>
      </c>
      <c r="D52" s="93">
        <f>D37+D38</f>
        <v>3976.1426999999999</v>
      </c>
      <c r="E52" s="5">
        <f t="shared" si="0"/>
        <v>55.184793026979897</v>
      </c>
      <c r="F52" s="5">
        <f t="shared" si="1"/>
        <v>-3228.9993000000009</v>
      </c>
      <c r="G52" s="94"/>
    </row>
    <row r="53" spans="1:7" s="6" customFormat="1">
      <c r="A53" s="3"/>
      <c r="B53" s="21" t="s">
        <v>321</v>
      </c>
      <c r="C53" s="93">
        <f>C52-C98</f>
        <v>-699.8163799999993</v>
      </c>
      <c r="D53" s="93">
        <f>D52-D98</f>
        <v>-3.1515000000003965</v>
      </c>
      <c r="E53" s="22"/>
      <c r="F53" s="22"/>
    </row>
    <row r="54" spans="1:7">
      <c r="A54" s="23"/>
      <c r="B54" s="24"/>
      <c r="C54" s="115"/>
      <c r="D54" s="25"/>
      <c r="E54" s="26"/>
      <c r="F54" s="27"/>
    </row>
    <row r="55" spans="1:7" ht="63">
      <c r="A55" s="28" t="s">
        <v>1</v>
      </c>
      <c r="B55" s="28" t="s">
        <v>29</v>
      </c>
      <c r="C55" s="72" t="s">
        <v>346</v>
      </c>
      <c r="D55" s="73" t="s">
        <v>431</v>
      </c>
      <c r="E55" s="72" t="s">
        <v>3</v>
      </c>
      <c r="F55" s="74" t="s">
        <v>4</v>
      </c>
    </row>
    <row r="56" spans="1:7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15" customHeight="1">
      <c r="A57" s="30" t="s">
        <v>30</v>
      </c>
      <c r="B57" s="31" t="s">
        <v>31</v>
      </c>
      <c r="C57" s="32">
        <f>C58+C59+C60+C61+C62+C64+C63</f>
        <v>1272.5335</v>
      </c>
      <c r="D57" s="33">
        <f>D58+D59+D60+D61+D62+D64+D63</f>
        <v>872.31263000000001</v>
      </c>
      <c r="E57" s="34">
        <f>SUM(D57/C57*100)</f>
        <v>68.549286128813108</v>
      </c>
      <c r="F57" s="34">
        <f>SUM(D57-C57)</f>
        <v>-400.22086999999999</v>
      </c>
    </row>
    <row r="58" spans="1:7" s="6" customFormat="1" ht="15" hidden="1" customHeight="1">
      <c r="A58" s="35" t="s">
        <v>32</v>
      </c>
      <c r="B58" s="36" t="s">
        <v>33</v>
      </c>
      <c r="C58" s="37"/>
      <c r="D58" s="37"/>
      <c r="E58" s="38"/>
      <c r="F58" s="38"/>
    </row>
    <row r="59" spans="1:7" ht="15" customHeight="1">
      <c r="A59" s="35" t="s">
        <v>34</v>
      </c>
      <c r="B59" s="39" t="s">
        <v>35</v>
      </c>
      <c r="C59" s="37">
        <v>1247.5630000000001</v>
      </c>
      <c r="D59" s="37">
        <v>868.05613000000005</v>
      </c>
      <c r="E59" s="38">
        <f t="shared" ref="E59:E98" si="3">SUM(D59/C59*100)</f>
        <v>69.580143848446923</v>
      </c>
      <c r="F59" s="38">
        <f t="shared" ref="F59:F98" si="4">SUM(D59-C59)</f>
        <v>-379.50687000000005</v>
      </c>
    </row>
    <row r="60" spans="1:7" ht="1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1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4.25" customHeight="1">
      <c r="A62" s="35" t="s">
        <v>40</v>
      </c>
      <c r="B62" s="39" t="s">
        <v>41</v>
      </c>
      <c r="C62" s="37">
        <v>15.714</v>
      </c>
      <c r="D62" s="37">
        <v>0</v>
      </c>
      <c r="E62" s="38">
        <f t="shared" si="3"/>
        <v>0</v>
      </c>
      <c r="F62" s="38">
        <f t="shared" si="4"/>
        <v>-15.714</v>
      </c>
    </row>
    <row r="63" spans="1:7" ht="16.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7" ht="18" customHeight="1">
      <c r="A64" s="35" t="s">
        <v>44</v>
      </c>
      <c r="B64" s="39" t="s">
        <v>45</v>
      </c>
      <c r="C64" s="37">
        <v>4.2565</v>
      </c>
      <c r="D64" s="37">
        <v>4.2565</v>
      </c>
      <c r="E64" s="38">
        <f t="shared" si="3"/>
        <v>100</v>
      </c>
      <c r="F64" s="38">
        <f t="shared" si="4"/>
        <v>0</v>
      </c>
    </row>
    <row r="65" spans="1:7" s="6" customFormat="1" ht="15" customHeight="1">
      <c r="A65" s="41" t="s">
        <v>46</v>
      </c>
      <c r="B65" s="42" t="s">
        <v>47</v>
      </c>
      <c r="C65" s="32">
        <f>C66</f>
        <v>150.881</v>
      </c>
      <c r="D65" s="32">
        <f>D66</f>
        <v>101.3372</v>
      </c>
      <c r="E65" s="34">
        <f t="shared" si="3"/>
        <v>67.163658777447125</v>
      </c>
      <c r="F65" s="34">
        <f t="shared" si="4"/>
        <v>-49.543800000000005</v>
      </c>
    </row>
    <row r="66" spans="1:7">
      <c r="A66" s="43" t="s">
        <v>48</v>
      </c>
      <c r="B66" s="44" t="s">
        <v>49</v>
      </c>
      <c r="C66" s="37">
        <v>150.881</v>
      </c>
      <c r="D66" s="37">
        <v>101.3372</v>
      </c>
      <c r="E66" s="38">
        <f t="shared" si="3"/>
        <v>67.163658777447125</v>
      </c>
      <c r="F66" s="38">
        <f t="shared" si="4"/>
        <v>-49.543800000000005</v>
      </c>
    </row>
    <row r="67" spans="1:7" s="6" customFormat="1" ht="16.5" customHeight="1">
      <c r="A67" s="30" t="s">
        <v>50</v>
      </c>
      <c r="B67" s="31" t="s">
        <v>51</v>
      </c>
      <c r="C67" s="32">
        <f>C70+C71</f>
        <v>3</v>
      </c>
      <c r="D67" s="32">
        <f>SUM(D68:D71)</f>
        <v>0</v>
      </c>
      <c r="E67" s="34">
        <f t="shared" si="3"/>
        <v>0</v>
      </c>
      <c r="F67" s="34">
        <f t="shared" si="4"/>
        <v>-3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219</v>
      </c>
      <c r="B71" s="47" t="s">
        <v>220</v>
      </c>
      <c r="C71" s="37">
        <v>1</v>
      </c>
      <c r="D71" s="37">
        <v>0</v>
      </c>
      <c r="E71" s="34">
        <f t="shared" si="3"/>
        <v>0</v>
      </c>
      <c r="F71" s="34">
        <f t="shared" si="4"/>
        <v>-1</v>
      </c>
    </row>
    <row r="72" spans="1:7" s="6" customFormat="1" ht="15" customHeight="1">
      <c r="A72" s="30" t="s">
        <v>58</v>
      </c>
      <c r="B72" s="31" t="s">
        <v>59</v>
      </c>
      <c r="C72" s="48">
        <f>SUM(C73:C76)</f>
        <v>1527.69938</v>
      </c>
      <c r="D72" s="48">
        <f>SUM(D73:D76)</f>
        <v>1273.8193799999999</v>
      </c>
      <c r="E72" s="34">
        <f t="shared" si="3"/>
        <v>83.381547225606639</v>
      </c>
      <c r="F72" s="34">
        <f t="shared" si="4"/>
        <v>-253.88000000000011</v>
      </c>
    </row>
    <row r="73" spans="1:7" ht="17.25" customHeight="1">
      <c r="A73" s="35" t="s">
        <v>60</v>
      </c>
      <c r="B73" s="39" t="s">
        <v>61</v>
      </c>
      <c r="C73" s="49">
        <v>19.417999999999999</v>
      </c>
      <c r="D73" s="37">
        <v>6.25</v>
      </c>
      <c r="E73" s="38">
        <f t="shared" si="3"/>
        <v>32.18663096096406</v>
      </c>
      <c r="F73" s="38">
        <f t="shared" si="4"/>
        <v>-13.167999999999999</v>
      </c>
    </row>
    <row r="74" spans="1:7" s="6" customFormat="1" ht="19.5" customHeight="1">
      <c r="A74" s="35" t="s">
        <v>62</v>
      </c>
      <c r="B74" s="39" t="s">
        <v>63</v>
      </c>
      <c r="C74" s="49">
        <v>250</v>
      </c>
      <c r="D74" s="37">
        <v>157.28800000000001</v>
      </c>
      <c r="E74" s="38">
        <f t="shared" si="3"/>
        <v>62.915200000000006</v>
      </c>
      <c r="F74" s="38">
        <f t="shared" si="4"/>
        <v>-92.711999999999989</v>
      </c>
      <c r="G74" s="50"/>
    </row>
    <row r="75" spans="1:7">
      <c r="A75" s="35" t="s">
        <v>64</v>
      </c>
      <c r="B75" s="39" t="s">
        <v>65</v>
      </c>
      <c r="C75" s="49">
        <f>1208.28138</f>
        <v>1208.2813799999999</v>
      </c>
      <c r="D75" s="37">
        <v>1110.2813799999999</v>
      </c>
      <c r="E75" s="38">
        <f t="shared" si="3"/>
        <v>91.88930644615246</v>
      </c>
      <c r="F75" s="38">
        <f t="shared" si="4"/>
        <v>-98</v>
      </c>
    </row>
    <row r="76" spans="1:7">
      <c r="A76" s="35" t="s">
        <v>66</v>
      </c>
      <c r="B76" s="39" t="s">
        <v>67</v>
      </c>
      <c r="C76" s="49">
        <v>50</v>
      </c>
      <c r="D76" s="37">
        <v>0</v>
      </c>
      <c r="E76" s="38">
        <f t="shared" si="3"/>
        <v>0</v>
      </c>
      <c r="F76" s="38">
        <f t="shared" si="4"/>
        <v>-50</v>
      </c>
    </row>
    <row r="77" spans="1:7" s="6" customFormat="1" ht="14.25" customHeight="1">
      <c r="A77" s="30" t="s">
        <v>68</v>
      </c>
      <c r="B77" s="31" t="s">
        <v>69</v>
      </c>
      <c r="C77" s="32">
        <f>SUM(C78:C80)</f>
        <v>635.83500000000004</v>
      </c>
      <c r="D77" s="32">
        <f>SUM(D78:D80)</f>
        <v>546.24532999999997</v>
      </c>
      <c r="E77" s="34">
        <f t="shared" si="3"/>
        <v>85.909918453686871</v>
      </c>
      <c r="F77" s="34">
        <f t="shared" si="4"/>
        <v>-89.589670000000069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idden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v>635.83500000000004</v>
      </c>
      <c r="D80" s="37">
        <v>546.24532999999997</v>
      </c>
      <c r="E80" s="38">
        <f t="shared" si="3"/>
        <v>85.909918453686871</v>
      </c>
      <c r="F80" s="38">
        <f t="shared" si="4"/>
        <v>-89.589670000000069</v>
      </c>
    </row>
    <row r="81" spans="1:6" s="6" customFormat="1">
      <c r="A81" s="30" t="s">
        <v>86</v>
      </c>
      <c r="B81" s="31" t="s">
        <v>87</v>
      </c>
      <c r="C81" s="32">
        <f>C82</f>
        <v>4311.0095000000001</v>
      </c>
      <c r="D81" s="32">
        <f>SUM(D82)</f>
        <v>1185.5796600000001</v>
      </c>
      <c r="E81" s="34">
        <f t="shared" si="3"/>
        <v>27.50120731582707</v>
      </c>
      <c r="F81" s="34">
        <f t="shared" si="4"/>
        <v>-3125.4298399999998</v>
      </c>
    </row>
    <row r="82" spans="1:6" ht="15" customHeight="1">
      <c r="A82" s="35" t="s">
        <v>88</v>
      </c>
      <c r="B82" s="39" t="s">
        <v>234</v>
      </c>
      <c r="C82" s="37">
        <v>4311.0095000000001</v>
      </c>
      <c r="D82" s="37">
        <v>1185.5796600000001</v>
      </c>
      <c r="E82" s="38">
        <f t="shared" si="3"/>
        <v>27.50120731582707</v>
      </c>
      <c r="F82" s="38">
        <f t="shared" si="4"/>
        <v>-3125.4298399999998</v>
      </c>
    </row>
    <row r="83" spans="1:6" s="6" customFormat="1" ht="15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5.7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96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95</v>
      </c>
      <c r="B88" s="31" t="s">
        <v>96</v>
      </c>
      <c r="C88" s="32">
        <f>C89</f>
        <v>4</v>
      </c>
      <c r="D88" s="32">
        <f>D89+D90+D91+D92+D93</f>
        <v>0</v>
      </c>
      <c r="E88" s="38"/>
      <c r="F88" s="22">
        <f>F89+F90+F91+F92+F93</f>
        <v>-4</v>
      </c>
    </row>
    <row r="89" spans="1:6" ht="16.5" customHeight="1">
      <c r="A89" s="35" t="s">
        <v>97</v>
      </c>
      <c r="B89" s="39" t="s">
        <v>98</v>
      </c>
      <c r="C89" s="37">
        <v>4</v>
      </c>
      <c r="D89" s="37">
        <v>0</v>
      </c>
      <c r="E89" s="38"/>
      <c r="F89" s="38">
        <f>SUM(D89-C89)</f>
        <v>-4</v>
      </c>
    </row>
    <row r="90" spans="1:6" ht="1.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1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4.2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9.5" hidden="1" customHeight="1">
      <c r="A94" s="52">
        <v>1400</v>
      </c>
      <c r="B94" s="56" t="s">
        <v>115</v>
      </c>
      <c r="C94" s="48">
        <f>C95+C96+C97</f>
        <v>0</v>
      </c>
      <c r="D94" s="242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6.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20.25" hidden="1" customHeight="1">
      <c r="A97" s="53">
        <v>1403</v>
      </c>
      <c r="B97" s="54" t="s">
        <v>118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s="6" customFormat="1" ht="21" customHeight="1">
      <c r="A98" s="52"/>
      <c r="B98" s="57" t="s">
        <v>119</v>
      </c>
      <c r="C98" s="442">
        <f>C57+C65+C67+C72+C77+C81+C88+C83</f>
        <v>7904.95838</v>
      </c>
      <c r="D98" s="442">
        <f>D57+D65+D67+D72+D77+D81+D88+D83</f>
        <v>3979.2942000000003</v>
      </c>
      <c r="E98" s="34">
        <f t="shared" si="3"/>
        <v>50.339217598764897</v>
      </c>
      <c r="F98" s="34">
        <f t="shared" si="4"/>
        <v>-3925.6641799999998</v>
      </c>
    </row>
    <row r="99" spans="1:6">
      <c r="D99" s="246"/>
    </row>
    <row r="100" spans="1:6" s="65" customFormat="1" ht="18" customHeight="1">
      <c r="A100" s="63" t="s">
        <v>120</v>
      </c>
      <c r="B100" s="63"/>
      <c r="C100" s="131"/>
      <c r="D100" s="64"/>
      <c r="E100" s="64"/>
    </row>
    <row r="101" spans="1:6" s="65" customFormat="1" ht="12.75">
      <c r="A101" s="66" t="s">
        <v>121</v>
      </c>
      <c r="B101" s="66"/>
      <c r="C101" s="65" t="s">
        <v>122</v>
      </c>
    </row>
    <row r="102" spans="1:6">
      <c r="C102" s="120"/>
    </row>
    <row r="141" hidden="1"/>
  </sheetData>
  <customSheetViews>
    <customSheetView guid="{A54C432C-6C68-4B53-A75C-446EB3A61B2B}" scale="70" showPageBreaks="1" hiddenRows="1" view="pageBreakPreview" topLeftCell="A62">
      <selection activeCell="C98" activeCellId="1" sqref="C52:D53 C98:D98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B30CE22D-C12F-4E12-8BB9-3AAE0A6991CC}" scale="70" showPageBreaks="1" hiddenRows="1" view="pageBreakPreview" topLeftCell="A25">
      <selection activeCell="E100" sqref="E100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5BFCA170-DEAE-4D2C-98A0-1E68B427AC01}" showPageBreaks="1" hiddenRows="1" topLeftCell="A38">
      <selection activeCell="J56" sqref="J56"/>
      <pageMargins left="0.7" right="0.7" top="0.75" bottom="0.75" header="0.3" footer="0.3"/>
      <pageSetup paperSize="9" scale="52" orientation="portrait" r:id="rId3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4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6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view="pageBreakPreview" topLeftCell="A63" zoomScale="70" zoomScaleNormal="100" zoomScaleSheetLayoutView="70" workbookViewId="0">
      <selection activeCell="D83" sqref="D83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" style="62" customWidth="1"/>
    <col min="5" max="5" width="10.85546875" style="62" customWidth="1"/>
    <col min="6" max="6" width="9.28515625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436" t="s">
        <v>433</v>
      </c>
      <c r="B1" s="436"/>
      <c r="C1" s="436"/>
      <c r="D1" s="436"/>
      <c r="E1" s="436"/>
      <c r="F1" s="436"/>
    </row>
    <row r="2" spans="1:6">
      <c r="A2" s="436"/>
      <c r="B2" s="436"/>
      <c r="C2" s="436"/>
      <c r="D2" s="436"/>
      <c r="E2" s="436"/>
      <c r="F2" s="436"/>
    </row>
    <row r="3" spans="1:6" ht="64.5" customHeight="1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2455.75</v>
      </c>
      <c r="D4" s="5">
        <f>D5+D12+D14+D17+D7</f>
        <v>1097.9809500000001</v>
      </c>
      <c r="E4" s="5">
        <f>SUM(D4/C4*100)</f>
        <v>44.710615901455775</v>
      </c>
      <c r="F4" s="5">
        <f>SUM(D4-C4)</f>
        <v>-1357.7690499999999</v>
      </c>
    </row>
    <row r="5" spans="1:6" s="6" customFormat="1">
      <c r="A5" s="68">
        <v>1010000000</v>
      </c>
      <c r="B5" s="67" t="s">
        <v>6</v>
      </c>
      <c r="C5" s="5">
        <f>C6</f>
        <v>91.5</v>
      </c>
      <c r="D5" s="5">
        <f>D6</f>
        <v>82.744500000000002</v>
      </c>
      <c r="E5" s="5">
        <f t="shared" ref="E5:E52" si="0">SUM(D5/C5*100)</f>
        <v>90.431147540983616</v>
      </c>
      <c r="F5" s="5">
        <f t="shared" ref="F5:F52" si="1">SUM(D5-C5)</f>
        <v>-8.7554999999999978</v>
      </c>
    </row>
    <row r="6" spans="1:6">
      <c r="A6" s="7">
        <v>1010200001</v>
      </c>
      <c r="B6" s="8" t="s">
        <v>229</v>
      </c>
      <c r="C6" s="9">
        <v>91.5</v>
      </c>
      <c r="D6" s="10">
        <v>82.744500000000002</v>
      </c>
      <c r="E6" s="9">
        <f t="shared" ref="E6:E11" si="2">SUM(D6/C6*100)</f>
        <v>90.431147540983616</v>
      </c>
      <c r="F6" s="9">
        <f t="shared" si="1"/>
        <v>-8.7554999999999978</v>
      </c>
    </row>
    <row r="7" spans="1:6" ht="31.5">
      <c r="A7" s="3">
        <v>1030000000</v>
      </c>
      <c r="B7" s="13" t="s">
        <v>281</v>
      </c>
      <c r="C7" s="5">
        <f>C8+C10+C9</f>
        <v>732.24999999999989</v>
      </c>
      <c r="D7" s="5">
        <f>D8+D10+D9+D11</f>
        <v>495.05746000000005</v>
      </c>
      <c r="E7" s="5">
        <f t="shared" si="2"/>
        <v>67.607710481392985</v>
      </c>
      <c r="F7" s="5">
        <f t="shared" si="1"/>
        <v>-237.19253999999984</v>
      </c>
    </row>
    <row r="8" spans="1:6">
      <c r="A8" s="7">
        <v>1030223001</v>
      </c>
      <c r="B8" s="8" t="s">
        <v>283</v>
      </c>
      <c r="C8" s="9">
        <v>273.13</v>
      </c>
      <c r="D8" s="10">
        <v>216.04886999999999</v>
      </c>
      <c r="E8" s="9">
        <f t="shared" si="2"/>
        <v>79.101113023102556</v>
      </c>
      <c r="F8" s="9">
        <f t="shared" si="1"/>
        <v>-57.081130000000002</v>
      </c>
    </row>
    <row r="9" spans="1:6">
      <c r="A9" s="7">
        <v>1030224001</v>
      </c>
      <c r="B9" s="8" t="s">
        <v>289</v>
      </c>
      <c r="C9" s="9">
        <v>2.93</v>
      </c>
      <c r="D9" s="10">
        <v>1.8511299999999999</v>
      </c>
      <c r="E9" s="9">
        <f t="shared" si="2"/>
        <v>63.178498293515354</v>
      </c>
      <c r="F9" s="9">
        <f t="shared" si="1"/>
        <v>-1.0788700000000002</v>
      </c>
    </row>
    <row r="10" spans="1:6">
      <c r="A10" s="7">
        <v>1030225001</v>
      </c>
      <c r="B10" s="8" t="s">
        <v>282</v>
      </c>
      <c r="C10" s="9">
        <v>456.19</v>
      </c>
      <c r="D10" s="10">
        <v>327.52542</v>
      </c>
      <c r="E10" s="9">
        <f t="shared" si="2"/>
        <v>71.795835068721374</v>
      </c>
      <c r="F10" s="9">
        <f>SUM(D10-C10)</f>
        <v>-128.66458</v>
      </c>
    </row>
    <row r="11" spans="1:6">
      <c r="A11" s="7">
        <v>1030226001</v>
      </c>
      <c r="B11" s="8" t="s">
        <v>291</v>
      </c>
      <c r="C11" s="9">
        <v>0</v>
      </c>
      <c r="D11" s="10">
        <v>-50.367959999999997</v>
      </c>
      <c r="E11" s="9" t="e">
        <f t="shared" si="2"/>
        <v>#DIV/0!</v>
      </c>
      <c r="F11" s="9">
        <f>SUM(D11-C11)</f>
        <v>-50.367959999999997</v>
      </c>
    </row>
    <row r="12" spans="1:6" s="6" customFormat="1">
      <c r="A12" s="68">
        <v>1050000000</v>
      </c>
      <c r="B12" s="67" t="s">
        <v>7</v>
      </c>
      <c r="C12" s="5">
        <f>SUM(C13:C13)</f>
        <v>15</v>
      </c>
      <c r="D12" s="5">
        <f>SUM(D13:D13)</f>
        <v>21.4968</v>
      </c>
      <c r="E12" s="5">
        <f t="shared" si="0"/>
        <v>143.31199999999998</v>
      </c>
      <c r="F12" s="5">
        <f t="shared" si="1"/>
        <v>6.4968000000000004</v>
      </c>
    </row>
    <row r="13" spans="1:6" ht="15.75" customHeight="1">
      <c r="A13" s="7">
        <v>1050300000</v>
      </c>
      <c r="B13" s="11" t="s">
        <v>230</v>
      </c>
      <c r="C13" s="12">
        <v>15</v>
      </c>
      <c r="D13" s="10">
        <v>21.4968</v>
      </c>
      <c r="E13" s="9">
        <f t="shared" si="0"/>
        <v>143.31199999999998</v>
      </c>
      <c r="F13" s="9">
        <f t="shared" si="1"/>
        <v>6.4968000000000004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1605</v>
      </c>
      <c r="D14" s="5">
        <f>D15+D16</f>
        <v>486.19497999999999</v>
      </c>
      <c r="E14" s="5">
        <f t="shared" si="0"/>
        <v>30.292522118380059</v>
      </c>
      <c r="F14" s="5">
        <f t="shared" si="1"/>
        <v>-1118.80502</v>
      </c>
    </row>
    <row r="15" spans="1:6" s="6" customFormat="1" ht="15.75" customHeight="1">
      <c r="A15" s="7">
        <v>1060100000</v>
      </c>
      <c r="B15" s="11" t="s">
        <v>9</v>
      </c>
      <c r="C15" s="9">
        <v>155</v>
      </c>
      <c r="D15" s="10">
        <v>44.308610000000002</v>
      </c>
      <c r="E15" s="9">
        <f t="shared" si="0"/>
        <v>28.586200000000002</v>
      </c>
      <c r="F15" s="9">
        <f>SUM(D15-C15)</f>
        <v>-110.69139</v>
      </c>
    </row>
    <row r="16" spans="1:6" ht="15.75" customHeight="1">
      <c r="A16" s="7">
        <v>1060600000</v>
      </c>
      <c r="B16" s="11" t="s">
        <v>8</v>
      </c>
      <c r="C16" s="9">
        <v>1450</v>
      </c>
      <c r="D16" s="10">
        <v>441.88637</v>
      </c>
      <c r="E16" s="9">
        <f t="shared" si="0"/>
        <v>30.474922068965515</v>
      </c>
      <c r="F16" s="9">
        <f t="shared" si="1"/>
        <v>-1008.1136300000001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12.487209999999999</v>
      </c>
      <c r="E17" s="5">
        <f t="shared" si="0"/>
        <v>104.06008333333332</v>
      </c>
      <c r="F17" s="5">
        <f t="shared" si="1"/>
        <v>0.48720999999999925</v>
      </c>
    </row>
    <row r="18" spans="1:6" ht="18" customHeight="1">
      <c r="A18" s="7">
        <v>1080400001</v>
      </c>
      <c r="B18" s="8" t="s">
        <v>228</v>
      </c>
      <c r="C18" s="9">
        <v>12</v>
      </c>
      <c r="D18" s="10">
        <v>12.487209999999999</v>
      </c>
      <c r="E18" s="9">
        <f t="shared" si="0"/>
        <v>104.06008333333332</v>
      </c>
      <c r="F18" s="9">
        <f t="shared" si="1"/>
        <v>0.48720999999999925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C26+C30+C32+C37+C35</f>
        <v>35</v>
      </c>
      <c r="D25" s="5">
        <f>D30+D37+D26+D35</f>
        <v>100.3308</v>
      </c>
      <c r="E25" s="5">
        <f t="shared" si="0"/>
        <v>286.65942857142858</v>
      </c>
      <c r="F25" s="5">
        <f t="shared" si="1"/>
        <v>65.330799999999996</v>
      </c>
    </row>
    <row r="26" spans="1:6" s="6" customFormat="1" ht="30.75" customHeight="1">
      <c r="A26" s="68">
        <v>1110000000</v>
      </c>
      <c r="B26" s="69" t="s">
        <v>129</v>
      </c>
      <c r="C26" s="5">
        <f>C27+C28</f>
        <v>35</v>
      </c>
      <c r="D26" s="5">
        <f>D27+D28</f>
        <v>61.579819999999998</v>
      </c>
      <c r="E26" s="5">
        <f t="shared" si="0"/>
        <v>175.94234285714285</v>
      </c>
      <c r="F26" s="5">
        <f t="shared" si="1"/>
        <v>26.579819999999998</v>
      </c>
    </row>
    <row r="27" spans="1:6" ht="15.75" customHeight="1">
      <c r="A27" s="16">
        <v>1110502510</v>
      </c>
      <c r="B27" s="17" t="s">
        <v>226</v>
      </c>
      <c r="C27" s="12">
        <v>30</v>
      </c>
      <c r="D27" s="10">
        <v>8.5763599999999993</v>
      </c>
      <c r="E27" s="9">
        <f t="shared" si="0"/>
        <v>28.587866666666667</v>
      </c>
      <c r="F27" s="9">
        <f t="shared" si="1"/>
        <v>-21.423639999999999</v>
      </c>
    </row>
    <row r="28" spans="1:6" ht="15.75" customHeight="1">
      <c r="A28" s="7">
        <v>1110503510</v>
      </c>
      <c r="B28" s="11" t="s">
        <v>225</v>
      </c>
      <c r="C28" s="12">
        <v>5</v>
      </c>
      <c r="D28" s="10">
        <v>53.003459999999997</v>
      </c>
      <c r="E28" s="9">
        <f t="shared" si="0"/>
        <v>1060.0691999999999</v>
      </c>
      <c r="F28" s="9">
        <f t="shared" si="1"/>
        <v>48.003459999999997</v>
      </c>
    </row>
    <row r="29" spans="1:6" ht="15.75" customHeight="1">
      <c r="A29" s="7">
        <v>1110532510</v>
      </c>
      <c r="B29" s="11" t="s">
        <v>362</v>
      </c>
      <c r="C29" s="12">
        <v>0</v>
      </c>
      <c r="D29" s="246">
        <v>0</v>
      </c>
      <c r="E29" s="9" t="e">
        <f>SUM(D28/C29*100)</f>
        <v>#DIV/0!</v>
      </c>
      <c r="F29" s="9">
        <f>SUM(D28-C29)</f>
        <v>53.003459999999997</v>
      </c>
    </row>
    <row r="30" spans="1:6" s="15" customFormat="1" ht="29.25">
      <c r="A30" s="68">
        <v>1130000000</v>
      </c>
      <c r="B30" s="69" t="s">
        <v>131</v>
      </c>
      <c r="C30" s="5">
        <f>C31</f>
        <v>0</v>
      </c>
      <c r="D30" s="5">
        <f>D31</f>
        <v>25.80283</v>
      </c>
      <c r="E30" s="5" t="e">
        <f t="shared" si="0"/>
        <v>#DIV/0!</v>
      </c>
      <c r="F30" s="5">
        <f t="shared" si="1"/>
        <v>25.80283</v>
      </c>
    </row>
    <row r="31" spans="1:6" ht="17.25" customHeight="1">
      <c r="A31" s="7">
        <v>1130206005</v>
      </c>
      <c r="B31" s="8" t="s">
        <v>224</v>
      </c>
      <c r="C31" s="9">
        <v>0</v>
      </c>
      <c r="D31" s="10">
        <v>25.80283</v>
      </c>
      <c r="E31" s="9" t="e">
        <f t="shared" si="0"/>
        <v>#DIV/0!</v>
      </c>
      <c r="F31" s="9">
        <f t="shared" si="1"/>
        <v>25.80283</v>
      </c>
    </row>
    <row r="32" spans="1:6" hidden="1">
      <c r="A32" s="70">
        <v>1140000000</v>
      </c>
      <c r="B32" s="71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idden="1">
      <c r="A33" s="16">
        <v>1140200000</v>
      </c>
      <c r="B33" s="1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20.25" hidden="1" customHeight="1">
      <c r="A35" s="3">
        <v>1160000000</v>
      </c>
      <c r="B35" s="13" t="s">
        <v>252</v>
      </c>
      <c r="C35" s="5">
        <f>C36</f>
        <v>0</v>
      </c>
      <c r="D35" s="14">
        <f>D36</f>
        <v>12.99113</v>
      </c>
      <c r="E35" s="5" t="e">
        <f>SUM(D35/C35*100)</f>
        <v>#DIV/0!</v>
      </c>
      <c r="F35" s="5">
        <f>SUM(D35-C35)</f>
        <v>12.99113</v>
      </c>
    </row>
    <row r="36" spans="1:7" ht="29.25" hidden="1" customHeight="1">
      <c r="A36" s="7">
        <v>1163305010</v>
      </c>
      <c r="B36" s="8" t="s">
        <v>268</v>
      </c>
      <c r="C36" s="9">
        <v>0</v>
      </c>
      <c r="D36" s="10">
        <v>12.99113</v>
      </c>
      <c r="E36" s="9" t="e">
        <f>SUM(D36/C36*100)</f>
        <v>#DIV/0!</v>
      </c>
      <c r="F36" s="9">
        <f>SUM(D36-C36)</f>
        <v>12.99113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-4.2979999999999997E-2</v>
      </c>
      <c r="E37" s="5" t="e">
        <f t="shared" si="0"/>
        <v>#DIV/0!</v>
      </c>
      <c r="F37" s="5">
        <f t="shared" si="1"/>
        <v>-4.2979999999999997E-2</v>
      </c>
    </row>
    <row r="38" spans="1:7">
      <c r="A38" s="7">
        <v>1170105010</v>
      </c>
      <c r="B38" s="8" t="s">
        <v>18</v>
      </c>
      <c r="C38" s="9">
        <v>0</v>
      </c>
      <c r="D38" s="9">
        <v>-4.2979999999999997E-2</v>
      </c>
      <c r="E38" s="9" t="e">
        <f t="shared" si="0"/>
        <v>#DIV/0!</v>
      </c>
      <c r="F38" s="9">
        <f t="shared" si="1"/>
        <v>-4.2979999999999997E-2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19</v>
      </c>
      <c r="C40" s="127">
        <f>SUM(C4,C25)</f>
        <v>2490.75</v>
      </c>
      <c r="D40" s="127">
        <f>D4+D25</f>
        <v>1198.3117500000001</v>
      </c>
      <c r="E40" s="5">
        <f t="shared" si="0"/>
        <v>48.110478771454382</v>
      </c>
      <c r="F40" s="5">
        <f t="shared" si="1"/>
        <v>-1292.4382499999999</v>
      </c>
    </row>
    <row r="41" spans="1:7" s="6" customFormat="1">
      <c r="A41" s="3">
        <v>2000000000</v>
      </c>
      <c r="B41" s="4" t="s">
        <v>20</v>
      </c>
      <c r="C41" s="5">
        <f>C42+C44+C45+C47+C48+C49+C43+C51</f>
        <v>6051.4553599999999</v>
      </c>
      <c r="D41" s="5">
        <f>D42+D44+D45+D47+D48+D49+D43+D51</f>
        <v>4189.8087999999998</v>
      </c>
      <c r="E41" s="5">
        <f t="shared" si="0"/>
        <v>69.236382832707534</v>
      </c>
      <c r="F41" s="5">
        <f t="shared" si="1"/>
        <v>-1861.6465600000001</v>
      </c>
      <c r="G41" s="19"/>
    </row>
    <row r="42" spans="1:7" ht="17.25" customHeight="1">
      <c r="A42" s="16">
        <v>2021000000</v>
      </c>
      <c r="B42" s="17" t="s">
        <v>21</v>
      </c>
      <c r="C42" s="12">
        <f>1767.2+53.973</f>
        <v>1821.173</v>
      </c>
      <c r="D42" s="20">
        <v>1272.0060000000001</v>
      </c>
      <c r="E42" s="9">
        <f t="shared" si="0"/>
        <v>69.845423801033732</v>
      </c>
      <c r="F42" s="9">
        <f t="shared" si="1"/>
        <v>-549.16699999999992</v>
      </c>
    </row>
    <row r="43" spans="1:7" ht="17.25" customHeight="1">
      <c r="A43" s="16">
        <v>2021500200</v>
      </c>
      <c r="B43" s="17" t="s">
        <v>232</v>
      </c>
      <c r="C43" s="12">
        <v>70</v>
      </c>
      <c r="D43" s="20">
        <v>0</v>
      </c>
      <c r="E43" s="9">
        <f t="shared" si="0"/>
        <v>0</v>
      </c>
      <c r="F43" s="9">
        <f t="shared" si="1"/>
        <v>-70</v>
      </c>
    </row>
    <row r="44" spans="1:7">
      <c r="A44" s="16">
        <v>2022000000</v>
      </c>
      <c r="B44" s="17" t="s">
        <v>22</v>
      </c>
      <c r="C44" s="12">
        <v>3340.6713599999998</v>
      </c>
      <c r="D44" s="10">
        <v>2127.9686999999999</v>
      </c>
      <c r="E44" s="9">
        <f t="shared" si="0"/>
        <v>63.698833877511376</v>
      </c>
      <c r="F44" s="9">
        <f t="shared" si="1"/>
        <v>-1212.7026599999999</v>
      </c>
    </row>
    <row r="45" spans="1:7" ht="15.75" customHeight="1">
      <c r="A45" s="16">
        <v>2023000000</v>
      </c>
      <c r="B45" s="17" t="s">
        <v>23</v>
      </c>
      <c r="C45" s="12">
        <v>155.91800000000001</v>
      </c>
      <c r="D45" s="252">
        <v>126.14109999999999</v>
      </c>
      <c r="E45" s="9">
        <f t="shared" si="0"/>
        <v>80.902205005195029</v>
      </c>
      <c r="F45" s="9">
        <f t="shared" si="1"/>
        <v>-29.776900000000012</v>
      </c>
    </row>
    <row r="46" spans="1:7" ht="15" hidden="1" customHeight="1">
      <c r="A46" s="16">
        <v>2070503010</v>
      </c>
      <c r="B46" s="17" t="s">
        <v>271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idden="1">
      <c r="A47" s="16">
        <v>2020400000</v>
      </c>
      <c r="B47" s="17" t="s">
        <v>24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31.5" hidden="1">
      <c r="A48" s="16">
        <v>2020900000</v>
      </c>
      <c r="B48" s="18" t="s">
        <v>25</v>
      </c>
      <c r="C48" s="12"/>
      <c r="D48" s="253"/>
      <c r="E48" s="9" t="e">
        <f t="shared" si="0"/>
        <v>#DIV/0!</v>
      </c>
      <c r="F48" s="9">
        <f t="shared" si="1"/>
        <v>0</v>
      </c>
    </row>
    <row r="49" spans="1:7" hidden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7" s="6" customFormat="1">
      <c r="A51" s="7">
        <v>2070502010</v>
      </c>
      <c r="B51" s="8" t="s">
        <v>303</v>
      </c>
      <c r="C51" s="330">
        <v>663.69299999999998</v>
      </c>
      <c r="D51" s="331">
        <v>663.69299999999998</v>
      </c>
      <c r="E51" s="9">
        <f t="shared" si="0"/>
        <v>100</v>
      </c>
      <c r="F51" s="9">
        <f t="shared" si="1"/>
        <v>0</v>
      </c>
    </row>
    <row r="52" spans="1:7" s="6" customFormat="1">
      <c r="A52" s="3"/>
      <c r="B52" s="4" t="s">
        <v>28</v>
      </c>
      <c r="C52" s="93">
        <f>SUM(C40,C41,C50)</f>
        <v>8542.2053599999999</v>
      </c>
      <c r="D52" s="441">
        <f>D40+D41</f>
        <v>5388.1205499999996</v>
      </c>
      <c r="E52" s="5">
        <f t="shared" si="0"/>
        <v>63.076457693590257</v>
      </c>
      <c r="F52" s="5">
        <f t="shared" si="1"/>
        <v>-3154.0848100000003</v>
      </c>
      <c r="G52" s="94"/>
    </row>
    <row r="53" spans="1:7" s="6" customFormat="1">
      <c r="A53" s="3"/>
      <c r="B53" s="21" t="s">
        <v>321</v>
      </c>
      <c r="C53" s="445">
        <f>C52-C99</f>
        <v>-2198.5853299999999</v>
      </c>
      <c r="D53" s="445">
        <f>D52-D99</f>
        <v>-1481.8857400000015</v>
      </c>
      <c r="E53" s="22"/>
      <c r="F53" s="22"/>
    </row>
    <row r="54" spans="1:7" ht="32.25" customHeight="1">
      <c r="A54" s="23"/>
      <c r="B54" s="24"/>
      <c r="C54" s="248"/>
      <c r="D54" s="25"/>
      <c r="E54" s="26"/>
      <c r="F54" s="27"/>
    </row>
    <row r="55" spans="1:7" ht="63">
      <c r="A55" s="28" t="s">
        <v>1</v>
      </c>
      <c r="B55" s="28" t="s">
        <v>29</v>
      </c>
      <c r="C55" s="72" t="s">
        <v>346</v>
      </c>
      <c r="D55" s="73" t="s">
        <v>412</v>
      </c>
      <c r="E55" s="72" t="s">
        <v>3</v>
      </c>
      <c r="F55" s="74" t="s">
        <v>4</v>
      </c>
    </row>
    <row r="56" spans="1:7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16.5" customHeight="1">
      <c r="A57" s="30" t="s">
        <v>30</v>
      </c>
      <c r="B57" s="31" t="s">
        <v>31</v>
      </c>
      <c r="C57" s="32">
        <f>C58+C59+C60+C61+C62+C64+C63</f>
        <v>1306.498</v>
      </c>
      <c r="D57" s="33">
        <f>D58+D59+D60+D61+D62+D64+D63</f>
        <v>749.23440000000005</v>
      </c>
      <c r="E57" s="34">
        <f>SUM(D57/C57*100)</f>
        <v>57.346769761606986</v>
      </c>
      <c r="F57" s="34">
        <f>SUM(D57-C57)</f>
        <v>-557.2636</v>
      </c>
    </row>
    <row r="58" spans="1:7" s="6" customFormat="1" ht="31.5" hidden="1">
      <c r="A58" s="35" t="s">
        <v>32</v>
      </c>
      <c r="B58" s="36" t="s">
        <v>33</v>
      </c>
      <c r="C58" s="37"/>
      <c r="D58" s="37"/>
      <c r="E58" s="38"/>
      <c r="F58" s="38"/>
    </row>
    <row r="59" spans="1:7" ht="18.75" customHeight="1">
      <c r="A59" s="35" t="s">
        <v>34</v>
      </c>
      <c r="B59" s="39" t="s">
        <v>35</v>
      </c>
      <c r="C59" s="37">
        <v>1283.673</v>
      </c>
      <c r="D59" s="37">
        <v>732.42740000000003</v>
      </c>
      <c r="E59" s="38">
        <f t="shared" ref="E59:E99" si="3">SUM(D59/C59*100)</f>
        <v>57.05716331184032</v>
      </c>
      <c r="F59" s="38">
        <f t="shared" ref="F59:F99" si="4">SUM(D59-C59)</f>
        <v>-551.24559999999997</v>
      </c>
    </row>
    <row r="60" spans="1:7" ht="16.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5" hidden="1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7" ht="15" customHeight="1">
      <c r="A64" s="35" t="s">
        <v>44</v>
      </c>
      <c r="B64" s="39" t="s">
        <v>45</v>
      </c>
      <c r="C64" s="37">
        <v>17.824999999999999</v>
      </c>
      <c r="D64" s="37">
        <v>16.806999999999999</v>
      </c>
      <c r="E64" s="38">
        <f t="shared" si="3"/>
        <v>94.288920056100977</v>
      </c>
      <c r="F64" s="38">
        <f t="shared" si="4"/>
        <v>-1.0180000000000007</v>
      </c>
    </row>
    <row r="65" spans="1:7" s="6" customFormat="1">
      <c r="A65" s="41" t="s">
        <v>46</v>
      </c>
      <c r="B65" s="42" t="s">
        <v>47</v>
      </c>
      <c r="C65" s="32">
        <f>C66</f>
        <v>150.88</v>
      </c>
      <c r="D65" s="32">
        <f>D66</f>
        <v>108.21825</v>
      </c>
      <c r="E65" s="34">
        <f t="shared" si="3"/>
        <v>71.72471500530223</v>
      </c>
      <c r="F65" s="34">
        <f t="shared" si="4"/>
        <v>-42.661749999999998</v>
      </c>
    </row>
    <row r="66" spans="1:7">
      <c r="A66" s="43" t="s">
        <v>48</v>
      </c>
      <c r="B66" s="44" t="s">
        <v>49</v>
      </c>
      <c r="C66" s="37">
        <v>150.88</v>
      </c>
      <c r="D66" s="37">
        <v>108.21825</v>
      </c>
      <c r="E66" s="38">
        <f t="shared" si="3"/>
        <v>71.72471500530223</v>
      </c>
      <c r="F66" s="38">
        <f t="shared" si="4"/>
        <v>-42.661749999999998</v>
      </c>
    </row>
    <row r="67" spans="1:7" s="6" customFormat="1" ht="16.5" customHeight="1">
      <c r="A67" s="30" t="s">
        <v>50</v>
      </c>
      <c r="B67" s="31" t="s">
        <v>51</v>
      </c>
      <c r="C67" s="32">
        <f>C71+C70+C72</f>
        <v>60</v>
      </c>
      <c r="D67" s="32">
        <f>D71+D70</f>
        <v>5.7750000000000004</v>
      </c>
      <c r="E67" s="34">
        <f t="shared" si="3"/>
        <v>9.625</v>
      </c>
      <c r="F67" s="34">
        <f t="shared" si="4"/>
        <v>-54.225000000000001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219</v>
      </c>
      <c r="B71" s="47" t="s">
        <v>220</v>
      </c>
      <c r="C71" s="37">
        <v>8</v>
      </c>
      <c r="D71" s="37">
        <v>5.7750000000000004</v>
      </c>
      <c r="E71" s="34">
        <f t="shared" si="3"/>
        <v>72.1875</v>
      </c>
      <c r="F71" s="34">
        <f t="shared" si="4"/>
        <v>-2.2249999999999996</v>
      </c>
    </row>
    <row r="72" spans="1:7" ht="15.75" customHeight="1">
      <c r="A72" s="46" t="s">
        <v>360</v>
      </c>
      <c r="B72" s="47" t="s">
        <v>363</v>
      </c>
      <c r="C72" s="37">
        <v>50</v>
      </c>
      <c r="D72" s="37">
        <v>0</v>
      </c>
      <c r="E72" s="34">
        <f>SUM(D72/C72*100)</f>
        <v>0</v>
      </c>
      <c r="F72" s="34">
        <f>SUM(D72-C72)</f>
        <v>-50</v>
      </c>
    </row>
    <row r="73" spans="1:7" s="6" customFormat="1" ht="24" customHeight="1">
      <c r="A73" s="30" t="s">
        <v>58</v>
      </c>
      <c r="B73" s="31" t="s">
        <v>59</v>
      </c>
      <c r="C73" s="48">
        <f>C74+C75+C76+C77</f>
        <v>5706.0226899999998</v>
      </c>
      <c r="D73" s="48">
        <f>SUM(D74:D77)</f>
        <v>3574.04441</v>
      </c>
      <c r="E73" s="34">
        <f t="shared" si="3"/>
        <v>62.636351170906401</v>
      </c>
      <c r="F73" s="34">
        <f t="shared" si="4"/>
        <v>-2131.9782799999998</v>
      </c>
    </row>
    <row r="74" spans="1:7" ht="16.5" customHeight="1">
      <c r="A74" s="35" t="s">
        <v>60</v>
      </c>
      <c r="B74" s="39" t="s">
        <v>61</v>
      </c>
      <c r="C74" s="49">
        <v>15.188000000000001</v>
      </c>
      <c r="D74" s="37">
        <v>3.75</v>
      </c>
      <c r="E74" s="38">
        <f t="shared" si="3"/>
        <v>24.690545167237289</v>
      </c>
      <c r="F74" s="38">
        <f t="shared" si="4"/>
        <v>-11.438000000000001</v>
      </c>
    </row>
    <row r="75" spans="1:7" s="6" customFormat="1" ht="17.25" customHeight="1">
      <c r="A75" s="35" t="s">
        <v>62</v>
      </c>
      <c r="B75" s="39" t="s">
        <v>63</v>
      </c>
      <c r="C75" s="49">
        <v>400.35199999999998</v>
      </c>
      <c r="D75" s="37">
        <v>50</v>
      </c>
      <c r="E75" s="38">
        <f t="shared" si="3"/>
        <v>12.489009671489089</v>
      </c>
      <c r="F75" s="38">
        <f t="shared" si="4"/>
        <v>-350.35199999999998</v>
      </c>
      <c r="G75" s="50"/>
    </row>
    <row r="76" spans="1:7" ht="18" customHeight="1">
      <c r="A76" s="35" t="s">
        <v>64</v>
      </c>
      <c r="B76" s="39" t="s">
        <v>65</v>
      </c>
      <c r="C76" s="49">
        <v>5136.4826899999998</v>
      </c>
      <c r="D76" s="37">
        <v>3475.9372100000001</v>
      </c>
      <c r="E76" s="38">
        <f t="shared" si="3"/>
        <v>67.671545292407089</v>
      </c>
      <c r="F76" s="38">
        <f t="shared" si="4"/>
        <v>-1660.5454799999998</v>
      </c>
    </row>
    <row r="77" spans="1:7">
      <c r="A77" s="35" t="s">
        <v>66</v>
      </c>
      <c r="B77" s="39" t="s">
        <v>67</v>
      </c>
      <c r="C77" s="49">
        <f>65+89</f>
        <v>154</v>
      </c>
      <c r="D77" s="37">
        <v>44.357199999999999</v>
      </c>
      <c r="E77" s="38">
        <f t="shared" si="3"/>
        <v>28.803376623376625</v>
      </c>
      <c r="F77" s="38">
        <f t="shared" si="4"/>
        <v>-109.64279999999999</v>
      </c>
    </row>
    <row r="78" spans="1:7" s="6" customFormat="1" ht="15.75" customHeight="1">
      <c r="A78" s="30" t="s">
        <v>68</v>
      </c>
      <c r="B78" s="31" t="s">
        <v>69</v>
      </c>
      <c r="C78" s="32">
        <f>SUM(C79:C81)</f>
        <v>476.375</v>
      </c>
      <c r="D78" s="32">
        <f>SUM(D79:D81)</f>
        <v>294.73453999999998</v>
      </c>
      <c r="E78" s="34">
        <f t="shared" si="3"/>
        <v>61.870278667016535</v>
      </c>
      <c r="F78" s="34">
        <f t="shared" si="4"/>
        <v>-181.64046000000002</v>
      </c>
    </row>
    <row r="79" spans="1:7" hidden="1">
      <c r="A79" s="35" t="s">
        <v>70</v>
      </c>
      <c r="B79" s="51" t="s">
        <v>71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8" hidden="1" customHeight="1">
      <c r="A80" s="35" t="s">
        <v>72</v>
      </c>
      <c r="B80" s="51" t="s">
        <v>73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>
      <c r="A81" s="35" t="s">
        <v>74</v>
      </c>
      <c r="B81" s="39" t="s">
        <v>75</v>
      </c>
      <c r="C81" s="37">
        <v>476.375</v>
      </c>
      <c r="D81" s="37">
        <v>294.73453999999998</v>
      </c>
      <c r="E81" s="38">
        <f>SUM(D81/C81*100)</f>
        <v>61.870278667016535</v>
      </c>
      <c r="F81" s="38">
        <f t="shared" si="4"/>
        <v>-181.64046000000002</v>
      </c>
    </row>
    <row r="82" spans="1:6" s="6" customFormat="1">
      <c r="A82" s="30" t="s">
        <v>86</v>
      </c>
      <c r="B82" s="31" t="s">
        <v>87</v>
      </c>
      <c r="C82" s="32">
        <f>C83</f>
        <v>2982.0149999999999</v>
      </c>
      <c r="D82" s="32">
        <f>D83</f>
        <v>2101.17769</v>
      </c>
      <c r="E82" s="34">
        <f t="shared" si="3"/>
        <v>70.461674069379271</v>
      </c>
      <c r="F82" s="34">
        <f t="shared" si="4"/>
        <v>-880.83730999999989</v>
      </c>
    </row>
    <row r="83" spans="1:6" ht="18.75" customHeight="1">
      <c r="A83" s="35" t="s">
        <v>88</v>
      </c>
      <c r="B83" s="39" t="s">
        <v>234</v>
      </c>
      <c r="C83" s="37">
        <v>2982.0149999999999</v>
      </c>
      <c r="D83" s="37">
        <v>2101.17769</v>
      </c>
      <c r="E83" s="38">
        <f t="shared" si="3"/>
        <v>70.461674069379271</v>
      </c>
      <c r="F83" s="38">
        <f t="shared" si="4"/>
        <v>-880.83730999999989</v>
      </c>
    </row>
    <row r="84" spans="1:6" s="6" customFormat="1" ht="0.75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1004</v>
      </c>
      <c r="B87" s="54" t="s">
        <v>92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5.25" hidden="1" customHeight="1">
      <c r="A88" s="35" t="s">
        <v>93</v>
      </c>
      <c r="B88" s="39" t="s">
        <v>94</v>
      </c>
      <c r="C88" s="37"/>
      <c r="D88" s="37"/>
      <c r="E88" s="38"/>
      <c r="F88" s="38">
        <f t="shared" si="4"/>
        <v>0</v>
      </c>
    </row>
    <row r="89" spans="1:6">
      <c r="A89" s="30" t="s">
        <v>95</v>
      </c>
      <c r="B89" s="31" t="s">
        <v>96</v>
      </c>
      <c r="C89" s="32">
        <f>C90+C91+C92+C93+C94</f>
        <v>59</v>
      </c>
      <c r="D89" s="32">
        <f>D90+D91+D92+D93+D94</f>
        <v>36.822000000000003</v>
      </c>
      <c r="E89" s="38">
        <f t="shared" si="3"/>
        <v>62.410169491525423</v>
      </c>
      <c r="F89" s="22">
        <f>F90+F91+F92+F93+F94</f>
        <v>-22.177999999999997</v>
      </c>
    </row>
    <row r="90" spans="1:6" ht="17.25" customHeight="1">
      <c r="A90" s="35" t="s">
        <v>97</v>
      </c>
      <c r="B90" s="39" t="s">
        <v>98</v>
      </c>
      <c r="C90" s="37">
        <f>22+37</f>
        <v>59</v>
      </c>
      <c r="D90" s="37">
        <v>36.822000000000003</v>
      </c>
      <c r="E90" s="38">
        <f t="shared" si="3"/>
        <v>62.410169491525423</v>
      </c>
      <c r="F90" s="38">
        <f>SUM(D90-C90)</f>
        <v>-22.177999999999997</v>
      </c>
    </row>
    <row r="91" spans="1:6" ht="15.75" hidden="1" customHeight="1">
      <c r="A91" s="35" t="s">
        <v>99</v>
      </c>
      <c r="B91" s="39" t="s">
        <v>100</v>
      </c>
      <c r="C91" s="37"/>
      <c r="D91" s="136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101</v>
      </c>
      <c r="B92" s="39" t="s">
        <v>102</v>
      </c>
      <c r="C92" s="37"/>
      <c r="D92" s="136"/>
      <c r="E92" s="38" t="e">
        <f t="shared" si="3"/>
        <v>#DIV/0!</v>
      </c>
      <c r="F92" s="38"/>
    </row>
    <row r="93" spans="1:6" ht="15.75" hidden="1" customHeight="1">
      <c r="A93" s="35" t="s">
        <v>103</v>
      </c>
      <c r="B93" s="39" t="s">
        <v>104</v>
      </c>
      <c r="C93" s="37"/>
      <c r="D93" s="136"/>
      <c r="E93" s="38" t="e">
        <f t="shared" si="3"/>
        <v>#DIV/0!</v>
      </c>
      <c r="F93" s="38"/>
    </row>
    <row r="94" spans="1:6" ht="15.75" hidden="1" customHeight="1">
      <c r="A94" s="35" t="s">
        <v>105</v>
      </c>
      <c r="B94" s="39" t="s">
        <v>106</v>
      </c>
      <c r="C94" s="37"/>
      <c r="D94" s="136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115</v>
      </c>
      <c r="C95" s="48">
        <f>C96+C97+C98</f>
        <v>0</v>
      </c>
      <c r="D95" s="225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116</v>
      </c>
      <c r="C96" s="49"/>
      <c r="D96" s="241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118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119</v>
      </c>
      <c r="C99" s="442">
        <f>C57+C65+C67+C73+C78+C82+C84+C89+C95</f>
        <v>10740.79069</v>
      </c>
      <c r="D99" s="442">
        <f>D57+D65+D67+D73+D78+D82+D84+D89+D95</f>
        <v>6870.0062900000012</v>
      </c>
      <c r="E99" s="34">
        <f t="shared" si="3"/>
        <v>63.961830076403814</v>
      </c>
      <c r="F99" s="34">
        <f t="shared" si="4"/>
        <v>-3870.7843999999986</v>
      </c>
      <c r="H99" s="151"/>
    </row>
    <row r="100" spans="1:8" ht="13.5" customHeight="1">
      <c r="C100" s="117"/>
      <c r="D100" s="61"/>
    </row>
    <row r="101" spans="1:8" s="65" customFormat="1" ht="12.75">
      <c r="A101" s="63" t="s">
        <v>120</v>
      </c>
      <c r="B101" s="63"/>
      <c r="C101" s="134"/>
      <c r="D101" s="134"/>
    </row>
    <row r="102" spans="1:8" s="65" customFormat="1" ht="12.75">
      <c r="A102" s="66" t="s">
        <v>121</v>
      </c>
      <c r="B102" s="66"/>
      <c r="C102" s="119" t="s">
        <v>122</v>
      </c>
    </row>
    <row r="104" spans="1:8" ht="5.25" customHeight="1"/>
    <row r="143" hidden="1"/>
  </sheetData>
  <customSheetViews>
    <customSheetView guid="{A54C432C-6C68-4B53-A75C-446EB3A61B2B}" scale="70" showPageBreaks="1" printArea="1" hiddenRows="1" view="pageBreakPreview" topLeftCell="A63">
      <selection activeCell="D83" sqref="D83"/>
      <pageMargins left="0.70866141732283472" right="0.70866141732283472" top="0.74803149606299213" bottom="0.74803149606299213" header="0.31496062992125984" footer="0.31496062992125984"/>
      <pageSetup paperSize="9" scale="62" orientation="portrait" r:id="rId1"/>
    </customSheetView>
    <customSheetView guid="{B30CE22D-C12F-4E12-8BB9-3AAE0A6991CC}" scale="70" showPageBreaks="1" printArea="1" hiddenRows="1" view="pageBreakPreview" topLeftCell="A31">
      <selection activeCell="D77" sqref="D77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5BFCA170-DEAE-4D2C-98A0-1E68B427AC01}" showPageBreaks="1" printArea="1" hiddenRows="1" topLeftCell="A51">
      <selection activeCell="B100" sqref="B100"/>
      <pageMargins left="0.7" right="0.7" top="0.75" bottom="0.75" header="0.3" footer="0.3"/>
      <pageSetup paperSize="9" scale="54" orientation="portrait" r:id="rId3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4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2" orientation="portrait" r:id="rId6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99"/>
  <sheetViews>
    <sheetView tabSelected="1" view="pageBreakPreview" topLeftCell="A51" zoomScale="70" zoomScaleNormal="100" zoomScaleSheetLayoutView="70" workbookViewId="0">
      <selection activeCell="C94" activeCellId="1" sqref="C48:D49 C94:D94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436" t="s">
        <v>434</v>
      </c>
      <c r="B1" s="436"/>
      <c r="C1" s="436"/>
      <c r="D1" s="436"/>
      <c r="E1" s="436"/>
      <c r="F1" s="436"/>
    </row>
    <row r="2" spans="1:6">
      <c r="A2" s="436"/>
      <c r="B2" s="436"/>
      <c r="C2" s="436"/>
      <c r="D2" s="436"/>
      <c r="E2" s="436"/>
      <c r="F2" s="436"/>
    </row>
    <row r="3" spans="1:6" ht="64.5" customHeight="1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 ht="17.25" customHeight="1">
      <c r="A4" s="3"/>
      <c r="B4" s="4" t="s">
        <v>5</v>
      </c>
      <c r="C4" s="5">
        <f>C5+C12+C14+C17+C7</f>
        <v>1750.1619999999998</v>
      </c>
      <c r="D4" s="5">
        <f>D5+D12+D14+D17+D7</f>
        <v>777.40630999999996</v>
      </c>
      <c r="E4" s="5">
        <f>SUM(D4/C4*100)</f>
        <v>44.419105774208333</v>
      </c>
      <c r="F4" s="5">
        <f>SUM(D4-C4)</f>
        <v>-972.75568999999984</v>
      </c>
    </row>
    <row r="5" spans="1:6" s="6" customFormat="1">
      <c r="A5" s="3">
        <v>1010000000</v>
      </c>
      <c r="B5" s="4" t="s">
        <v>6</v>
      </c>
      <c r="C5" s="5">
        <f>C6</f>
        <v>91.6</v>
      </c>
      <c r="D5" s="5">
        <f>D6</f>
        <v>67.891019999999997</v>
      </c>
      <c r="E5" s="5">
        <f t="shared" ref="E5:E48" si="0">SUM(D5/C5*100)</f>
        <v>74.116834061135378</v>
      </c>
      <c r="F5" s="5">
        <f t="shared" ref="F5:F48" si="1">SUM(D5-C5)</f>
        <v>-23.708979999999997</v>
      </c>
    </row>
    <row r="6" spans="1:6">
      <c r="A6" s="7">
        <v>1010200001</v>
      </c>
      <c r="B6" s="8" t="s">
        <v>229</v>
      </c>
      <c r="C6" s="9">
        <v>91.6</v>
      </c>
      <c r="D6" s="10">
        <v>67.891019999999997</v>
      </c>
      <c r="E6" s="9">
        <f t="shared" ref="E6:E11" si="2">SUM(D6/C6*100)</f>
        <v>74.116834061135378</v>
      </c>
      <c r="F6" s="9">
        <f t="shared" si="1"/>
        <v>-23.708979999999997</v>
      </c>
    </row>
    <row r="7" spans="1:6" ht="31.5">
      <c r="A7" s="3">
        <v>1030000000</v>
      </c>
      <c r="B7" s="13" t="s">
        <v>281</v>
      </c>
      <c r="C7" s="5">
        <f>C8+C10+C9</f>
        <v>420.56</v>
      </c>
      <c r="D7" s="5">
        <f>D8+D10+D9+D11</f>
        <v>284.33335999999997</v>
      </c>
      <c r="E7" s="5">
        <f t="shared" si="2"/>
        <v>67.608274681377196</v>
      </c>
      <c r="F7" s="5">
        <f t="shared" si="1"/>
        <v>-136.22664000000003</v>
      </c>
    </row>
    <row r="8" spans="1:6">
      <c r="A8" s="7">
        <v>1030223001</v>
      </c>
      <c r="B8" s="8" t="s">
        <v>283</v>
      </c>
      <c r="C8" s="9">
        <v>156.87</v>
      </c>
      <c r="D8" s="10">
        <v>124.08636</v>
      </c>
      <c r="E8" s="9">
        <f t="shared" si="2"/>
        <v>79.101396060432208</v>
      </c>
      <c r="F8" s="9">
        <f t="shared" si="1"/>
        <v>-32.783640000000005</v>
      </c>
    </row>
    <row r="9" spans="1:6">
      <c r="A9" s="7">
        <v>1030224001</v>
      </c>
      <c r="B9" s="8" t="s">
        <v>289</v>
      </c>
      <c r="C9" s="9">
        <v>1.68</v>
      </c>
      <c r="D9" s="10">
        <v>1.0631600000000001</v>
      </c>
      <c r="E9" s="9">
        <f t="shared" si="2"/>
        <v>63.283333333333346</v>
      </c>
      <c r="F9" s="9">
        <f t="shared" si="1"/>
        <v>-0.61683999999999983</v>
      </c>
    </row>
    <row r="10" spans="1:6">
      <c r="A10" s="7">
        <v>1030225001</v>
      </c>
      <c r="B10" s="8" t="s">
        <v>282</v>
      </c>
      <c r="C10" s="9">
        <v>262.01</v>
      </c>
      <c r="D10" s="10">
        <v>188.11229</v>
      </c>
      <c r="E10" s="9">
        <f t="shared" si="2"/>
        <v>71.795843670088928</v>
      </c>
      <c r="F10" s="9">
        <f t="shared" si="1"/>
        <v>-73.897709999999989</v>
      </c>
    </row>
    <row r="11" spans="1:6">
      <c r="A11" s="7">
        <v>1030226001</v>
      </c>
      <c r="B11" s="8" t="s">
        <v>291</v>
      </c>
      <c r="C11" s="9">
        <v>0</v>
      </c>
      <c r="D11" s="10">
        <v>-28.928450000000002</v>
      </c>
      <c r="E11" s="9" t="e">
        <f t="shared" si="2"/>
        <v>#DIV/0!</v>
      </c>
      <c r="F11" s="9">
        <f t="shared" si="1"/>
        <v>-28.928450000000002</v>
      </c>
    </row>
    <row r="12" spans="1:6" s="6" customFormat="1">
      <c r="A12" s="3">
        <v>1050000000</v>
      </c>
      <c r="B12" s="4" t="s">
        <v>7</v>
      </c>
      <c r="C12" s="5">
        <f>SUM(C13:C13)</f>
        <v>5</v>
      </c>
      <c r="D12" s="5">
        <f>SUM(D13:D13)</f>
        <v>0.1038</v>
      </c>
      <c r="E12" s="5">
        <f t="shared" si="0"/>
        <v>2.0760000000000001</v>
      </c>
      <c r="F12" s="5">
        <f t="shared" si="1"/>
        <v>-4.8962000000000003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0.1038</v>
      </c>
      <c r="E13" s="9">
        <f t="shared" si="0"/>
        <v>2.0760000000000001</v>
      </c>
      <c r="F13" s="9">
        <f t="shared" si="1"/>
        <v>-4.8962000000000003</v>
      </c>
    </row>
    <row r="14" spans="1:6" s="6" customFormat="1" ht="15.75" customHeight="1">
      <c r="A14" s="3">
        <v>1060000000</v>
      </c>
      <c r="B14" s="4" t="s">
        <v>136</v>
      </c>
      <c r="C14" s="5">
        <f>C15+C16</f>
        <v>1225</v>
      </c>
      <c r="D14" s="5">
        <f>D15+D16</f>
        <v>421.94713000000002</v>
      </c>
      <c r="E14" s="5">
        <f t="shared" si="0"/>
        <v>34.444663673469393</v>
      </c>
      <c r="F14" s="5">
        <f t="shared" si="1"/>
        <v>-803.05286999999998</v>
      </c>
    </row>
    <row r="15" spans="1:6" s="6" customFormat="1" ht="15.75" customHeight="1">
      <c r="A15" s="7">
        <v>1060100000</v>
      </c>
      <c r="B15" s="11" t="s">
        <v>9</v>
      </c>
      <c r="C15" s="9">
        <v>235</v>
      </c>
      <c r="D15" s="10">
        <v>32.503819999999997</v>
      </c>
      <c r="E15" s="9">
        <f t="shared" si="0"/>
        <v>13.831412765957445</v>
      </c>
      <c r="F15" s="9">
        <f>SUM(D15-C15)</f>
        <v>-202.49618000000001</v>
      </c>
    </row>
    <row r="16" spans="1:6" ht="15.75" customHeight="1">
      <c r="A16" s="7">
        <v>1060600000</v>
      </c>
      <c r="B16" s="11" t="s">
        <v>8</v>
      </c>
      <c r="C16" s="9">
        <v>990</v>
      </c>
      <c r="D16" s="10">
        <v>389.44331</v>
      </c>
      <c r="E16" s="9">
        <f t="shared" si="0"/>
        <v>39.337708080808085</v>
      </c>
      <c r="F16" s="9">
        <f t="shared" si="1"/>
        <v>-600.55669</v>
      </c>
    </row>
    <row r="17" spans="1:6" s="6" customFormat="1">
      <c r="A17" s="3">
        <v>1080000000</v>
      </c>
      <c r="B17" s="4" t="s">
        <v>11</v>
      </c>
      <c r="C17" s="5">
        <f>C18</f>
        <v>8.0020000000000007</v>
      </c>
      <c r="D17" s="5">
        <f>D18</f>
        <v>3.1309999999999998</v>
      </c>
      <c r="E17" s="5">
        <f t="shared" si="0"/>
        <v>39.127718070482373</v>
      </c>
      <c r="F17" s="5">
        <f t="shared" si="1"/>
        <v>-4.8710000000000004</v>
      </c>
    </row>
    <row r="18" spans="1:6">
      <c r="A18" s="7">
        <v>1080400001</v>
      </c>
      <c r="B18" s="8" t="s">
        <v>228</v>
      </c>
      <c r="C18" s="9">
        <v>8.0020000000000007</v>
      </c>
      <c r="D18" s="10">
        <v>3.1309999999999998</v>
      </c>
      <c r="E18" s="9">
        <f t="shared" si="0"/>
        <v>39.127718070482373</v>
      </c>
      <c r="F18" s="9">
        <f t="shared" si="1"/>
        <v>-4.8710000000000004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50</v>
      </c>
      <c r="D25" s="5">
        <f>D26+D29+D31+D34</f>
        <v>0.25512000000000001</v>
      </c>
      <c r="E25" s="5">
        <f t="shared" si="0"/>
        <v>0.51024000000000003</v>
      </c>
      <c r="F25" s="5">
        <f t="shared" si="1"/>
        <v>-49.744880000000002</v>
      </c>
    </row>
    <row r="26" spans="1:6" s="6" customFormat="1" ht="32.25" customHeight="1">
      <c r="A26" s="3">
        <v>1110000000</v>
      </c>
      <c r="B26" s="13" t="s">
        <v>129</v>
      </c>
      <c r="C26" s="5">
        <f>C27+C28</f>
        <v>50</v>
      </c>
      <c r="D26" s="5">
        <f>D27+D28+D30</f>
        <v>0.25512000000000001</v>
      </c>
      <c r="E26" s="5">
        <f t="shared" si="0"/>
        <v>0.51024000000000003</v>
      </c>
      <c r="F26" s="5">
        <f t="shared" si="1"/>
        <v>-49.744880000000002</v>
      </c>
    </row>
    <row r="27" spans="1:6" ht="15" customHeight="1">
      <c r="A27" s="16">
        <v>1110502510</v>
      </c>
      <c r="B27" s="17" t="s">
        <v>226</v>
      </c>
      <c r="C27" s="12">
        <v>50</v>
      </c>
      <c r="D27" s="10">
        <v>0.25512000000000001</v>
      </c>
      <c r="E27" s="5">
        <f t="shared" si="0"/>
        <v>0.51024000000000003</v>
      </c>
      <c r="F27" s="9">
        <f t="shared" si="1"/>
        <v>-49.744880000000002</v>
      </c>
    </row>
    <row r="28" spans="1:6" ht="19.5" hidden="1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41.25" hidden="1" customHeight="1">
      <c r="A29" s="3">
        <v>1130000000</v>
      </c>
      <c r="B29" s="13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24" hidden="1" customHeight="1">
      <c r="A30" s="7">
        <v>1130305005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0.75" hidden="1" customHeight="1">
      <c r="A31" s="109">
        <v>1140000000</v>
      </c>
      <c r="B31" s="110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.75" hidden="1" customHeight="1">
      <c r="A32" s="16">
        <v>1140200000</v>
      </c>
      <c r="B32" s="18" t="s">
        <v>222</v>
      </c>
      <c r="C32" s="9"/>
      <c r="D32" s="10">
        <v>0</v>
      </c>
      <c r="E32" s="9" t="e">
        <f t="shared" si="0"/>
        <v>#DIV/0!</v>
      </c>
      <c r="F32" s="9">
        <f t="shared" si="1"/>
        <v>0</v>
      </c>
    </row>
    <row r="33" spans="1:8" ht="1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8" hidden="1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8" hidden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8" hidden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8" s="6" customFormat="1" ht="15" customHeight="1">
      <c r="A37" s="3">
        <v>1000000000</v>
      </c>
      <c r="B37" s="4" t="s">
        <v>19</v>
      </c>
      <c r="C37" s="127">
        <f>SUM(C4,C25)</f>
        <v>1800.1619999999998</v>
      </c>
      <c r="D37" s="127">
        <f>D4+D25</f>
        <v>777.66143</v>
      </c>
      <c r="E37" s="5">
        <f t="shared" si="0"/>
        <v>43.199524820543935</v>
      </c>
      <c r="F37" s="5">
        <f t="shared" si="1"/>
        <v>-1022.5005699999998</v>
      </c>
    </row>
    <row r="38" spans="1:8" s="6" customFormat="1">
      <c r="A38" s="3">
        <v>2000000000</v>
      </c>
      <c r="B38" s="4" t="s">
        <v>20</v>
      </c>
      <c r="C38" s="5">
        <f>C39+C41+C42+C44+C45+C46+C40</f>
        <v>7391.1859999999988</v>
      </c>
      <c r="D38" s="5">
        <f>D39+D41+D42+D44+D45+D46+D40</f>
        <v>1772.1841999999999</v>
      </c>
      <c r="E38" s="5">
        <f t="shared" si="0"/>
        <v>23.976993678687023</v>
      </c>
      <c r="F38" s="5">
        <f t="shared" si="1"/>
        <v>-5619.0017999999991</v>
      </c>
      <c r="G38" s="19"/>
    </row>
    <row r="39" spans="1:8">
      <c r="A39" s="16">
        <v>2021000000</v>
      </c>
      <c r="B39" s="17" t="s">
        <v>21</v>
      </c>
      <c r="C39" s="12">
        <v>975.07100000000003</v>
      </c>
      <c r="D39" s="20">
        <v>708.78899999999999</v>
      </c>
      <c r="E39" s="9">
        <f t="shared" si="0"/>
        <v>72.691014295369257</v>
      </c>
      <c r="F39" s="9">
        <f t="shared" si="1"/>
        <v>-266.28200000000004</v>
      </c>
    </row>
    <row r="40" spans="1:8" ht="15.75" customHeight="1">
      <c r="A40" s="16">
        <v>2021500200</v>
      </c>
      <c r="B40" s="17" t="s">
        <v>232</v>
      </c>
      <c r="C40" s="12">
        <v>584</v>
      </c>
      <c r="D40" s="20">
        <v>494.5</v>
      </c>
      <c r="E40" s="9">
        <f t="shared" si="0"/>
        <v>84.674657534246577</v>
      </c>
      <c r="F40" s="9">
        <f t="shared" si="1"/>
        <v>-89.5</v>
      </c>
    </row>
    <row r="41" spans="1:8">
      <c r="A41" s="16">
        <v>2022000000</v>
      </c>
      <c r="B41" s="17" t="s">
        <v>22</v>
      </c>
      <c r="C41" s="12">
        <f>1703.097+3800</f>
        <v>5503.0969999999998</v>
      </c>
      <c r="D41" s="10">
        <v>259.59699999999998</v>
      </c>
      <c r="E41" s="9">
        <f t="shared" si="0"/>
        <v>4.7172891918859507</v>
      </c>
      <c r="F41" s="9">
        <f t="shared" si="1"/>
        <v>-5243.5</v>
      </c>
    </row>
    <row r="42" spans="1:8" ht="13.5" customHeight="1">
      <c r="A42" s="16">
        <v>2023000000</v>
      </c>
      <c r="B42" s="17" t="s">
        <v>23</v>
      </c>
      <c r="C42" s="12">
        <v>74.096000000000004</v>
      </c>
      <c r="D42" s="252">
        <v>61.376199999999997</v>
      </c>
      <c r="E42" s="9">
        <f t="shared" si="0"/>
        <v>82.833351328006898</v>
      </c>
      <c r="F42" s="9">
        <f t="shared" si="1"/>
        <v>-12.719800000000006</v>
      </c>
    </row>
    <row r="43" spans="1:8" hidden="1">
      <c r="A43" s="16">
        <v>2070503010</v>
      </c>
      <c r="B43" s="17" t="s">
        <v>271</v>
      </c>
      <c r="C43" s="12">
        <v>0</v>
      </c>
      <c r="D43" s="252">
        <v>0</v>
      </c>
      <c r="E43" s="9" t="e">
        <f t="shared" si="0"/>
        <v>#DIV/0!</v>
      </c>
      <c r="F43" s="9">
        <f t="shared" si="1"/>
        <v>0</v>
      </c>
    </row>
    <row r="44" spans="1:8" hidden="1">
      <c r="A44" s="16">
        <v>2020400000</v>
      </c>
      <c r="B44" s="17" t="s">
        <v>24</v>
      </c>
      <c r="C44" s="12">
        <v>0</v>
      </c>
      <c r="D44" s="253">
        <v>0</v>
      </c>
      <c r="E44" s="9" t="e">
        <f t="shared" si="0"/>
        <v>#DIV/0!</v>
      </c>
      <c r="F44" s="9">
        <f t="shared" si="1"/>
        <v>0</v>
      </c>
    </row>
    <row r="45" spans="1:8" ht="19.5" customHeight="1">
      <c r="A45" s="16">
        <v>2070000000</v>
      </c>
      <c r="B45" s="18" t="s">
        <v>298</v>
      </c>
      <c r="C45" s="12">
        <v>254.922</v>
      </c>
      <c r="D45" s="253">
        <v>247.922</v>
      </c>
      <c r="E45" s="9">
        <v>922</v>
      </c>
      <c r="F45" s="9">
        <f t="shared" si="1"/>
        <v>-7</v>
      </c>
      <c r="G45" s="360"/>
      <c r="H45" s="360"/>
    </row>
    <row r="46" spans="1:8" hidden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8" s="6" customFormat="1" ht="31.5">
      <c r="A47" s="3">
        <v>3000000000</v>
      </c>
      <c r="B47" s="13" t="s">
        <v>27</v>
      </c>
      <c r="C47" s="278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8" s="6" customFormat="1" ht="15" customHeight="1">
      <c r="A48" s="3"/>
      <c r="B48" s="4" t="s">
        <v>28</v>
      </c>
      <c r="C48" s="446">
        <f>SUM(C37,C38,C47)</f>
        <v>9191.3479999999981</v>
      </c>
      <c r="D48" s="447">
        <f>D37+D38</f>
        <v>2549.8456299999998</v>
      </c>
      <c r="E48" s="5">
        <f t="shared" si="0"/>
        <v>27.741802725780811</v>
      </c>
      <c r="F48" s="5">
        <f t="shared" si="1"/>
        <v>-6641.5023699999983</v>
      </c>
    </row>
    <row r="49" spans="1:6" s="6" customFormat="1">
      <c r="A49" s="3"/>
      <c r="B49" s="21" t="s">
        <v>321</v>
      </c>
      <c r="C49" s="93">
        <f>C48-C94</f>
        <v>-53.659870000003139</v>
      </c>
      <c r="D49" s="93">
        <f>D48-D94</f>
        <v>133.87031999999999</v>
      </c>
      <c r="E49" s="22"/>
      <c r="F49" s="22"/>
    </row>
    <row r="50" spans="1:6" ht="23.25" customHeight="1">
      <c r="A50" s="23"/>
      <c r="B50" s="24"/>
      <c r="C50" s="329"/>
      <c r="D50" s="329"/>
      <c r="E50" s="26"/>
      <c r="F50" s="27"/>
    </row>
    <row r="51" spans="1:6" ht="63">
      <c r="A51" s="28" t="s">
        <v>1</v>
      </c>
      <c r="B51" s="28" t="s">
        <v>29</v>
      </c>
      <c r="C51" s="72" t="s">
        <v>346</v>
      </c>
      <c r="D51" s="73" t="s">
        <v>412</v>
      </c>
      <c r="E51" s="72" t="s">
        <v>3</v>
      </c>
      <c r="F51" s="74" t="s">
        <v>4</v>
      </c>
    </row>
    <row r="52" spans="1:6" ht="18" customHeight="1">
      <c r="A52" s="29">
        <v>1</v>
      </c>
      <c r="B52" s="28">
        <v>2</v>
      </c>
      <c r="C52" s="87">
        <v>3</v>
      </c>
      <c r="D52" s="87">
        <v>4</v>
      </c>
      <c r="E52" s="87">
        <v>5</v>
      </c>
      <c r="F52" s="87">
        <v>6</v>
      </c>
    </row>
    <row r="53" spans="1:6" s="6" customFormat="1">
      <c r="A53" s="30" t="s">
        <v>30</v>
      </c>
      <c r="B53" s="31" t="s">
        <v>31</v>
      </c>
      <c r="C53" s="32">
        <f>C54+C55+C56+C57+C58+C60+C59</f>
        <v>1266.1849999999999</v>
      </c>
      <c r="D53" s="32">
        <f>D54+D55+D56+D57+D58+D60+D59</f>
        <v>804.54273000000001</v>
      </c>
      <c r="E53" s="34">
        <f>SUM(D53/C53*100)</f>
        <v>63.540693500554823</v>
      </c>
      <c r="F53" s="34">
        <f>SUM(D53-C53)</f>
        <v>-461.64226999999994</v>
      </c>
    </row>
    <row r="54" spans="1:6" s="6" customFormat="1" ht="31.5" hidden="1">
      <c r="A54" s="35" t="s">
        <v>32</v>
      </c>
      <c r="B54" s="36" t="s">
        <v>33</v>
      </c>
      <c r="C54" s="37"/>
      <c r="D54" s="37"/>
      <c r="E54" s="38"/>
      <c r="F54" s="38"/>
    </row>
    <row r="55" spans="1:6" ht="20.25" customHeight="1">
      <c r="A55" s="35" t="s">
        <v>34</v>
      </c>
      <c r="B55" s="39" t="s">
        <v>35</v>
      </c>
      <c r="C55" s="37">
        <v>1257.971</v>
      </c>
      <c r="D55" s="37">
        <v>801.32872999999995</v>
      </c>
      <c r="E55" s="38">
        <f t="shared" ref="E55:E94" si="3">SUM(D55/C55*100)</f>
        <v>63.70009563018543</v>
      </c>
      <c r="F55" s="38">
        <f t="shared" ref="F55:F94" si="4">SUM(D55-C55)</f>
        <v>-456.64227000000005</v>
      </c>
    </row>
    <row r="56" spans="1:6" ht="16.5" hidden="1" customHeight="1">
      <c r="A56" s="35" t="s">
        <v>36</v>
      </c>
      <c r="B56" s="39" t="s">
        <v>37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38</v>
      </c>
      <c r="B57" s="39" t="s">
        <v>39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0.75" hidden="1" customHeight="1">
      <c r="A58" s="35" t="s">
        <v>40</v>
      </c>
      <c r="B58" s="39" t="s">
        <v>41</v>
      </c>
      <c r="C58" s="37">
        <v>0</v>
      </c>
      <c r="D58" s="37">
        <v>0</v>
      </c>
      <c r="E58" s="38" t="e">
        <f t="shared" si="3"/>
        <v>#DIV/0!</v>
      </c>
      <c r="F58" s="38">
        <f t="shared" si="4"/>
        <v>0</v>
      </c>
    </row>
    <row r="59" spans="1:6" ht="18" customHeight="1">
      <c r="A59" s="35" t="s">
        <v>42</v>
      </c>
      <c r="B59" s="39" t="s">
        <v>43</v>
      </c>
      <c r="C59" s="40">
        <v>5</v>
      </c>
      <c r="D59" s="40">
        <v>0</v>
      </c>
      <c r="E59" s="38">
        <f t="shared" si="3"/>
        <v>0</v>
      </c>
      <c r="F59" s="38">
        <f t="shared" si="4"/>
        <v>-5</v>
      </c>
    </row>
    <row r="60" spans="1:6" ht="15.75" customHeight="1">
      <c r="A60" s="35" t="s">
        <v>44</v>
      </c>
      <c r="B60" s="39" t="s">
        <v>45</v>
      </c>
      <c r="C60" s="37">
        <v>3.214</v>
      </c>
      <c r="D60" s="37">
        <v>3.214</v>
      </c>
      <c r="E60" s="38">
        <f t="shared" si="3"/>
        <v>100</v>
      </c>
      <c r="F60" s="38">
        <f t="shared" si="4"/>
        <v>0</v>
      </c>
    </row>
    <row r="61" spans="1:6" s="6" customFormat="1">
      <c r="A61" s="41" t="s">
        <v>46</v>
      </c>
      <c r="B61" s="42" t="s">
        <v>47</v>
      </c>
      <c r="C61" s="32">
        <f>C62</f>
        <v>70.596000000000004</v>
      </c>
      <c r="D61" s="32">
        <f>D62</f>
        <v>46.185540000000003</v>
      </c>
      <c r="E61" s="34">
        <f t="shared" si="3"/>
        <v>65.422318544960063</v>
      </c>
      <c r="F61" s="34">
        <f t="shared" si="4"/>
        <v>-24.41046</v>
      </c>
    </row>
    <row r="62" spans="1:6">
      <c r="A62" s="43" t="s">
        <v>48</v>
      </c>
      <c r="B62" s="44" t="s">
        <v>49</v>
      </c>
      <c r="C62" s="37">
        <v>70.596000000000004</v>
      </c>
      <c r="D62" s="37">
        <v>46.185540000000003</v>
      </c>
      <c r="E62" s="38">
        <f t="shared" si="3"/>
        <v>65.422318544960063</v>
      </c>
      <c r="F62" s="38">
        <f t="shared" si="4"/>
        <v>-24.41046</v>
      </c>
    </row>
    <row r="63" spans="1:6" s="6" customFormat="1" ht="16.5" customHeight="1">
      <c r="A63" s="30" t="s">
        <v>50</v>
      </c>
      <c r="B63" s="31" t="s">
        <v>51</v>
      </c>
      <c r="C63" s="32">
        <f>C67+C66</f>
        <v>30.7</v>
      </c>
      <c r="D63" s="32">
        <f>D67+D66</f>
        <v>14.436</v>
      </c>
      <c r="E63" s="34">
        <f t="shared" si="3"/>
        <v>47.022801302931597</v>
      </c>
      <c r="F63" s="34">
        <f t="shared" si="4"/>
        <v>-16.263999999999999</v>
      </c>
    </row>
    <row r="64" spans="1:6" hidden="1">
      <c r="A64" s="35" t="s">
        <v>52</v>
      </c>
      <c r="B64" s="39" t="s">
        <v>53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idden="1">
      <c r="A65" s="45" t="s">
        <v>54</v>
      </c>
      <c r="B65" s="39" t="s">
        <v>55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56</v>
      </c>
      <c r="B66" s="47" t="s">
        <v>57</v>
      </c>
      <c r="C66" s="96">
        <v>15</v>
      </c>
      <c r="D66" s="37">
        <v>0</v>
      </c>
      <c r="E66" s="34">
        <f t="shared" si="3"/>
        <v>0</v>
      </c>
      <c r="F66" s="34">
        <f t="shared" si="4"/>
        <v>-15</v>
      </c>
    </row>
    <row r="67" spans="1:7" ht="15.75" customHeight="1">
      <c r="A67" s="46" t="s">
        <v>219</v>
      </c>
      <c r="B67" s="47" t="s">
        <v>220</v>
      </c>
      <c r="C67" s="37">
        <v>15.7</v>
      </c>
      <c r="D67" s="37">
        <v>14.436</v>
      </c>
      <c r="E67" s="34">
        <f t="shared" si="3"/>
        <v>91.949044585987266</v>
      </c>
      <c r="F67" s="34">
        <f t="shared" si="4"/>
        <v>-1.2639999999999993</v>
      </c>
    </row>
    <row r="68" spans="1:7" s="6" customFormat="1">
      <c r="A68" s="30" t="s">
        <v>58</v>
      </c>
      <c r="B68" s="31" t="s">
        <v>59</v>
      </c>
      <c r="C68" s="48">
        <f>SUM(C69:C72)</f>
        <v>2067.6508700000004</v>
      </c>
      <c r="D68" s="48">
        <f>SUM(D69:D72)</f>
        <v>834.72751999999991</v>
      </c>
      <c r="E68" s="34">
        <f t="shared" si="3"/>
        <v>40.370815600991662</v>
      </c>
      <c r="F68" s="34">
        <f t="shared" si="4"/>
        <v>-1232.9233500000005</v>
      </c>
    </row>
    <row r="69" spans="1:7" ht="15" customHeight="1">
      <c r="A69" s="35" t="s">
        <v>60</v>
      </c>
      <c r="B69" s="39" t="s">
        <v>61</v>
      </c>
      <c r="C69" s="49">
        <v>11</v>
      </c>
      <c r="D69" s="37">
        <v>5.625</v>
      </c>
      <c r="E69" s="38">
        <f t="shared" si="3"/>
        <v>51.136363636363633</v>
      </c>
      <c r="F69" s="38">
        <f t="shared" si="4"/>
        <v>-5.375</v>
      </c>
    </row>
    <row r="70" spans="1:7" s="6" customFormat="1" ht="18" customHeight="1">
      <c r="A70" s="35" t="s">
        <v>62</v>
      </c>
      <c r="B70" s="39" t="s">
        <v>63</v>
      </c>
      <c r="C70" s="49">
        <v>75.102000000000004</v>
      </c>
      <c r="D70" s="37">
        <v>75.101420000000005</v>
      </c>
      <c r="E70" s="38">
        <f t="shared" si="3"/>
        <v>99.999227716971589</v>
      </c>
      <c r="F70" s="38">
        <f t="shared" si="4"/>
        <v>-5.7999999999935881E-4</v>
      </c>
      <c r="G70" s="50"/>
    </row>
    <row r="71" spans="1:7">
      <c r="A71" s="35" t="s">
        <v>64</v>
      </c>
      <c r="B71" s="39" t="s">
        <v>65</v>
      </c>
      <c r="C71" s="49">
        <f>723.79987+1223.939</f>
        <v>1947.7388700000001</v>
      </c>
      <c r="D71" s="37">
        <v>720.19110000000001</v>
      </c>
      <c r="E71" s="38">
        <f t="shared" si="3"/>
        <v>36.975752298869509</v>
      </c>
      <c r="F71" s="38">
        <f t="shared" si="4"/>
        <v>-1227.5477700000001</v>
      </c>
    </row>
    <row r="72" spans="1:7">
      <c r="A72" s="35" t="s">
        <v>66</v>
      </c>
      <c r="B72" s="39" t="s">
        <v>67</v>
      </c>
      <c r="C72" s="49">
        <v>33.81</v>
      </c>
      <c r="D72" s="37">
        <v>33.81</v>
      </c>
      <c r="E72" s="38">
        <f t="shared" si="3"/>
        <v>100</v>
      </c>
      <c r="F72" s="38">
        <f t="shared" si="4"/>
        <v>0</v>
      </c>
    </row>
    <row r="73" spans="1:7" s="6" customFormat="1" ht="16.5" customHeight="1">
      <c r="A73" s="30" t="s">
        <v>68</v>
      </c>
      <c r="B73" s="31" t="s">
        <v>69</v>
      </c>
      <c r="C73" s="32">
        <f>SUM(C74:C76)</f>
        <v>460.37599999999998</v>
      </c>
      <c r="D73" s="32">
        <f>SUM(D75:D76)</f>
        <v>278.99752000000001</v>
      </c>
      <c r="E73" s="34">
        <f t="shared" si="3"/>
        <v>60.60209915373521</v>
      </c>
      <c r="F73" s="34">
        <f t="shared" si="4"/>
        <v>-181.37847999999997</v>
      </c>
    </row>
    <row r="74" spans="1:7" hidden="1">
      <c r="A74" s="35" t="s">
        <v>70</v>
      </c>
      <c r="B74" s="51" t="s">
        <v>71</v>
      </c>
      <c r="C74" s="37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ht="17.25" customHeight="1">
      <c r="A75" s="35" t="s">
        <v>72</v>
      </c>
      <c r="B75" s="51" t="s">
        <v>73</v>
      </c>
      <c r="C75" s="37">
        <v>198</v>
      </c>
      <c r="D75" s="37">
        <v>198</v>
      </c>
      <c r="E75" s="38">
        <f t="shared" si="3"/>
        <v>100</v>
      </c>
      <c r="F75" s="38">
        <f t="shared" si="4"/>
        <v>0</v>
      </c>
    </row>
    <row r="76" spans="1:7">
      <c r="A76" s="35" t="s">
        <v>74</v>
      </c>
      <c r="B76" s="39" t="s">
        <v>75</v>
      </c>
      <c r="C76" s="37">
        <v>262.37599999999998</v>
      </c>
      <c r="D76" s="37">
        <v>80.997519999999994</v>
      </c>
      <c r="E76" s="38">
        <f>SUM(D76/C76*100)</f>
        <v>30.870780864103427</v>
      </c>
      <c r="F76" s="38">
        <f t="shared" si="4"/>
        <v>-181.37847999999997</v>
      </c>
    </row>
    <row r="77" spans="1:7" s="6" customFormat="1">
      <c r="A77" s="30" t="s">
        <v>86</v>
      </c>
      <c r="B77" s="31" t="s">
        <v>87</v>
      </c>
      <c r="C77" s="32">
        <f>C78</f>
        <v>5344.5</v>
      </c>
      <c r="D77" s="32">
        <f>SUM(D78)</f>
        <v>435.07100000000003</v>
      </c>
      <c r="E77" s="34">
        <f t="shared" si="3"/>
        <v>8.140537000654879</v>
      </c>
      <c r="F77" s="34">
        <f t="shared" si="4"/>
        <v>-4909.4290000000001</v>
      </c>
    </row>
    <row r="78" spans="1:7" ht="17.25" customHeight="1">
      <c r="A78" s="35" t="s">
        <v>88</v>
      </c>
      <c r="B78" s="39" t="s">
        <v>234</v>
      </c>
      <c r="C78" s="37">
        <f>1044.5+500+3800</f>
        <v>5344.5</v>
      </c>
      <c r="D78" s="37">
        <v>435.07100000000003</v>
      </c>
      <c r="E78" s="38">
        <f t="shared" si="3"/>
        <v>8.140537000654879</v>
      </c>
      <c r="F78" s="38">
        <f t="shared" si="4"/>
        <v>-4909.4290000000001</v>
      </c>
    </row>
    <row r="79" spans="1:7" s="6" customFormat="1" ht="35.25" hidden="1" customHeight="1">
      <c r="A79" s="52">
        <v>1000</v>
      </c>
      <c r="B79" s="31" t="s">
        <v>89</v>
      </c>
      <c r="C79" s="32">
        <f>SUM(C80:C83)</f>
        <v>0</v>
      </c>
      <c r="D79" s="32">
        <f>SUM(D80:D83)</f>
        <v>0</v>
      </c>
      <c r="E79" s="34" t="e">
        <f t="shared" si="3"/>
        <v>#DIV/0!</v>
      </c>
      <c r="F79" s="34">
        <f t="shared" si="4"/>
        <v>0</v>
      </c>
    </row>
    <row r="80" spans="1:7" ht="24.75" hidden="1" customHeight="1">
      <c r="A80" s="53">
        <v>1001</v>
      </c>
      <c r="B80" s="54" t="s">
        <v>90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 ht="18.75" hidden="1" customHeight="1">
      <c r="A81" s="53">
        <v>1003</v>
      </c>
      <c r="B81" s="54" t="s">
        <v>91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ht="18.75" hidden="1" customHeight="1">
      <c r="A82" s="53">
        <v>1004</v>
      </c>
      <c r="B82" s="54" t="s">
        <v>92</v>
      </c>
      <c r="C82" s="37"/>
      <c r="D82" s="55"/>
      <c r="E82" s="38" t="e">
        <f t="shared" si="3"/>
        <v>#DIV/0!</v>
      </c>
      <c r="F82" s="38">
        <f t="shared" si="4"/>
        <v>0</v>
      </c>
    </row>
    <row r="83" spans="1:6" ht="21" hidden="1" customHeight="1">
      <c r="A83" s="35" t="s">
        <v>93</v>
      </c>
      <c r="B83" s="39" t="s">
        <v>94</v>
      </c>
      <c r="C83" s="37">
        <v>0</v>
      </c>
      <c r="D83" s="37">
        <v>0</v>
      </c>
      <c r="E83" s="38"/>
      <c r="F83" s="38">
        <f t="shared" si="4"/>
        <v>0</v>
      </c>
    </row>
    <row r="84" spans="1:6" ht="17.25" customHeight="1">
      <c r="A84" s="30" t="s">
        <v>95</v>
      </c>
      <c r="B84" s="31" t="s">
        <v>96</v>
      </c>
      <c r="C84" s="32">
        <f>C85+C86+C87+C88+C89</f>
        <v>5</v>
      </c>
      <c r="D84" s="32">
        <f>D85+D86+D87+D88+D89</f>
        <v>2.0150000000000001</v>
      </c>
      <c r="E84" s="38">
        <f t="shared" si="3"/>
        <v>40.300000000000004</v>
      </c>
      <c r="F84" s="22">
        <f>F85+F86+F87+F88+F89</f>
        <v>-2.9849999999999999</v>
      </c>
    </row>
    <row r="85" spans="1:6" ht="15" customHeight="1">
      <c r="A85" s="35" t="s">
        <v>97</v>
      </c>
      <c r="B85" s="39" t="s">
        <v>98</v>
      </c>
      <c r="C85" s="349">
        <v>5</v>
      </c>
      <c r="D85" s="349">
        <v>2.0150000000000001</v>
      </c>
      <c r="E85" s="38">
        <f t="shared" si="3"/>
        <v>40.300000000000004</v>
      </c>
      <c r="F85" s="38">
        <f>SUM(D85-C85)</f>
        <v>-2.9849999999999999</v>
      </c>
    </row>
    <row r="86" spans="1:6" ht="15.75" hidden="1" customHeight="1">
      <c r="A86" s="35" t="s">
        <v>99</v>
      </c>
      <c r="B86" s="39" t="s">
        <v>100</v>
      </c>
      <c r="C86" s="349"/>
      <c r="D86" s="349"/>
      <c r="E86" s="38" t="e">
        <f t="shared" si="3"/>
        <v>#DIV/0!</v>
      </c>
      <c r="F86" s="38">
        <f>SUM(D86-C86)</f>
        <v>0</v>
      </c>
    </row>
    <row r="87" spans="1:6" ht="15.75" hidden="1" customHeight="1">
      <c r="A87" s="35" t="s">
        <v>101</v>
      </c>
      <c r="B87" s="39" t="s">
        <v>102</v>
      </c>
      <c r="C87" s="349"/>
      <c r="D87" s="349"/>
      <c r="E87" s="38" t="e">
        <f t="shared" si="3"/>
        <v>#DIV/0!</v>
      </c>
      <c r="F87" s="38"/>
    </row>
    <row r="88" spans="1:6" ht="15.75" hidden="1" customHeight="1">
      <c r="A88" s="35" t="s">
        <v>103</v>
      </c>
      <c r="B88" s="39" t="s">
        <v>104</v>
      </c>
      <c r="C88" s="349"/>
      <c r="D88" s="349"/>
      <c r="E88" s="38" t="e">
        <f t="shared" si="3"/>
        <v>#DIV/0!</v>
      </c>
      <c r="F88" s="38"/>
    </row>
    <row r="89" spans="1:6" ht="15.75" hidden="1" customHeight="1">
      <c r="A89" s="35" t="s">
        <v>105</v>
      </c>
      <c r="B89" s="39" t="s">
        <v>106</v>
      </c>
      <c r="C89" s="349"/>
      <c r="D89" s="349"/>
      <c r="E89" s="38" t="e">
        <f t="shared" si="3"/>
        <v>#DIV/0!</v>
      </c>
      <c r="F89" s="38"/>
    </row>
    <row r="90" spans="1:6" s="6" customFormat="1" ht="15.75" hidden="1" customHeight="1">
      <c r="A90" s="52">
        <v>1400</v>
      </c>
      <c r="B90" s="56" t="s">
        <v>115</v>
      </c>
      <c r="C90" s="350">
        <f>C91+C92+C93</f>
        <v>0</v>
      </c>
      <c r="D90" s="350">
        <f>SUM(D91:D93)</f>
        <v>0</v>
      </c>
      <c r="E90" s="34" t="e">
        <f t="shared" si="3"/>
        <v>#DIV/0!</v>
      </c>
      <c r="F90" s="34">
        <f t="shared" si="4"/>
        <v>0</v>
      </c>
    </row>
    <row r="91" spans="1:6" ht="15.75" hidden="1" customHeight="1">
      <c r="A91" s="53">
        <v>1401</v>
      </c>
      <c r="B91" s="54" t="s">
        <v>116</v>
      </c>
      <c r="C91" s="351"/>
      <c r="D91" s="349"/>
      <c r="E91" s="38" t="e">
        <f t="shared" si="3"/>
        <v>#DIV/0!</v>
      </c>
      <c r="F91" s="38">
        <f t="shared" si="4"/>
        <v>0</v>
      </c>
    </row>
    <row r="92" spans="1:6" ht="15.75" hidden="1" customHeight="1">
      <c r="A92" s="53">
        <v>1402</v>
      </c>
      <c r="B92" s="54" t="s">
        <v>117</v>
      </c>
      <c r="C92" s="351"/>
      <c r="D92" s="349"/>
      <c r="E92" s="38" t="e">
        <f t="shared" si="3"/>
        <v>#DIV/0!</v>
      </c>
      <c r="F92" s="38">
        <f t="shared" si="4"/>
        <v>0</v>
      </c>
    </row>
    <row r="93" spans="1:6" ht="57.75" hidden="1" customHeight="1">
      <c r="A93" s="53">
        <v>1403</v>
      </c>
      <c r="B93" s="54" t="s">
        <v>118</v>
      </c>
      <c r="C93" s="352">
        <v>0</v>
      </c>
      <c r="D93" s="353">
        <v>0</v>
      </c>
      <c r="E93" s="38" t="e">
        <f t="shared" si="3"/>
        <v>#DIV/0!</v>
      </c>
      <c r="F93" s="38">
        <f t="shared" si="4"/>
        <v>0</v>
      </c>
    </row>
    <row r="94" spans="1:6" s="6" customFormat="1" ht="15.75" customHeight="1">
      <c r="A94" s="52"/>
      <c r="B94" s="57" t="s">
        <v>119</v>
      </c>
      <c r="C94" s="447">
        <f>C53+C61+C63+C68+C73+C77+C79+C84+C90</f>
        <v>9245.0078700000013</v>
      </c>
      <c r="D94" s="447">
        <f>D53+D61+D63+D68+D73+D77+D79+D84+D90</f>
        <v>2415.9753099999998</v>
      </c>
      <c r="E94" s="34">
        <f t="shared" si="3"/>
        <v>26.132755579795948</v>
      </c>
      <c r="F94" s="34">
        <f t="shared" si="4"/>
        <v>-6829.0325600000015</v>
      </c>
    </row>
    <row r="95" spans="1:6" ht="16.5" customHeight="1">
      <c r="C95" s="126"/>
      <c r="D95" s="101"/>
    </row>
    <row r="96" spans="1:6" s="113" customFormat="1" ht="20.25" customHeight="1">
      <c r="A96" s="111" t="s">
        <v>120</v>
      </c>
      <c r="B96" s="111"/>
      <c r="C96" s="129"/>
      <c r="D96" s="112"/>
    </row>
    <row r="97" spans="1:3" s="113" customFormat="1" ht="13.5" customHeight="1">
      <c r="A97" s="114" t="s">
        <v>121</v>
      </c>
      <c r="B97" s="114"/>
      <c r="C97" s="118" t="s">
        <v>122</v>
      </c>
    </row>
    <row r="99" spans="1:3" ht="5.25" customHeight="1"/>
  </sheetData>
  <customSheetViews>
    <customSheetView guid="{A54C432C-6C68-4B53-A75C-446EB3A61B2B}" scale="70" showPageBreaks="1" hiddenRows="1" view="pageBreakPreview" topLeftCell="A51">
      <selection activeCell="C94" activeCellId="1" sqref="C48:D49 C94:D94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B30CE22D-C12F-4E12-8BB9-3AAE0A6991CC}" scale="70" showPageBreaks="1" hiddenRows="1" view="pageBreakPreview" topLeftCell="A12">
      <selection activeCell="D50" sqref="D50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62" orientation="portrait" r:id="rId3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4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5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N36"/>
  <sheetViews>
    <sheetView view="pageBreakPreview" topLeftCell="A10" zoomScale="75" zoomScaleSheetLayoutView="75" workbookViewId="0">
      <pane xSplit="2" ySplit="4" topLeftCell="C17" activePane="bottomRight" state="frozen"/>
      <selection activeCell="A10" sqref="A10"/>
      <selection pane="topRight" activeCell="C10" sqref="C10"/>
      <selection pane="bottomLeft" activeCell="A14" sqref="A14"/>
      <selection pane="bottomRight" activeCell="DP15" sqref="DP15:DP29"/>
    </sheetView>
  </sheetViews>
  <sheetFormatPr defaultRowHeight="15"/>
  <cols>
    <col min="1" max="1" width="6.140625" style="153" customWidth="1"/>
    <col min="2" max="2" width="26.42578125" style="153" customWidth="1"/>
    <col min="3" max="3" width="18.7109375" style="153" bestFit="1" customWidth="1"/>
    <col min="4" max="4" width="20.28515625" style="154" bestFit="1" customWidth="1"/>
    <col min="5" max="5" width="13.28515625" style="153" bestFit="1" customWidth="1"/>
    <col min="6" max="6" width="17.42578125" style="153" customWidth="1"/>
    <col min="7" max="7" width="16.85546875" style="153" customWidth="1"/>
    <col min="8" max="8" width="13" style="153" bestFit="1" customWidth="1"/>
    <col min="9" max="9" width="15.5703125" style="153" customWidth="1"/>
    <col min="10" max="10" width="15.28515625" style="153" customWidth="1"/>
    <col min="11" max="11" width="13" style="153" bestFit="1" customWidth="1"/>
    <col min="12" max="12" width="15.140625" style="153" customWidth="1"/>
    <col min="13" max="13" width="17.28515625" style="153" bestFit="1" customWidth="1"/>
    <col min="14" max="14" width="13" style="153" bestFit="1" customWidth="1"/>
    <col min="15" max="15" width="14" style="153" bestFit="1" customWidth="1"/>
    <col min="16" max="16" width="15.7109375" style="153" customWidth="1"/>
    <col min="17" max="17" width="13" style="153" bestFit="1" customWidth="1"/>
    <col min="18" max="18" width="16.7109375" style="153" bestFit="1" customWidth="1"/>
    <col min="19" max="19" width="17.28515625" style="153" bestFit="1" customWidth="1"/>
    <col min="20" max="20" width="13" style="153" bestFit="1" customWidth="1"/>
    <col min="21" max="21" width="14" style="153" bestFit="1" customWidth="1"/>
    <col min="22" max="22" width="14.7109375" style="153" customWidth="1"/>
    <col min="23" max="23" width="12.28515625" style="153" customWidth="1"/>
    <col min="24" max="24" width="15.140625" style="153" customWidth="1"/>
    <col min="25" max="25" width="15.42578125" style="153" bestFit="1" customWidth="1"/>
    <col min="26" max="26" width="12.5703125" style="153" customWidth="1"/>
    <col min="27" max="27" width="17.5703125" style="153" customWidth="1"/>
    <col min="28" max="28" width="14.85546875" style="153" customWidth="1"/>
    <col min="29" max="29" width="15.5703125" style="153" customWidth="1"/>
    <col min="30" max="30" width="19.7109375" style="153" bestFit="1" customWidth="1"/>
    <col min="31" max="31" width="15.7109375" style="153" customWidth="1"/>
    <col min="32" max="32" width="10" style="153" customWidth="1"/>
    <col min="33" max="33" width="13.85546875" style="153" customWidth="1"/>
    <col min="34" max="34" width="15.28515625" style="153" customWidth="1"/>
    <col min="35" max="35" width="10" style="153" customWidth="1"/>
    <col min="36" max="36" width="14.7109375" style="153" customWidth="1"/>
    <col min="37" max="37" width="14.5703125" style="153" customWidth="1"/>
    <col min="38" max="38" width="10" style="153" customWidth="1"/>
    <col min="39" max="39" width="15.42578125" style="153" customWidth="1"/>
    <col min="40" max="40" width="16" style="153" customWidth="1"/>
    <col min="41" max="41" width="16.28515625" style="153" customWidth="1"/>
    <col min="42" max="43" width="17.28515625" style="153" bestFit="1" customWidth="1"/>
    <col min="44" max="44" width="13.85546875" style="153" customWidth="1"/>
    <col min="45" max="45" width="16" style="153" customWidth="1"/>
    <col min="46" max="46" width="17.5703125" style="153" customWidth="1"/>
    <col min="47" max="47" width="10.140625" style="153" customWidth="1"/>
    <col min="48" max="48" width="9.42578125" style="153" hidden="1" customWidth="1"/>
    <col min="49" max="49" width="9.7109375" style="153" hidden="1" customWidth="1"/>
    <col min="50" max="50" width="11.85546875" style="153" hidden="1" customWidth="1"/>
    <col min="51" max="51" width="15.7109375" style="153" customWidth="1"/>
    <col min="52" max="52" width="16.140625" style="153" customWidth="1"/>
    <col min="53" max="53" width="9.85546875" style="153" customWidth="1"/>
    <col min="54" max="56" width="9.85546875" style="153" hidden="1" customWidth="1"/>
    <col min="57" max="57" width="17" style="153" customWidth="1"/>
    <col min="58" max="58" width="15" style="153" customWidth="1"/>
    <col min="59" max="59" width="12" style="153" customWidth="1"/>
    <col min="60" max="61" width="9.7109375" style="153" hidden="1" customWidth="1"/>
    <col min="62" max="62" width="12.85546875" style="153" hidden="1" customWidth="1"/>
    <col min="63" max="63" width="13" style="153" hidden="1" customWidth="1"/>
    <col min="64" max="64" width="12.85546875" style="153" hidden="1" customWidth="1"/>
    <col min="65" max="65" width="12.5703125" style="153" hidden="1" customWidth="1"/>
    <col min="66" max="66" width="11" style="153" hidden="1" customWidth="1"/>
    <col min="67" max="67" width="13.28515625" style="153" hidden="1" customWidth="1"/>
    <col min="68" max="68" width="10.7109375" style="153" hidden="1" customWidth="1"/>
    <col min="69" max="69" width="15.28515625" style="153" customWidth="1"/>
    <col min="70" max="70" width="15" style="153" customWidth="1"/>
    <col min="71" max="71" width="10" style="153" customWidth="1"/>
    <col min="72" max="73" width="9.7109375" style="153" hidden="1" customWidth="1"/>
    <col min="74" max="74" width="9.5703125" style="153" hidden="1" customWidth="1"/>
    <col min="75" max="75" width="9.42578125" style="153" hidden="1" customWidth="1"/>
    <col min="76" max="76" width="9.7109375" style="153" hidden="1" customWidth="1"/>
    <col min="77" max="77" width="10.140625" style="153" hidden="1" customWidth="1"/>
    <col min="78" max="78" width="18.140625" style="153" customWidth="1"/>
    <col min="79" max="79" width="20.140625" style="153" customWidth="1"/>
    <col min="80" max="80" width="10" style="153" customWidth="1"/>
    <col min="81" max="81" width="16.42578125" style="153" customWidth="1"/>
    <col min="82" max="82" width="15.7109375" style="153" customWidth="1"/>
    <col min="83" max="83" width="10" style="153" customWidth="1"/>
    <col min="84" max="84" width="14.140625" style="153" customWidth="1"/>
    <col min="85" max="85" width="15.28515625" style="153" customWidth="1"/>
    <col min="86" max="86" width="10" style="153" customWidth="1"/>
    <col min="87" max="87" width="17.42578125" style="153" customWidth="1"/>
    <col min="88" max="88" width="16.5703125" style="153" customWidth="1"/>
    <col min="89" max="89" width="10" style="153" customWidth="1"/>
    <col min="90" max="90" width="19.85546875" style="153" customWidth="1"/>
    <col min="91" max="91" width="18" style="153" customWidth="1"/>
    <col min="92" max="92" width="13.28515625" style="153" customWidth="1"/>
    <col min="93" max="93" width="16.85546875" style="153" customWidth="1"/>
    <col min="94" max="95" width="14.85546875" style="153" customWidth="1"/>
    <col min="96" max="96" width="16.7109375" style="153" customWidth="1"/>
    <col min="97" max="97" width="16.85546875" style="153" customWidth="1"/>
    <col min="98" max="98" width="14.42578125" style="153" bestFit="1" customWidth="1"/>
    <col min="99" max="99" width="9.85546875" style="153" bestFit="1" customWidth="1"/>
    <col min="100" max="100" width="14.42578125" style="153" customWidth="1"/>
    <col min="101" max="101" width="14.28515625" style="153" customWidth="1"/>
    <col min="102" max="103" width="9.85546875" style="153" hidden="1" customWidth="1"/>
    <col min="104" max="104" width="14.42578125" style="153" hidden="1" customWidth="1"/>
    <col min="105" max="106" width="9.85546875" style="153" hidden="1" customWidth="1"/>
    <col min="107" max="107" width="14.42578125" style="153" hidden="1" customWidth="1"/>
    <col min="108" max="109" width="9.85546875" style="153" hidden="1" customWidth="1"/>
    <col min="110" max="110" width="14.42578125" style="153" hidden="1" customWidth="1"/>
    <col min="111" max="111" width="21.28515625" style="153" customWidth="1"/>
    <col min="112" max="112" width="20.28515625" style="153" customWidth="1"/>
    <col min="113" max="113" width="13" style="153" bestFit="1" customWidth="1"/>
    <col min="114" max="114" width="18" style="153" bestFit="1" customWidth="1"/>
    <col min="115" max="115" width="20.5703125" style="153" customWidth="1"/>
    <col min="116" max="116" width="13.28515625" style="153" customWidth="1"/>
    <col min="117" max="117" width="16.7109375" style="153" customWidth="1"/>
    <col min="118" max="118" width="16.85546875" style="153" customWidth="1"/>
    <col min="119" max="119" width="12.28515625" style="153" customWidth="1"/>
    <col min="120" max="120" width="15.28515625" style="153" customWidth="1"/>
    <col min="121" max="121" width="14.28515625" style="153" customWidth="1"/>
    <col min="122" max="122" width="13.85546875" style="153" customWidth="1"/>
    <col min="123" max="123" width="15.42578125" style="153" customWidth="1"/>
    <col min="124" max="124" width="13.7109375" style="153" customWidth="1"/>
    <col min="125" max="125" width="10.140625" style="153" customWidth="1"/>
    <col min="126" max="126" width="16" style="153" customWidth="1"/>
    <col min="127" max="127" width="11.5703125" style="153" customWidth="1"/>
    <col min="128" max="128" width="10.140625" style="153" customWidth="1"/>
    <col min="129" max="129" width="15.140625" style="153" customWidth="1"/>
    <col min="130" max="130" width="18.5703125" style="153" customWidth="1"/>
    <col min="131" max="131" width="10.140625" style="153" customWidth="1"/>
    <col min="132" max="132" width="15.28515625" style="153" customWidth="1"/>
    <col min="133" max="133" width="14" style="153" bestFit="1" customWidth="1"/>
    <col min="134" max="134" width="10.140625" style="153" customWidth="1"/>
    <col min="135" max="135" width="15.42578125" style="153" customWidth="1"/>
    <col min="136" max="136" width="17.28515625" style="153" customWidth="1"/>
    <col min="137" max="137" width="12.42578125" style="153" customWidth="1"/>
    <col min="138" max="138" width="19.42578125" style="153" bestFit="1" customWidth="1"/>
    <col min="139" max="139" width="15.140625" style="153" customWidth="1"/>
    <col min="140" max="140" width="10.140625" style="153" customWidth="1"/>
    <col min="141" max="142" width="15.7109375" style="153" customWidth="1"/>
    <col min="143" max="143" width="10.140625" style="153" customWidth="1"/>
    <col min="144" max="144" width="13.42578125" style="153" customWidth="1"/>
    <col min="145" max="145" width="10.85546875" style="153" customWidth="1"/>
    <col min="146" max="146" width="10.140625" style="153" customWidth="1"/>
    <col min="147" max="147" width="14.42578125" style="153" customWidth="1"/>
    <col min="148" max="148" width="14.7109375" style="153" customWidth="1"/>
    <col min="149" max="149" width="10" style="153" customWidth="1"/>
    <col min="150" max="150" width="14.140625" style="153" customWidth="1"/>
    <col min="151" max="151" width="14.28515625" style="153" customWidth="1"/>
    <col min="152" max="152" width="9.85546875" style="153" customWidth="1"/>
    <col min="153" max="153" width="15.42578125" style="153" customWidth="1"/>
    <col min="154" max="154" width="16" style="153" customWidth="1"/>
    <col min="155" max="155" width="12.42578125" style="153" customWidth="1"/>
    <col min="156" max="156" width="14.85546875" style="153" customWidth="1"/>
    <col min="157" max="16384" width="9.140625" style="153"/>
  </cols>
  <sheetData>
    <row r="1" spans="1:159" ht="18" customHeight="1">
      <c r="X1" s="428" t="s">
        <v>137</v>
      </c>
      <c r="Y1" s="428"/>
      <c r="Z1" s="428"/>
      <c r="AA1" s="156"/>
      <c r="AB1" s="156"/>
      <c r="AC1" s="156"/>
      <c r="AD1" s="423"/>
      <c r="AE1" s="423"/>
      <c r="AF1" s="423"/>
      <c r="AG1" s="157"/>
      <c r="AH1" s="157"/>
      <c r="AI1" s="157"/>
      <c r="AJ1" s="157"/>
      <c r="AK1" s="157"/>
      <c r="AL1" s="157"/>
    </row>
    <row r="2" spans="1:159" ht="19.5" customHeight="1">
      <c r="X2" s="157" t="s">
        <v>138</v>
      </c>
      <c r="Y2" s="157"/>
      <c r="Z2" s="157"/>
      <c r="AA2" s="155"/>
      <c r="AB2" s="155"/>
      <c r="AC2" s="155"/>
      <c r="AD2" s="423"/>
      <c r="AE2" s="423"/>
      <c r="AF2" s="423"/>
      <c r="AG2" s="157"/>
      <c r="AH2" s="157"/>
      <c r="AI2" s="157"/>
      <c r="AJ2" s="157"/>
      <c r="AK2" s="157"/>
      <c r="AL2" s="157"/>
    </row>
    <row r="3" spans="1:159" ht="30.75" customHeight="1">
      <c r="A3" s="158"/>
      <c r="B3" s="158"/>
      <c r="C3" s="158"/>
      <c r="D3" s="159"/>
      <c r="E3" s="158"/>
      <c r="F3" s="158"/>
      <c r="G3" s="158"/>
      <c r="H3" s="158"/>
      <c r="I3" s="158"/>
      <c r="X3" s="427" t="s">
        <v>139</v>
      </c>
      <c r="Y3" s="427"/>
      <c r="Z3" s="427"/>
      <c r="AA3" s="158"/>
      <c r="AB3" s="158"/>
      <c r="AC3" s="158"/>
      <c r="AD3" s="427"/>
      <c r="AE3" s="427"/>
      <c r="AF3" s="427"/>
      <c r="AG3" s="160"/>
      <c r="AH3" s="160"/>
      <c r="AI3" s="160"/>
      <c r="AJ3" s="160"/>
      <c r="AK3" s="160"/>
      <c r="AL3" s="160"/>
      <c r="AM3" s="158"/>
      <c r="AN3" s="158"/>
      <c r="AO3" s="158"/>
      <c r="AP3" s="158"/>
      <c r="AQ3" s="158"/>
      <c r="AR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</row>
    <row r="4" spans="1:159" ht="24" customHeight="1">
      <c r="B4" s="431" t="s">
        <v>140</v>
      </c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431"/>
      <c r="Z4" s="431"/>
      <c r="AA4" s="161"/>
      <c r="AB4" s="161"/>
      <c r="AC4" s="161"/>
      <c r="AD4" s="161"/>
      <c r="AE4" s="161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</row>
    <row r="5" spans="1:159" ht="15" customHeight="1">
      <c r="B5" s="429" t="s">
        <v>413</v>
      </c>
      <c r="C5" s="429"/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29"/>
      <c r="Y5" s="429"/>
      <c r="Z5" s="429"/>
      <c r="AA5" s="162"/>
      <c r="AB5" s="162"/>
      <c r="AC5" s="162"/>
      <c r="AD5" s="162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</row>
    <row r="6" spans="1:159" ht="15" customHeight="1">
      <c r="A6" s="158"/>
      <c r="B6" s="158"/>
      <c r="C6" s="163"/>
      <c r="D6" s="164"/>
      <c r="E6" s="158"/>
      <c r="F6" s="158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W6" s="158"/>
      <c r="EX6" s="158"/>
      <c r="EY6" s="158"/>
    </row>
    <row r="7" spans="1:159" s="169" customFormat="1" ht="15" customHeight="1">
      <c r="A7" s="408" t="s">
        <v>141</v>
      </c>
      <c r="B7" s="408" t="s">
        <v>142</v>
      </c>
      <c r="C7" s="399" t="s">
        <v>143</v>
      </c>
      <c r="D7" s="400"/>
      <c r="E7" s="401"/>
      <c r="F7" s="166" t="s">
        <v>144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8"/>
      <c r="DD7" s="167"/>
      <c r="DE7" s="167"/>
      <c r="DF7" s="168"/>
      <c r="DG7" s="399" t="s">
        <v>145</v>
      </c>
      <c r="DH7" s="400"/>
      <c r="DI7" s="401"/>
      <c r="DJ7" s="399"/>
      <c r="DK7" s="400"/>
      <c r="DL7" s="400"/>
      <c r="DM7" s="400"/>
      <c r="DN7" s="400"/>
      <c r="DO7" s="400"/>
      <c r="DP7" s="400"/>
      <c r="DQ7" s="400"/>
      <c r="DR7" s="400"/>
      <c r="DS7" s="400"/>
      <c r="DT7" s="400"/>
      <c r="DU7" s="400"/>
      <c r="DV7" s="400"/>
      <c r="DW7" s="400"/>
      <c r="DX7" s="400"/>
      <c r="DY7" s="400"/>
      <c r="DZ7" s="400"/>
      <c r="EA7" s="400"/>
      <c r="EB7" s="400"/>
      <c r="EC7" s="400"/>
      <c r="ED7" s="400"/>
      <c r="EE7" s="400"/>
      <c r="EF7" s="400"/>
      <c r="EG7" s="400"/>
      <c r="EH7" s="400"/>
      <c r="EI7" s="400"/>
      <c r="EJ7" s="400"/>
      <c r="EK7" s="400"/>
      <c r="EL7" s="400"/>
      <c r="EM7" s="400"/>
      <c r="EN7" s="400"/>
      <c r="EO7" s="400"/>
      <c r="EP7" s="400"/>
      <c r="EQ7" s="400"/>
      <c r="ER7" s="400"/>
      <c r="ES7" s="400"/>
      <c r="ET7" s="400"/>
      <c r="EU7" s="400"/>
      <c r="EV7" s="401"/>
      <c r="EW7" s="399" t="s">
        <v>146</v>
      </c>
      <c r="EX7" s="400"/>
      <c r="EY7" s="401"/>
    </row>
    <row r="8" spans="1:159" s="169" customFormat="1" ht="15" customHeight="1">
      <c r="A8" s="408"/>
      <c r="B8" s="408"/>
      <c r="C8" s="402"/>
      <c r="D8" s="403"/>
      <c r="E8" s="404"/>
      <c r="F8" s="402" t="s">
        <v>147</v>
      </c>
      <c r="G8" s="403"/>
      <c r="H8" s="404"/>
      <c r="I8" s="424" t="s">
        <v>148</v>
      </c>
      <c r="J8" s="425"/>
      <c r="K8" s="425"/>
      <c r="L8" s="425"/>
      <c r="M8" s="425"/>
      <c r="N8" s="425"/>
      <c r="O8" s="425"/>
      <c r="P8" s="425"/>
      <c r="Q8" s="425"/>
      <c r="R8" s="425"/>
      <c r="S8" s="425"/>
      <c r="T8" s="425"/>
      <c r="U8" s="425"/>
      <c r="V8" s="425"/>
      <c r="W8" s="42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  <c r="AI8" s="425"/>
      <c r="AJ8" s="425"/>
      <c r="AK8" s="425"/>
      <c r="AL8" s="425"/>
      <c r="AM8" s="425"/>
      <c r="AN8" s="425"/>
      <c r="AO8" s="425"/>
      <c r="AP8" s="425"/>
      <c r="AQ8" s="425"/>
      <c r="AR8" s="425"/>
      <c r="AS8" s="425"/>
      <c r="AT8" s="425"/>
      <c r="AU8" s="425"/>
      <c r="AV8" s="425"/>
      <c r="AW8" s="425"/>
      <c r="AX8" s="426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1"/>
      <c r="BT8" s="173"/>
      <c r="BU8" s="173"/>
      <c r="BV8" s="173"/>
      <c r="BW8" s="174"/>
      <c r="BX8" s="174"/>
      <c r="BY8" s="174"/>
      <c r="BZ8" s="408" t="s">
        <v>149</v>
      </c>
      <c r="CA8" s="408"/>
      <c r="CB8" s="408"/>
      <c r="CC8" s="405" t="s">
        <v>148</v>
      </c>
      <c r="CD8" s="406"/>
      <c r="CE8" s="406"/>
      <c r="CF8" s="406"/>
      <c r="CG8" s="406"/>
      <c r="CH8" s="406"/>
      <c r="CI8" s="406"/>
      <c r="CJ8" s="406"/>
      <c r="CK8" s="406"/>
      <c r="CL8" s="406"/>
      <c r="CM8" s="406"/>
      <c r="CN8" s="406"/>
      <c r="CO8" s="170"/>
      <c r="CP8" s="170"/>
      <c r="CQ8" s="170"/>
      <c r="CR8" s="170"/>
      <c r="CS8" s="170"/>
      <c r="CT8" s="170"/>
      <c r="CU8" s="175"/>
      <c r="CV8" s="175"/>
      <c r="CW8" s="176"/>
      <c r="CX8" s="402" t="s">
        <v>150</v>
      </c>
      <c r="CY8" s="403"/>
      <c r="CZ8" s="404"/>
      <c r="DA8" s="433"/>
      <c r="DB8" s="434"/>
      <c r="DC8" s="435"/>
      <c r="DD8" s="433"/>
      <c r="DE8" s="434"/>
      <c r="DF8" s="435"/>
      <c r="DG8" s="402"/>
      <c r="DH8" s="403"/>
      <c r="DI8" s="404"/>
      <c r="DJ8" s="402" t="s">
        <v>148</v>
      </c>
      <c r="DK8" s="403"/>
      <c r="DL8" s="403"/>
      <c r="DM8" s="403"/>
      <c r="DN8" s="403"/>
      <c r="DO8" s="403"/>
      <c r="DP8" s="403"/>
      <c r="DQ8" s="403"/>
      <c r="DR8" s="403"/>
      <c r="DS8" s="403"/>
      <c r="DT8" s="403"/>
      <c r="DU8" s="403"/>
      <c r="DV8" s="403"/>
      <c r="DW8" s="403"/>
      <c r="DX8" s="403"/>
      <c r="DY8" s="403"/>
      <c r="DZ8" s="403"/>
      <c r="EA8" s="403"/>
      <c r="EB8" s="403"/>
      <c r="EC8" s="403"/>
      <c r="ED8" s="403"/>
      <c r="EE8" s="403"/>
      <c r="EF8" s="403"/>
      <c r="EG8" s="403"/>
      <c r="EH8" s="403"/>
      <c r="EI8" s="403"/>
      <c r="EJ8" s="403"/>
      <c r="EK8" s="403"/>
      <c r="EL8" s="403"/>
      <c r="EM8" s="403"/>
      <c r="EN8" s="403"/>
      <c r="EO8" s="403"/>
      <c r="EP8" s="403"/>
      <c r="EQ8" s="403"/>
      <c r="ER8" s="403"/>
      <c r="ES8" s="403"/>
      <c r="ET8" s="403"/>
      <c r="EU8" s="403"/>
      <c r="EV8" s="404"/>
      <c r="EW8" s="402"/>
      <c r="EX8" s="403"/>
      <c r="EY8" s="404"/>
    </row>
    <row r="9" spans="1:159" s="169" customFormat="1" ht="15" customHeight="1">
      <c r="A9" s="408"/>
      <c r="B9" s="408"/>
      <c r="C9" s="402"/>
      <c r="D9" s="403"/>
      <c r="E9" s="404"/>
      <c r="F9" s="402"/>
      <c r="G9" s="403"/>
      <c r="H9" s="404"/>
      <c r="I9" s="399" t="s">
        <v>151</v>
      </c>
      <c r="J9" s="400"/>
      <c r="K9" s="401"/>
      <c r="L9" s="399" t="s">
        <v>293</v>
      </c>
      <c r="M9" s="400"/>
      <c r="N9" s="401"/>
      <c r="O9" s="399" t="s">
        <v>296</v>
      </c>
      <c r="P9" s="400"/>
      <c r="Q9" s="401"/>
      <c r="R9" s="399" t="s">
        <v>294</v>
      </c>
      <c r="S9" s="400"/>
      <c r="T9" s="401"/>
      <c r="U9" s="399" t="s">
        <v>295</v>
      </c>
      <c r="V9" s="400"/>
      <c r="W9" s="401"/>
      <c r="X9" s="399" t="s">
        <v>152</v>
      </c>
      <c r="Y9" s="400"/>
      <c r="Z9" s="401"/>
      <c r="AA9" s="399" t="s">
        <v>153</v>
      </c>
      <c r="AB9" s="400"/>
      <c r="AC9" s="401"/>
      <c r="AD9" s="399" t="s">
        <v>154</v>
      </c>
      <c r="AE9" s="400"/>
      <c r="AF9" s="401"/>
      <c r="AG9" s="408" t="s">
        <v>155</v>
      </c>
      <c r="AH9" s="408"/>
      <c r="AI9" s="408"/>
      <c r="AJ9" s="399" t="s">
        <v>255</v>
      </c>
      <c r="AK9" s="400"/>
      <c r="AL9" s="401"/>
      <c r="AM9" s="399" t="s">
        <v>156</v>
      </c>
      <c r="AN9" s="400"/>
      <c r="AO9" s="401"/>
      <c r="AP9" s="399" t="s">
        <v>348</v>
      </c>
      <c r="AQ9" s="400"/>
      <c r="AR9" s="401"/>
      <c r="AS9" s="399" t="s">
        <v>157</v>
      </c>
      <c r="AT9" s="400"/>
      <c r="AU9" s="401"/>
      <c r="AV9" s="399" t="s">
        <v>158</v>
      </c>
      <c r="AW9" s="400"/>
      <c r="AX9" s="401"/>
      <c r="AY9" s="399" t="s">
        <v>257</v>
      </c>
      <c r="AZ9" s="400"/>
      <c r="BA9" s="401"/>
      <c r="BB9" s="399" t="s">
        <v>358</v>
      </c>
      <c r="BC9" s="400"/>
      <c r="BD9" s="401"/>
      <c r="BE9" s="399" t="s">
        <v>159</v>
      </c>
      <c r="BF9" s="400"/>
      <c r="BG9" s="401"/>
      <c r="BH9" s="399" t="s">
        <v>160</v>
      </c>
      <c r="BI9" s="400"/>
      <c r="BJ9" s="401"/>
      <c r="BK9" s="399" t="s">
        <v>286</v>
      </c>
      <c r="BL9" s="400"/>
      <c r="BM9" s="401"/>
      <c r="BN9" s="399" t="s">
        <v>253</v>
      </c>
      <c r="BO9" s="400"/>
      <c r="BP9" s="401"/>
      <c r="BQ9" s="399" t="s">
        <v>161</v>
      </c>
      <c r="BR9" s="400"/>
      <c r="BS9" s="401"/>
      <c r="BT9" s="399" t="s">
        <v>162</v>
      </c>
      <c r="BU9" s="400"/>
      <c r="BV9" s="401"/>
      <c r="BW9" s="402" t="s">
        <v>163</v>
      </c>
      <c r="BX9" s="403"/>
      <c r="BY9" s="403"/>
      <c r="BZ9" s="408"/>
      <c r="CA9" s="408"/>
      <c r="CB9" s="408"/>
      <c r="CC9" s="399" t="s">
        <v>349</v>
      </c>
      <c r="CD9" s="400"/>
      <c r="CE9" s="401"/>
      <c r="CF9" s="399" t="s">
        <v>350</v>
      </c>
      <c r="CG9" s="400"/>
      <c r="CH9" s="401"/>
      <c r="CI9" s="399" t="s">
        <v>164</v>
      </c>
      <c r="CJ9" s="400"/>
      <c r="CK9" s="401"/>
      <c r="CL9" s="399" t="s">
        <v>165</v>
      </c>
      <c r="CM9" s="400"/>
      <c r="CN9" s="401"/>
      <c r="CO9" s="399" t="s">
        <v>24</v>
      </c>
      <c r="CP9" s="400"/>
      <c r="CQ9" s="401"/>
      <c r="CR9" s="399" t="s">
        <v>303</v>
      </c>
      <c r="CS9" s="400"/>
      <c r="CT9" s="401"/>
      <c r="CU9" s="399" t="s">
        <v>351</v>
      </c>
      <c r="CV9" s="400"/>
      <c r="CW9" s="401"/>
      <c r="CX9" s="402"/>
      <c r="CY9" s="403"/>
      <c r="CZ9" s="404"/>
      <c r="DA9" s="399" t="s">
        <v>271</v>
      </c>
      <c r="DB9" s="400"/>
      <c r="DC9" s="401"/>
      <c r="DD9" s="408" t="s">
        <v>166</v>
      </c>
      <c r="DE9" s="408"/>
      <c r="DF9" s="408"/>
      <c r="DG9" s="402"/>
      <c r="DH9" s="403"/>
      <c r="DI9" s="404"/>
      <c r="DJ9" s="409" t="s">
        <v>167</v>
      </c>
      <c r="DK9" s="410"/>
      <c r="DL9" s="411"/>
      <c r="DM9" s="418" t="s">
        <v>144</v>
      </c>
      <c r="DN9" s="419"/>
      <c r="DO9" s="419"/>
      <c r="DP9" s="419"/>
      <c r="DQ9" s="419"/>
      <c r="DR9" s="419"/>
      <c r="DS9" s="419"/>
      <c r="DT9" s="419"/>
      <c r="DU9" s="419"/>
      <c r="DV9" s="419"/>
      <c r="DW9" s="419"/>
      <c r="DX9" s="420"/>
      <c r="DY9" s="409" t="s">
        <v>168</v>
      </c>
      <c r="DZ9" s="410"/>
      <c r="EA9" s="411"/>
      <c r="EB9" s="409" t="s">
        <v>169</v>
      </c>
      <c r="EC9" s="410"/>
      <c r="ED9" s="411"/>
      <c r="EE9" s="409" t="s">
        <v>170</v>
      </c>
      <c r="EF9" s="410"/>
      <c r="EG9" s="411"/>
      <c r="EH9" s="409" t="s">
        <v>171</v>
      </c>
      <c r="EI9" s="410"/>
      <c r="EJ9" s="411"/>
      <c r="EK9" s="399" t="s">
        <v>297</v>
      </c>
      <c r="EL9" s="400"/>
      <c r="EM9" s="401"/>
      <c r="EN9" s="399" t="s">
        <v>172</v>
      </c>
      <c r="EO9" s="400"/>
      <c r="EP9" s="401"/>
      <c r="EQ9" s="399" t="s">
        <v>329</v>
      </c>
      <c r="ER9" s="400"/>
      <c r="ES9" s="401"/>
      <c r="ET9" s="408" t="s">
        <v>299</v>
      </c>
      <c r="EU9" s="408"/>
      <c r="EV9" s="408"/>
      <c r="EW9" s="402"/>
      <c r="EX9" s="403"/>
      <c r="EY9" s="404"/>
    </row>
    <row r="10" spans="1:159" s="169" customFormat="1" ht="15" customHeight="1">
      <c r="A10" s="408"/>
      <c r="B10" s="408"/>
      <c r="C10" s="402"/>
      <c r="D10" s="403"/>
      <c r="E10" s="404"/>
      <c r="F10" s="402"/>
      <c r="G10" s="403"/>
      <c r="H10" s="404"/>
      <c r="I10" s="402"/>
      <c r="J10" s="403"/>
      <c r="K10" s="404"/>
      <c r="L10" s="402"/>
      <c r="M10" s="403"/>
      <c r="N10" s="404"/>
      <c r="O10" s="402"/>
      <c r="P10" s="403"/>
      <c r="Q10" s="404"/>
      <c r="R10" s="402"/>
      <c r="S10" s="403"/>
      <c r="T10" s="404"/>
      <c r="U10" s="402"/>
      <c r="V10" s="403"/>
      <c r="W10" s="404"/>
      <c r="X10" s="402"/>
      <c r="Y10" s="403"/>
      <c r="Z10" s="404"/>
      <c r="AA10" s="402"/>
      <c r="AB10" s="403"/>
      <c r="AC10" s="404"/>
      <c r="AD10" s="402"/>
      <c r="AE10" s="403"/>
      <c r="AF10" s="404"/>
      <c r="AG10" s="408"/>
      <c r="AH10" s="408"/>
      <c r="AI10" s="408"/>
      <c r="AJ10" s="402"/>
      <c r="AK10" s="403"/>
      <c r="AL10" s="404"/>
      <c r="AM10" s="402"/>
      <c r="AN10" s="403"/>
      <c r="AO10" s="404"/>
      <c r="AP10" s="402"/>
      <c r="AQ10" s="403"/>
      <c r="AR10" s="404"/>
      <c r="AS10" s="402"/>
      <c r="AT10" s="403"/>
      <c r="AU10" s="404"/>
      <c r="AV10" s="402"/>
      <c r="AW10" s="403"/>
      <c r="AX10" s="404"/>
      <c r="AY10" s="402"/>
      <c r="AZ10" s="403"/>
      <c r="BA10" s="404"/>
      <c r="BB10" s="402"/>
      <c r="BC10" s="403"/>
      <c r="BD10" s="404"/>
      <c r="BE10" s="402"/>
      <c r="BF10" s="403"/>
      <c r="BG10" s="404"/>
      <c r="BH10" s="402"/>
      <c r="BI10" s="403"/>
      <c r="BJ10" s="404"/>
      <c r="BK10" s="402"/>
      <c r="BL10" s="403"/>
      <c r="BM10" s="404"/>
      <c r="BN10" s="402"/>
      <c r="BO10" s="403"/>
      <c r="BP10" s="404"/>
      <c r="BQ10" s="402"/>
      <c r="BR10" s="403"/>
      <c r="BS10" s="404"/>
      <c r="BT10" s="402"/>
      <c r="BU10" s="403"/>
      <c r="BV10" s="404"/>
      <c r="BW10" s="402"/>
      <c r="BX10" s="403"/>
      <c r="BY10" s="403"/>
      <c r="BZ10" s="408"/>
      <c r="CA10" s="408"/>
      <c r="CB10" s="408"/>
      <c r="CC10" s="402"/>
      <c r="CD10" s="403"/>
      <c r="CE10" s="404"/>
      <c r="CF10" s="402"/>
      <c r="CG10" s="403"/>
      <c r="CH10" s="404"/>
      <c r="CI10" s="402"/>
      <c r="CJ10" s="403"/>
      <c r="CK10" s="404"/>
      <c r="CL10" s="402"/>
      <c r="CM10" s="403"/>
      <c r="CN10" s="404"/>
      <c r="CO10" s="402"/>
      <c r="CP10" s="403"/>
      <c r="CQ10" s="404"/>
      <c r="CR10" s="402"/>
      <c r="CS10" s="403"/>
      <c r="CT10" s="404"/>
      <c r="CU10" s="402"/>
      <c r="CV10" s="403"/>
      <c r="CW10" s="404"/>
      <c r="CX10" s="402"/>
      <c r="CY10" s="403"/>
      <c r="CZ10" s="404"/>
      <c r="DA10" s="402"/>
      <c r="DB10" s="403"/>
      <c r="DC10" s="404"/>
      <c r="DD10" s="408"/>
      <c r="DE10" s="408"/>
      <c r="DF10" s="408"/>
      <c r="DG10" s="402"/>
      <c r="DH10" s="403"/>
      <c r="DI10" s="404"/>
      <c r="DJ10" s="412"/>
      <c r="DK10" s="413"/>
      <c r="DL10" s="414"/>
      <c r="DM10" s="320"/>
      <c r="DN10" s="321"/>
      <c r="DO10" s="321"/>
      <c r="DP10" s="323"/>
      <c r="DQ10" s="323"/>
      <c r="DR10" s="323"/>
      <c r="DS10" s="321"/>
      <c r="DT10" s="321"/>
      <c r="DU10" s="321"/>
      <c r="DV10" s="321"/>
      <c r="DW10" s="321"/>
      <c r="DX10" s="322"/>
      <c r="DY10" s="412"/>
      <c r="DZ10" s="413"/>
      <c r="EA10" s="414"/>
      <c r="EB10" s="412"/>
      <c r="EC10" s="413"/>
      <c r="ED10" s="414"/>
      <c r="EE10" s="412"/>
      <c r="EF10" s="413"/>
      <c r="EG10" s="414"/>
      <c r="EH10" s="412"/>
      <c r="EI10" s="413"/>
      <c r="EJ10" s="414"/>
      <c r="EK10" s="402"/>
      <c r="EL10" s="403"/>
      <c r="EM10" s="404"/>
      <c r="EN10" s="402"/>
      <c r="EO10" s="403"/>
      <c r="EP10" s="404"/>
      <c r="EQ10" s="402"/>
      <c r="ER10" s="403"/>
      <c r="ES10" s="404"/>
      <c r="ET10" s="408"/>
      <c r="EU10" s="408"/>
      <c r="EV10" s="408"/>
      <c r="EW10" s="402"/>
      <c r="EX10" s="403"/>
      <c r="EY10" s="404"/>
    </row>
    <row r="11" spans="1:159" s="169" customFormat="1" ht="177.75" customHeight="1">
      <c r="A11" s="408"/>
      <c r="B11" s="408"/>
      <c r="C11" s="405"/>
      <c r="D11" s="406"/>
      <c r="E11" s="432"/>
      <c r="F11" s="405"/>
      <c r="G11" s="406"/>
      <c r="H11" s="407"/>
      <c r="I11" s="405"/>
      <c r="J11" s="406"/>
      <c r="K11" s="407"/>
      <c r="L11" s="405"/>
      <c r="M11" s="406"/>
      <c r="N11" s="407"/>
      <c r="O11" s="405"/>
      <c r="P11" s="406"/>
      <c r="Q11" s="407"/>
      <c r="R11" s="405"/>
      <c r="S11" s="406"/>
      <c r="T11" s="407"/>
      <c r="U11" s="405"/>
      <c r="V11" s="406"/>
      <c r="W11" s="407"/>
      <c r="X11" s="405"/>
      <c r="Y11" s="406"/>
      <c r="Z11" s="407"/>
      <c r="AA11" s="405"/>
      <c r="AB11" s="406"/>
      <c r="AC11" s="407"/>
      <c r="AD11" s="405"/>
      <c r="AE11" s="406"/>
      <c r="AF11" s="407"/>
      <c r="AG11" s="408"/>
      <c r="AH11" s="408"/>
      <c r="AI11" s="408"/>
      <c r="AJ11" s="405"/>
      <c r="AK11" s="406"/>
      <c r="AL11" s="407"/>
      <c r="AM11" s="405"/>
      <c r="AN11" s="406"/>
      <c r="AO11" s="407"/>
      <c r="AP11" s="405"/>
      <c r="AQ11" s="406"/>
      <c r="AR11" s="407"/>
      <c r="AS11" s="405"/>
      <c r="AT11" s="406"/>
      <c r="AU11" s="407"/>
      <c r="AV11" s="405"/>
      <c r="AW11" s="406"/>
      <c r="AX11" s="407"/>
      <c r="AY11" s="405"/>
      <c r="AZ11" s="406"/>
      <c r="BA11" s="407"/>
      <c r="BB11" s="405"/>
      <c r="BC11" s="406"/>
      <c r="BD11" s="407"/>
      <c r="BE11" s="405"/>
      <c r="BF11" s="406"/>
      <c r="BG11" s="407"/>
      <c r="BH11" s="405"/>
      <c r="BI11" s="406"/>
      <c r="BJ11" s="407"/>
      <c r="BK11" s="405"/>
      <c r="BL11" s="406"/>
      <c r="BM11" s="407"/>
      <c r="BN11" s="405"/>
      <c r="BO11" s="406"/>
      <c r="BP11" s="407"/>
      <c r="BQ11" s="405"/>
      <c r="BR11" s="406"/>
      <c r="BS11" s="407"/>
      <c r="BT11" s="405"/>
      <c r="BU11" s="406"/>
      <c r="BV11" s="407"/>
      <c r="BW11" s="405"/>
      <c r="BX11" s="406"/>
      <c r="BY11" s="406"/>
      <c r="BZ11" s="408"/>
      <c r="CA11" s="408"/>
      <c r="CB11" s="408"/>
      <c r="CC11" s="405"/>
      <c r="CD11" s="406"/>
      <c r="CE11" s="407"/>
      <c r="CF11" s="405"/>
      <c r="CG11" s="406"/>
      <c r="CH11" s="407"/>
      <c r="CI11" s="405"/>
      <c r="CJ11" s="406"/>
      <c r="CK11" s="407"/>
      <c r="CL11" s="405"/>
      <c r="CM11" s="406"/>
      <c r="CN11" s="407"/>
      <c r="CO11" s="405"/>
      <c r="CP11" s="406"/>
      <c r="CQ11" s="407"/>
      <c r="CR11" s="405"/>
      <c r="CS11" s="406"/>
      <c r="CT11" s="407"/>
      <c r="CU11" s="405"/>
      <c r="CV11" s="406"/>
      <c r="CW11" s="407"/>
      <c r="CX11" s="405"/>
      <c r="CY11" s="406"/>
      <c r="CZ11" s="407"/>
      <c r="DA11" s="405"/>
      <c r="DB11" s="406"/>
      <c r="DC11" s="407"/>
      <c r="DD11" s="408"/>
      <c r="DE11" s="408"/>
      <c r="DF11" s="408"/>
      <c r="DG11" s="405"/>
      <c r="DH11" s="406"/>
      <c r="DI11" s="407"/>
      <c r="DJ11" s="415"/>
      <c r="DK11" s="416"/>
      <c r="DL11" s="417"/>
      <c r="DM11" s="415" t="s">
        <v>173</v>
      </c>
      <c r="DN11" s="416"/>
      <c r="DO11" s="417"/>
      <c r="DP11" s="418" t="s">
        <v>174</v>
      </c>
      <c r="DQ11" s="419"/>
      <c r="DR11" s="420"/>
      <c r="DS11" s="415" t="s">
        <v>175</v>
      </c>
      <c r="DT11" s="416"/>
      <c r="DU11" s="417"/>
      <c r="DV11" s="415" t="s">
        <v>250</v>
      </c>
      <c r="DW11" s="416"/>
      <c r="DX11" s="417"/>
      <c r="DY11" s="415"/>
      <c r="DZ11" s="416"/>
      <c r="EA11" s="417"/>
      <c r="EB11" s="415"/>
      <c r="EC11" s="416"/>
      <c r="ED11" s="417"/>
      <c r="EE11" s="415"/>
      <c r="EF11" s="416"/>
      <c r="EG11" s="417"/>
      <c r="EH11" s="415"/>
      <c r="EI11" s="416"/>
      <c r="EJ11" s="417"/>
      <c r="EK11" s="405"/>
      <c r="EL11" s="406"/>
      <c r="EM11" s="407"/>
      <c r="EN11" s="405"/>
      <c r="EO11" s="406"/>
      <c r="EP11" s="407"/>
      <c r="EQ11" s="405"/>
      <c r="ER11" s="406"/>
      <c r="ES11" s="407"/>
      <c r="ET11" s="408"/>
      <c r="EU11" s="408"/>
      <c r="EV11" s="408"/>
      <c r="EW11" s="405"/>
      <c r="EX11" s="406"/>
      <c r="EY11" s="407"/>
      <c r="FA11" s="174"/>
      <c r="FB11" s="174"/>
      <c r="FC11" s="174"/>
    </row>
    <row r="12" spans="1:159" s="169" customFormat="1" ht="42.75" customHeight="1">
      <c r="A12" s="408"/>
      <c r="B12" s="408"/>
      <c r="C12" s="177" t="s">
        <v>176</v>
      </c>
      <c r="D12" s="178" t="s">
        <v>177</v>
      </c>
      <c r="E12" s="177" t="s">
        <v>178</v>
      </c>
      <c r="F12" s="177" t="s">
        <v>176</v>
      </c>
      <c r="G12" s="177" t="s">
        <v>177</v>
      </c>
      <c r="H12" s="177" t="s">
        <v>178</v>
      </c>
      <c r="I12" s="177" t="s">
        <v>176</v>
      </c>
      <c r="J12" s="177" t="s">
        <v>177</v>
      </c>
      <c r="K12" s="177" t="s">
        <v>178</v>
      </c>
      <c r="L12" s="177" t="s">
        <v>176</v>
      </c>
      <c r="M12" s="177" t="s">
        <v>177</v>
      </c>
      <c r="N12" s="177" t="s">
        <v>178</v>
      </c>
      <c r="O12" s="177" t="s">
        <v>176</v>
      </c>
      <c r="P12" s="177" t="s">
        <v>177</v>
      </c>
      <c r="Q12" s="177" t="s">
        <v>178</v>
      </c>
      <c r="R12" s="177" t="s">
        <v>176</v>
      </c>
      <c r="S12" s="177" t="s">
        <v>177</v>
      </c>
      <c r="T12" s="177" t="s">
        <v>178</v>
      </c>
      <c r="U12" s="177" t="s">
        <v>176</v>
      </c>
      <c r="V12" s="177" t="s">
        <v>177</v>
      </c>
      <c r="W12" s="177" t="s">
        <v>178</v>
      </c>
      <c r="X12" s="177" t="s">
        <v>176</v>
      </c>
      <c r="Y12" s="177" t="s">
        <v>177</v>
      </c>
      <c r="Z12" s="177" t="s">
        <v>178</v>
      </c>
      <c r="AA12" s="177" t="s">
        <v>176</v>
      </c>
      <c r="AB12" s="177" t="s">
        <v>177</v>
      </c>
      <c r="AC12" s="177" t="s">
        <v>178</v>
      </c>
      <c r="AD12" s="177" t="s">
        <v>176</v>
      </c>
      <c r="AE12" s="177" t="s">
        <v>177</v>
      </c>
      <c r="AF12" s="177" t="s">
        <v>178</v>
      </c>
      <c r="AG12" s="177" t="s">
        <v>176</v>
      </c>
      <c r="AH12" s="177" t="s">
        <v>177</v>
      </c>
      <c r="AI12" s="177" t="s">
        <v>178</v>
      </c>
      <c r="AJ12" s="177" t="s">
        <v>176</v>
      </c>
      <c r="AK12" s="177" t="s">
        <v>177</v>
      </c>
      <c r="AL12" s="177" t="s">
        <v>178</v>
      </c>
      <c r="AM12" s="177" t="s">
        <v>176</v>
      </c>
      <c r="AN12" s="177" t="s">
        <v>177</v>
      </c>
      <c r="AO12" s="177" t="s">
        <v>178</v>
      </c>
      <c r="AP12" s="177" t="s">
        <v>176</v>
      </c>
      <c r="AQ12" s="177" t="s">
        <v>177</v>
      </c>
      <c r="AR12" s="177" t="s">
        <v>178</v>
      </c>
      <c r="AS12" s="177" t="s">
        <v>176</v>
      </c>
      <c r="AT12" s="177" t="s">
        <v>177</v>
      </c>
      <c r="AU12" s="177" t="s">
        <v>178</v>
      </c>
      <c r="AV12" s="177" t="s">
        <v>176</v>
      </c>
      <c r="AW12" s="177" t="s">
        <v>177</v>
      </c>
      <c r="AX12" s="177" t="s">
        <v>178</v>
      </c>
      <c r="AY12" s="177" t="s">
        <v>176</v>
      </c>
      <c r="AZ12" s="177" t="s">
        <v>177</v>
      </c>
      <c r="BA12" s="177" t="s">
        <v>178</v>
      </c>
      <c r="BB12" s="177"/>
      <c r="BC12" s="177"/>
      <c r="BD12" s="177"/>
      <c r="BE12" s="177" t="s">
        <v>179</v>
      </c>
      <c r="BF12" s="177" t="s">
        <v>177</v>
      </c>
      <c r="BG12" s="177" t="s">
        <v>178</v>
      </c>
      <c r="BH12" s="177" t="s">
        <v>176</v>
      </c>
      <c r="BI12" s="177" t="s">
        <v>177</v>
      </c>
      <c r="BJ12" s="177" t="s">
        <v>178</v>
      </c>
      <c r="BK12" s="177" t="s">
        <v>176</v>
      </c>
      <c r="BL12" s="177" t="s">
        <v>177</v>
      </c>
      <c r="BM12" s="177" t="s">
        <v>178</v>
      </c>
      <c r="BN12" s="177" t="s">
        <v>179</v>
      </c>
      <c r="BO12" s="177" t="s">
        <v>177</v>
      </c>
      <c r="BP12" s="177" t="s">
        <v>178</v>
      </c>
      <c r="BQ12" s="177" t="s">
        <v>179</v>
      </c>
      <c r="BR12" s="177" t="s">
        <v>177</v>
      </c>
      <c r="BS12" s="177" t="s">
        <v>178</v>
      </c>
      <c r="BT12" s="177" t="s">
        <v>179</v>
      </c>
      <c r="BU12" s="177" t="s">
        <v>177</v>
      </c>
      <c r="BV12" s="177" t="s">
        <v>178</v>
      </c>
      <c r="BW12" s="177" t="s">
        <v>179</v>
      </c>
      <c r="BX12" s="177" t="s">
        <v>177</v>
      </c>
      <c r="BY12" s="177" t="s">
        <v>178</v>
      </c>
      <c r="BZ12" s="177" t="s">
        <v>176</v>
      </c>
      <c r="CA12" s="177" t="s">
        <v>177</v>
      </c>
      <c r="CB12" s="177" t="s">
        <v>178</v>
      </c>
      <c r="CC12" s="177" t="s">
        <v>176</v>
      </c>
      <c r="CD12" s="177" t="s">
        <v>177</v>
      </c>
      <c r="CE12" s="177" t="s">
        <v>178</v>
      </c>
      <c r="CF12" s="177" t="s">
        <v>176</v>
      </c>
      <c r="CG12" s="177" t="s">
        <v>177</v>
      </c>
      <c r="CH12" s="177" t="s">
        <v>178</v>
      </c>
      <c r="CI12" s="177" t="s">
        <v>176</v>
      </c>
      <c r="CJ12" s="177" t="s">
        <v>177</v>
      </c>
      <c r="CK12" s="177" t="s">
        <v>178</v>
      </c>
      <c r="CL12" s="177" t="s">
        <v>176</v>
      </c>
      <c r="CM12" s="177" t="s">
        <v>177</v>
      </c>
      <c r="CN12" s="177" t="s">
        <v>178</v>
      </c>
      <c r="CO12" s="177" t="s">
        <v>176</v>
      </c>
      <c r="CP12" s="177" t="s">
        <v>177</v>
      </c>
      <c r="CQ12" s="177" t="s">
        <v>178</v>
      </c>
      <c r="CR12" s="177" t="s">
        <v>176</v>
      </c>
      <c r="CS12" s="177" t="s">
        <v>177</v>
      </c>
      <c r="CT12" s="177" t="s">
        <v>178</v>
      </c>
      <c r="CU12" s="177" t="s">
        <v>176</v>
      </c>
      <c r="CV12" s="177" t="s">
        <v>177</v>
      </c>
      <c r="CW12" s="177" t="s">
        <v>178</v>
      </c>
      <c r="CX12" s="177" t="s">
        <v>176</v>
      </c>
      <c r="CY12" s="177" t="s">
        <v>177</v>
      </c>
      <c r="CZ12" s="177" t="s">
        <v>178</v>
      </c>
      <c r="DA12" s="177" t="s">
        <v>176</v>
      </c>
      <c r="DB12" s="177" t="s">
        <v>177</v>
      </c>
      <c r="DC12" s="177" t="s">
        <v>178</v>
      </c>
      <c r="DD12" s="177" t="s">
        <v>176</v>
      </c>
      <c r="DE12" s="177" t="s">
        <v>177</v>
      </c>
      <c r="DF12" s="177" t="s">
        <v>178</v>
      </c>
      <c r="DG12" s="177" t="s">
        <v>176</v>
      </c>
      <c r="DH12" s="177" t="s">
        <v>177</v>
      </c>
      <c r="DI12" s="177" t="s">
        <v>178</v>
      </c>
      <c r="DJ12" s="177" t="s">
        <v>176</v>
      </c>
      <c r="DK12" s="177" t="s">
        <v>177</v>
      </c>
      <c r="DL12" s="177" t="s">
        <v>178</v>
      </c>
      <c r="DM12" s="177" t="s">
        <v>176</v>
      </c>
      <c r="DN12" s="177" t="s">
        <v>177</v>
      </c>
      <c r="DO12" s="177" t="s">
        <v>178</v>
      </c>
      <c r="DP12" s="177" t="s">
        <v>176</v>
      </c>
      <c r="DQ12" s="177" t="s">
        <v>177</v>
      </c>
      <c r="DR12" s="177" t="s">
        <v>178</v>
      </c>
      <c r="DS12" s="177" t="s">
        <v>176</v>
      </c>
      <c r="DT12" s="177" t="s">
        <v>177</v>
      </c>
      <c r="DU12" s="177" t="s">
        <v>178</v>
      </c>
      <c r="DV12" s="177" t="s">
        <v>176</v>
      </c>
      <c r="DW12" s="177" t="s">
        <v>177</v>
      </c>
      <c r="DX12" s="177" t="s">
        <v>178</v>
      </c>
      <c r="DY12" s="177" t="s">
        <v>176</v>
      </c>
      <c r="DZ12" s="177" t="s">
        <v>177</v>
      </c>
      <c r="EA12" s="177" t="s">
        <v>178</v>
      </c>
      <c r="EB12" s="177" t="s">
        <v>176</v>
      </c>
      <c r="EC12" s="177" t="s">
        <v>177</v>
      </c>
      <c r="ED12" s="177" t="s">
        <v>178</v>
      </c>
      <c r="EE12" s="177" t="s">
        <v>176</v>
      </c>
      <c r="EF12" s="177" t="s">
        <v>177</v>
      </c>
      <c r="EG12" s="177" t="s">
        <v>178</v>
      </c>
      <c r="EH12" s="177" t="s">
        <v>176</v>
      </c>
      <c r="EI12" s="177" t="s">
        <v>177</v>
      </c>
      <c r="EJ12" s="177" t="s">
        <v>178</v>
      </c>
      <c r="EK12" s="177" t="s">
        <v>176</v>
      </c>
      <c r="EL12" s="177" t="s">
        <v>177</v>
      </c>
      <c r="EM12" s="177" t="s">
        <v>178</v>
      </c>
      <c r="EN12" s="177" t="s">
        <v>176</v>
      </c>
      <c r="EO12" s="177" t="s">
        <v>177</v>
      </c>
      <c r="EP12" s="177" t="s">
        <v>178</v>
      </c>
      <c r="EQ12" s="177" t="s">
        <v>176</v>
      </c>
      <c r="ER12" s="177" t="s">
        <v>177</v>
      </c>
      <c r="ES12" s="177" t="s">
        <v>178</v>
      </c>
      <c r="ET12" s="177" t="s">
        <v>176</v>
      </c>
      <c r="EU12" s="177" t="s">
        <v>177</v>
      </c>
      <c r="EV12" s="177" t="s">
        <v>178</v>
      </c>
      <c r="EW12" s="177" t="s">
        <v>176</v>
      </c>
      <c r="EX12" s="177" t="s">
        <v>177</v>
      </c>
      <c r="EY12" s="177" t="s">
        <v>178</v>
      </c>
      <c r="FA12" s="174"/>
      <c r="FB12" s="174"/>
      <c r="FC12" s="174"/>
    </row>
    <row r="13" spans="1:159" s="169" customFormat="1" ht="14.25" customHeight="1">
      <c r="A13" s="165">
        <v>1</v>
      </c>
      <c r="B13" s="177">
        <v>2</v>
      </c>
      <c r="C13" s="165">
        <v>3</v>
      </c>
      <c r="D13" s="178">
        <v>4</v>
      </c>
      <c r="E13" s="165">
        <v>5</v>
      </c>
      <c r="F13" s="177">
        <v>6</v>
      </c>
      <c r="G13" s="165">
        <v>7</v>
      </c>
      <c r="H13" s="177">
        <v>8</v>
      </c>
      <c r="I13" s="165">
        <v>9</v>
      </c>
      <c r="J13" s="177">
        <v>10</v>
      </c>
      <c r="K13" s="165">
        <v>11</v>
      </c>
      <c r="L13" s="165">
        <v>12</v>
      </c>
      <c r="M13" s="165">
        <v>13</v>
      </c>
      <c r="N13" s="165">
        <v>14</v>
      </c>
      <c r="O13" s="165">
        <v>15</v>
      </c>
      <c r="P13" s="165">
        <v>16</v>
      </c>
      <c r="Q13" s="165">
        <v>17</v>
      </c>
      <c r="R13" s="165">
        <v>18</v>
      </c>
      <c r="S13" s="165">
        <v>19</v>
      </c>
      <c r="T13" s="165">
        <v>20</v>
      </c>
      <c r="U13" s="165">
        <v>21</v>
      </c>
      <c r="V13" s="165">
        <v>22</v>
      </c>
      <c r="W13" s="165">
        <v>23</v>
      </c>
      <c r="X13" s="177">
        <v>24</v>
      </c>
      <c r="Y13" s="165">
        <v>25</v>
      </c>
      <c r="Z13" s="177">
        <v>26</v>
      </c>
      <c r="AA13" s="165">
        <v>27</v>
      </c>
      <c r="AB13" s="177">
        <v>28</v>
      </c>
      <c r="AC13" s="165">
        <v>29</v>
      </c>
      <c r="AD13" s="177">
        <v>30</v>
      </c>
      <c r="AE13" s="165">
        <v>31</v>
      </c>
      <c r="AF13" s="177">
        <v>32</v>
      </c>
      <c r="AG13" s="165">
        <v>33</v>
      </c>
      <c r="AH13" s="177">
        <v>34</v>
      </c>
      <c r="AI13" s="165">
        <v>35</v>
      </c>
      <c r="AJ13" s="165">
        <v>36</v>
      </c>
      <c r="AK13" s="165">
        <v>37</v>
      </c>
      <c r="AL13" s="165">
        <v>38</v>
      </c>
      <c r="AM13" s="177">
        <v>39</v>
      </c>
      <c r="AN13" s="165">
        <v>40</v>
      </c>
      <c r="AO13" s="177">
        <v>41</v>
      </c>
      <c r="AP13" s="165">
        <v>42</v>
      </c>
      <c r="AQ13" s="177">
        <v>43</v>
      </c>
      <c r="AR13" s="165">
        <v>44</v>
      </c>
      <c r="AS13" s="165">
        <v>45</v>
      </c>
      <c r="AT13" s="177">
        <v>46</v>
      </c>
      <c r="AU13" s="165">
        <v>47</v>
      </c>
      <c r="AV13" s="165">
        <v>48</v>
      </c>
      <c r="AW13" s="177">
        <v>49</v>
      </c>
      <c r="AX13" s="165">
        <v>50</v>
      </c>
      <c r="AY13" s="165">
        <v>48</v>
      </c>
      <c r="AZ13" s="177">
        <v>49</v>
      </c>
      <c r="BA13" s="165">
        <v>50</v>
      </c>
      <c r="BB13" s="165">
        <v>51</v>
      </c>
      <c r="BC13" s="165">
        <v>52</v>
      </c>
      <c r="BD13" s="165">
        <v>56</v>
      </c>
      <c r="BE13" s="177">
        <v>51</v>
      </c>
      <c r="BF13" s="165">
        <v>52</v>
      </c>
      <c r="BG13" s="177">
        <v>53</v>
      </c>
      <c r="BH13" s="165">
        <v>60</v>
      </c>
      <c r="BI13" s="179">
        <v>61</v>
      </c>
      <c r="BJ13" s="180">
        <v>62</v>
      </c>
      <c r="BK13" s="165">
        <v>63</v>
      </c>
      <c r="BL13" s="165">
        <v>64</v>
      </c>
      <c r="BM13" s="165">
        <v>65</v>
      </c>
      <c r="BN13" s="165">
        <v>66</v>
      </c>
      <c r="BO13" s="165">
        <v>67</v>
      </c>
      <c r="BP13" s="165">
        <v>68</v>
      </c>
      <c r="BQ13" s="177">
        <v>54</v>
      </c>
      <c r="BR13" s="165">
        <v>55</v>
      </c>
      <c r="BS13" s="177">
        <v>56</v>
      </c>
      <c r="BT13" s="165">
        <v>72</v>
      </c>
      <c r="BU13" s="177">
        <v>73</v>
      </c>
      <c r="BV13" s="165">
        <v>74</v>
      </c>
      <c r="BW13" s="177">
        <v>75</v>
      </c>
      <c r="BX13" s="165">
        <v>76</v>
      </c>
      <c r="BY13" s="177">
        <v>77</v>
      </c>
      <c r="BZ13" s="165">
        <v>57</v>
      </c>
      <c r="CA13" s="177">
        <v>58</v>
      </c>
      <c r="CB13" s="165">
        <v>59</v>
      </c>
      <c r="CC13" s="177">
        <v>60</v>
      </c>
      <c r="CD13" s="165">
        <v>61</v>
      </c>
      <c r="CE13" s="177">
        <v>62</v>
      </c>
      <c r="CF13" s="165">
        <v>63</v>
      </c>
      <c r="CG13" s="177">
        <v>64</v>
      </c>
      <c r="CH13" s="165">
        <v>65</v>
      </c>
      <c r="CI13" s="177">
        <v>66</v>
      </c>
      <c r="CJ13" s="165">
        <v>67</v>
      </c>
      <c r="CK13" s="177">
        <v>68</v>
      </c>
      <c r="CL13" s="165">
        <v>69</v>
      </c>
      <c r="CM13" s="177">
        <v>70</v>
      </c>
      <c r="CN13" s="165">
        <v>71</v>
      </c>
      <c r="CO13" s="165">
        <v>72</v>
      </c>
      <c r="CP13" s="165">
        <v>73</v>
      </c>
      <c r="CQ13" s="165">
        <v>74</v>
      </c>
      <c r="CR13" s="165">
        <v>75</v>
      </c>
      <c r="CS13" s="165">
        <v>76</v>
      </c>
      <c r="CT13" s="165">
        <v>77</v>
      </c>
      <c r="CU13" s="165">
        <v>78</v>
      </c>
      <c r="CV13" s="165">
        <v>79</v>
      </c>
      <c r="CW13" s="165">
        <v>80</v>
      </c>
      <c r="CX13" s="177">
        <v>96</v>
      </c>
      <c r="CY13" s="165">
        <v>97</v>
      </c>
      <c r="CZ13" s="177">
        <v>98</v>
      </c>
      <c r="DA13" s="177">
        <v>99</v>
      </c>
      <c r="DB13" s="177">
        <v>100</v>
      </c>
      <c r="DC13" s="177">
        <v>101</v>
      </c>
      <c r="DD13" s="177">
        <v>102</v>
      </c>
      <c r="DE13" s="177">
        <v>103</v>
      </c>
      <c r="DF13" s="177">
        <v>104</v>
      </c>
      <c r="DG13" s="165">
        <v>81</v>
      </c>
      <c r="DH13" s="177">
        <v>82</v>
      </c>
      <c r="DI13" s="165">
        <v>83</v>
      </c>
      <c r="DJ13" s="177">
        <v>84</v>
      </c>
      <c r="DK13" s="165">
        <v>85</v>
      </c>
      <c r="DL13" s="177">
        <v>86</v>
      </c>
      <c r="DM13" s="165">
        <v>87</v>
      </c>
      <c r="DN13" s="177">
        <v>88</v>
      </c>
      <c r="DO13" s="165">
        <v>89</v>
      </c>
      <c r="DP13" s="177">
        <v>90</v>
      </c>
      <c r="DQ13" s="165">
        <v>91</v>
      </c>
      <c r="DR13" s="177">
        <v>92</v>
      </c>
      <c r="DS13" s="165">
        <v>93</v>
      </c>
      <c r="DT13" s="177">
        <v>94</v>
      </c>
      <c r="DU13" s="165">
        <v>95</v>
      </c>
      <c r="DV13" s="177">
        <v>96</v>
      </c>
      <c r="DW13" s="177">
        <v>97</v>
      </c>
      <c r="DX13" s="177">
        <v>98</v>
      </c>
      <c r="DY13" s="165">
        <v>99</v>
      </c>
      <c r="DZ13" s="177">
        <v>100</v>
      </c>
      <c r="EA13" s="165">
        <v>101</v>
      </c>
      <c r="EB13" s="177">
        <v>102</v>
      </c>
      <c r="EC13" s="165">
        <v>103</v>
      </c>
      <c r="ED13" s="177">
        <v>104</v>
      </c>
      <c r="EE13" s="165">
        <v>105</v>
      </c>
      <c r="EF13" s="177">
        <v>106</v>
      </c>
      <c r="EG13" s="165">
        <v>107</v>
      </c>
      <c r="EH13" s="177">
        <v>108</v>
      </c>
      <c r="EI13" s="165">
        <v>109</v>
      </c>
      <c r="EJ13" s="177">
        <v>110</v>
      </c>
      <c r="EK13" s="165">
        <v>111</v>
      </c>
      <c r="EL13" s="177">
        <v>112</v>
      </c>
      <c r="EM13" s="165">
        <v>113</v>
      </c>
      <c r="EN13" s="177">
        <v>114</v>
      </c>
      <c r="EO13" s="165">
        <v>115</v>
      </c>
      <c r="EP13" s="177">
        <v>116</v>
      </c>
      <c r="EQ13" s="165">
        <v>117</v>
      </c>
      <c r="ER13" s="177">
        <v>118</v>
      </c>
      <c r="ES13" s="165">
        <v>119</v>
      </c>
      <c r="ET13" s="177">
        <v>120</v>
      </c>
      <c r="EU13" s="165">
        <v>121</v>
      </c>
      <c r="EV13" s="177">
        <v>122</v>
      </c>
      <c r="EW13" s="165">
        <v>123</v>
      </c>
      <c r="EX13" s="177">
        <v>124</v>
      </c>
      <c r="EY13" s="165">
        <v>125</v>
      </c>
    </row>
    <row r="14" spans="1:159" s="169" customFormat="1" ht="15" customHeight="1">
      <c r="A14" s="181">
        <v>1</v>
      </c>
      <c r="B14" s="182" t="s">
        <v>304</v>
      </c>
      <c r="C14" s="183">
        <f>F14+BZ14</f>
        <v>3265.1120000000001</v>
      </c>
      <c r="D14" s="287">
        <f t="shared" ref="D14:D29" si="0">G14+CA14+CY14</f>
        <v>2420.43028</v>
      </c>
      <c r="E14" s="184">
        <f t="shared" ref="E14:E29" si="1">D14/C14*100</f>
        <v>74.13008435851512</v>
      </c>
      <c r="F14" s="185">
        <f t="shared" ref="F14:F29" si="2">I14+X14+AA14+AD14+AG14+AM14+AS14+BE14+BQ14+BN14+AJ14+AY14+L14+R14+O14+U14+AP14</f>
        <v>592.89</v>
      </c>
      <c r="G14" s="185">
        <f t="shared" ref="G14:G29" si="3">J14+Y14+AB14+AE14+AH14+AN14+AT14+BF14+AK14+BR14+BO14+AZ14+M14+S14+P14+V14+AQ14</f>
        <v>342.80986999999999</v>
      </c>
      <c r="H14" s="184">
        <f>G14/F14*100</f>
        <v>57.820147076186132</v>
      </c>
      <c r="I14" s="293">
        <f>Але!C6</f>
        <v>59</v>
      </c>
      <c r="J14" s="293">
        <f>Але!D6</f>
        <v>41.475700000000003</v>
      </c>
      <c r="K14" s="184">
        <f>J14/I14*100</f>
        <v>70.297796610169499</v>
      </c>
      <c r="L14" s="184">
        <f>Але!C8</f>
        <v>82.02</v>
      </c>
      <c r="M14" s="184">
        <f>Але!D8</f>
        <v>64.877650000000003</v>
      </c>
      <c r="N14" s="184">
        <f>M14/L14*100</f>
        <v>79.099792733479646</v>
      </c>
      <c r="O14" s="184">
        <f>Але!C9</f>
        <v>0.88</v>
      </c>
      <c r="P14" s="184">
        <f>Але!D9</f>
        <v>0.55586999999999998</v>
      </c>
      <c r="Q14" s="184">
        <f>P14/O14*100</f>
        <v>63.167045454545459</v>
      </c>
      <c r="R14" s="184">
        <f>Але!C10</f>
        <v>136.99</v>
      </c>
      <c r="S14" s="184">
        <f>Але!D10</f>
        <v>98.353139999999996</v>
      </c>
      <c r="T14" s="184">
        <f>S14/R14*100</f>
        <v>71.795853711949775</v>
      </c>
      <c r="U14" s="184">
        <f>Але!C11</f>
        <v>0</v>
      </c>
      <c r="V14" s="184">
        <f>Але!D11</f>
        <v>-15.12509</v>
      </c>
      <c r="W14" s="184" t="e">
        <f>V14/U14*100</f>
        <v>#DIV/0!</v>
      </c>
      <c r="X14" s="186">
        <f>Але!C13</f>
        <v>5</v>
      </c>
      <c r="Y14" s="186">
        <f>Але!D13</f>
        <v>0</v>
      </c>
      <c r="Z14" s="184">
        <f>Y14/X14*100</f>
        <v>0</v>
      </c>
      <c r="AA14" s="186">
        <f>Але!C15</f>
        <v>40</v>
      </c>
      <c r="AB14" s="186">
        <f>Але!D15</f>
        <v>12.642569999999999</v>
      </c>
      <c r="AC14" s="184">
        <f>AB14/AA14*100</f>
        <v>31.606424999999998</v>
      </c>
      <c r="AD14" s="186">
        <f>Але!C16</f>
        <v>210</v>
      </c>
      <c r="AE14" s="186">
        <f>Але!D16</f>
        <v>94.179630000000003</v>
      </c>
      <c r="AF14" s="184">
        <f t="shared" ref="AF14:AF29" si="4">AE14/AD14*100</f>
        <v>44.847442857142859</v>
      </c>
      <c r="AG14" s="184">
        <f>Але!C18</f>
        <v>3</v>
      </c>
      <c r="AH14" s="184">
        <f>Але!D18</f>
        <v>3.7</v>
      </c>
      <c r="AI14" s="184">
        <f>AH14/AG14*100</f>
        <v>123.33333333333334</v>
      </c>
      <c r="AJ14" s="184"/>
      <c r="AK14" s="184"/>
      <c r="AL14" s="187" t="e">
        <f t="shared" ref="AL14:AL23" si="5">AK14/AJ14*100</f>
        <v>#DIV/0!</v>
      </c>
      <c r="AM14" s="186">
        <v>0</v>
      </c>
      <c r="AN14" s="186">
        <v>0</v>
      </c>
      <c r="AO14" s="187" t="e">
        <f t="shared" ref="AO14:AO29" si="6">AN14/AM14*100</f>
        <v>#DIV/0!</v>
      </c>
      <c r="AP14" s="186">
        <f>Але!C27</f>
        <v>56</v>
      </c>
      <c r="AQ14" s="186">
        <f>Але!D27</f>
        <v>0</v>
      </c>
      <c r="AR14" s="184">
        <f>AQ14/AP14*100</f>
        <v>0</v>
      </c>
      <c r="AS14" s="188">
        <f>Але!C28</f>
        <v>0</v>
      </c>
      <c r="AT14" s="186">
        <f>Але!D28</f>
        <v>0</v>
      </c>
      <c r="AU14" s="184" t="e">
        <f>AT14/AS14*100</f>
        <v>#DIV/0!</v>
      </c>
      <c r="AV14" s="186"/>
      <c r="AW14" s="186"/>
      <c r="AX14" s="184" t="e">
        <f>AW14/AV14*100</f>
        <v>#DIV/0!</v>
      </c>
      <c r="AY14" s="184">
        <f>Але!C29</f>
        <v>0</v>
      </c>
      <c r="AZ14" s="184">
        <f>Але!C30</f>
        <v>0</v>
      </c>
      <c r="BA14" s="184" t="e">
        <f>AZ14/AY14*100</f>
        <v>#DIV/0!</v>
      </c>
      <c r="BB14" s="184">
        <f>Але!C30</f>
        <v>0</v>
      </c>
      <c r="BC14" s="184">
        <f>Але!D30</f>
        <v>0</v>
      </c>
      <c r="BD14" s="184" t="e">
        <f>BC14/BB14*100</f>
        <v>#DIV/0!</v>
      </c>
      <c r="BE14" s="184">
        <f>Але!C32</f>
        <v>0</v>
      </c>
      <c r="BF14" s="184">
        <f>Але!D31</f>
        <v>0</v>
      </c>
      <c r="BG14" s="184" t="e">
        <f>BF14/BE14*100</f>
        <v>#DIV/0!</v>
      </c>
      <c r="BH14" s="184"/>
      <c r="BI14" s="184"/>
      <c r="BJ14" s="184" t="e">
        <f>BI14/BH14*100</f>
        <v>#DIV/0!</v>
      </c>
      <c r="BK14" s="184"/>
      <c r="BL14" s="184"/>
      <c r="BM14" s="184"/>
      <c r="BN14" s="184"/>
      <c r="BO14" s="223"/>
      <c r="BP14" s="184" t="e">
        <f>BO14/BN14*100</f>
        <v>#DIV/0!</v>
      </c>
      <c r="BQ14" s="184">
        <f>Але!C34</f>
        <v>0</v>
      </c>
      <c r="BR14" s="184">
        <f>Але!D35</f>
        <v>42.150399999999998</v>
      </c>
      <c r="BS14" s="184" t="e">
        <f>BR14/BQ14*100</f>
        <v>#DIV/0!</v>
      </c>
      <c r="BT14" s="184"/>
      <c r="BU14" s="184"/>
      <c r="BV14" s="189" t="e">
        <f>BT14/BU14*100</f>
        <v>#DIV/0!</v>
      </c>
      <c r="BW14" s="189"/>
      <c r="BX14" s="189"/>
      <c r="BY14" s="189" t="e">
        <f>BW14/BX14*100</f>
        <v>#DIV/0!</v>
      </c>
      <c r="BZ14" s="186">
        <f>CC14+CF14+CI14+CL14+CR14+CO14</f>
        <v>2672.2220000000002</v>
      </c>
      <c r="CA14" s="186">
        <f>CD14+CG14+CJ14+CM14+CS14+CP14+CV14</f>
        <v>2077.62041</v>
      </c>
      <c r="CB14" s="184">
        <f>CA14/BZ14*100</f>
        <v>77.748795197405002</v>
      </c>
      <c r="CC14" s="187">
        <f>Але!C39</f>
        <v>1200.0540000000001</v>
      </c>
      <c r="CD14" s="187">
        <f>Але!D39</f>
        <v>870.10199999999998</v>
      </c>
      <c r="CE14" s="184">
        <f>CD14/CC14*100</f>
        <v>72.5052372643231</v>
      </c>
      <c r="CF14" s="184">
        <f>Але!C40</f>
        <v>746.60500000000002</v>
      </c>
      <c r="CG14" s="184">
        <f>Але!D40</f>
        <v>585</v>
      </c>
      <c r="CH14" s="184">
        <f>CG14/CF14*100</f>
        <v>78.354685543225671</v>
      </c>
      <c r="CI14" s="184">
        <f>Але!C41</f>
        <v>512.58699999999999</v>
      </c>
      <c r="CJ14" s="184">
        <f>Але!D41</f>
        <v>432.38</v>
      </c>
      <c r="CK14" s="184">
        <f t="shared" ref="CK14:CK29" si="7">CJ14/CI14*100</f>
        <v>84.352509915389973</v>
      </c>
      <c r="CL14" s="184">
        <f>Але!C42</f>
        <v>72.975999999999999</v>
      </c>
      <c r="CM14" s="184">
        <f>Але!D42</f>
        <v>59.305999999999997</v>
      </c>
      <c r="CN14" s="184">
        <f t="shared" ref="CN14:CN31" si="8">CM14/CL14*100</f>
        <v>81.267814075860556</v>
      </c>
      <c r="CO14" s="184"/>
      <c r="CP14" s="184"/>
      <c r="CQ14" s="184"/>
      <c r="CR14" s="184">
        <f>Але!C43</f>
        <v>140</v>
      </c>
      <c r="CS14" s="184">
        <f>Але!D43</f>
        <v>133</v>
      </c>
      <c r="CT14" s="184">
        <f t="shared" ref="CT14:CT31" si="9">CS14/CR14*100</f>
        <v>95</v>
      </c>
      <c r="CU14" s="184"/>
      <c r="CV14" s="184">
        <f>Але!D45</f>
        <v>-2.1675900000000001</v>
      </c>
      <c r="CW14" s="184" t="e">
        <f>CV13:CV14/CU14*100</f>
        <v>#DIV/0!</v>
      </c>
      <c r="CX14" s="186"/>
      <c r="CY14" s="186"/>
      <c r="CZ14" s="184" t="e">
        <f>CY14/CX14*100</f>
        <v>#DIV/0!</v>
      </c>
      <c r="DA14" s="184"/>
      <c r="DB14" s="184"/>
      <c r="DC14" s="184"/>
      <c r="DD14" s="184"/>
      <c r="DE14" s="184"/>
      <c r="DF14" s="184"/>
      <c r="DG14" s="186">
        <f>DJ14+DY14+EB14+EE14+EH14+EK14+EN14+EQ14+ET14</f>
        <v>3288.7475400000003</v>
      </c>
      <c r="DH14" s="186">
        <f>DK14+DZ14+EC14+EF14+EI14+EL14+EO14+ER14+EU14</f>
        <v>2378.64464</v>
      </c>
      <c r="DI14" s="184">
        <f>DH14/DG14*100</f>
        <v>72.326763032713657</v>
      </c>
      <c r="DJ14" s="186">
        <f>DM14+DP14+DS14+DV14</f>
        <v>1072.2360000000001</v>
      </c>
      <c r="DK14" s="186">
        <f>DN14+DQ14+DT14+DW14</f>
        <v>685.08637999999996</v>
      </c>
      <c r="DL14" s="184">
        <f>DK14/DJ14*100</f>
        <v>63.893245516845163</v>
      </c>
      <c r="DM14" s="184">
        <f>Але!C54</f>
        <v>1064.854</v>
      </c>
      <c r="DN14" s="184">
        <f>Але!D54</f>
        <v>682.70488</v>
      </c>
      <c r="DO14" s="184">
        <f>DN14/DM14*100</f>
        <v>64.112533737019348</v>
      </c>
      <c r="DP14" s="184">
        <f>Але!C57</f>
        <v>0</v>
      </c>
      <c r="DQ14" s="184">
        <f>Але!D57</f>
        <v>0</v>
      </c>
      <c r="DR14" s="184" t="e">
        <f>DQ14/DP14*100</f>
        <v>#DIV/0!</v>
      </c>
      <c r="DS14" s="184">
        <f>Але!C58</f>
        <v>5</v>
      </c>
      <c r="DT14" s="184">
        <f>Але!D58</f>
        <v>0</v>
      </c>
      <c r="DU14" s="184">
        <f>DT14/DS14*100</f>
        <v>0</v>
      </c>
      <c r="DV14" s="184">
        <f>Але!C59</f>
        <v>2.3820000000000001</v>
      </c>
      <c r="DW14" s="184">
        <f>Але!D59</f>
        <v>2.3815</v>
      </c>
      <c r="DX14" s="184">
        <f>DW14/DV14*100</f>
        <v>99.979009235936175</v>
      </c>
      <c r="DY14" s="184">
        <f>Але!C61</f>
        <v>70.596000000000004</v>
      </c>
      <c r="DZ14" s="184">
        <f>Але!D61</f>
        <v>48.521500000000003</v>
      </c>
      <c r="EA14" s="184">
        <f>DZ14/DY14*100</f>
        <v>68.73123123123122</v>
      </c>
      <c r="EB14" s="184">
        <f>Але!C62</f>
        <v>3.9</v>
      </c>
      <c r="EC14" s="184">
        <f>Але!D62</f>
        <v>2.80287</v>
      </c>
      <c r="ED14" s="184">
        <f>EC14/EB14*100</f>
        <v>71.868461538461531</v>
      </c>
      <c r="EE14" s="186">
        <f>Але!C67</f>
        <v>1015.40454</v>
      </c>
      <c r="EF14" s="186">
        <f>Але!D67</f>
        <v>720.63467000000003</v>
      </c>
      <c r="EG14" s="184">
        <f>EF14/EE14*100</f>
        <v>70.9702036589279</v>
      </c>
      <c r="EH14" s="186">
        <f>Але!C72</f>
        <v>256.11099999999999</v>
      </c>
      <c r="EI14" s="186">
        <f>Але!D72</f>
        <v>172.11322000000001</v>
      </c>
      <c r="EJ14" s="184">
        <f>EI14/EH14*100</f>
        <v>67.202587940385229</v>
      </c>
      <c r="EK14" s="186">
        <f>Але!C76</f>
        <v>865.5</v>
      </c>
      <c r="EL14" s="190">
        <f>Але!D76</f>
        <v>749.48599999999999</v>
      </c>
      <c r="EM14" s="184">
        <f t="shared" ref="EM14:EM29" si="10">EL14/EK14*100</f>
        <v>86.595725014442522</v>
      </c>
      <c r="EN14" s="184">
        <f>Але!C78</f>
        <v>0</v>
      </c>
      <c r="EO14" s="184">
        <f>Але!D78</f>
        <v>0</v>
      </c>
      <c r="EP14" s="184" t="e">
        <f t="shared" ref="EP14:EP29" si="11">EO14/EN14*100</f>
        <v>#DIV/0!</v>
      </c>
      <c r="EQ14" s="185">
        <f>Але!C83</f>
        <v>5</v>
      </c>
      <c r="ER14" s="185">
        <f>Але!D83</f>
        <v>0</v>
      </c>
      <c r="ES14" s="184">
        <f>ER14/EQ14*100</f>
        <v>0</v>
      </c>
      <c r="ET14" s="184">
        <f>Але!C89</f>
        <v>0</v>
      </c>
      <c r="EU14" s="184">
        <f>Але!D89</f>
        <v>0</v>
      </c>
      <c r="EV14" s="184" t="e">
        <f>EU14/ET14*100</f>
        <v>#DIV/0!</v>
      </c>
      <c r="EW14" s="191">
        <f t="shared" ref="EW14:EW29" si="12">SUM(C14-DG14)</f>
        <v>-23.635540000000219</v>
      </c>
      <c r="EX14" s="191">
        <f t="shared" ref="EX14:EX29" si="13">SUM(D14-DH14)</f>
        <v>41.785640000000058</v>
      </c>
      <c r="EY14" s="184">
        <f>EX14/EW14*100%</f>
        <v>-1.7679156050591469</v>
      </c>
      <c r="EZ14" s="192"/>
      <c r="FA14" s="193"/>
      <c r="FC14" s="193"/>
    </row>
    <row r="15" spans="1:159" s="199" customFormat="1" ht="15" customHeight="1">
      <c r="A15" s="181">
        <v>2</v>
      </c>
      <c r="B15" s="194" t="s">
        <v>305</v>
      </c>
      <c r="C15" s="183">
        <f t="shared" ref="C15:C29" si="14">F15+BZ15</f>
        <v>10063.875</v>
      </c>
      <c r="D15" s="287">
        <f>G15+CA15+CY15</f>
        <v>6567.1087000000007</v>
      </c>
      <c r="E15" s="187">
        <f t="shared" si="1"/>
        <v>65.254275316416397</v>
      </c>
      <c r="F15" s="185">
        <f t="shared" si="2"/>
        <v>3711.2200000000003</v>
      </c>
      <c r="G15" s="185">
        <f>J15+Y15+AB15+AE15+AH15+AN15+AT15+BF15+AK15+BR15+BO15+AZ15+M15+S15+P15+V15+AQ15</f>
        <v>2059.4077300000004</v>
      </c>
      <c r="H15" s="187">
        <f t="shared" ref="H15:H29" si="15">G15/F15*100</f>
        <v>55.49139447405436</v>
      </c>
      <c r="I15" s="195">
        <f>Сун!C6</f>
        <v>482.9</v>
      </c>
      <c r="J15" s="195">
        <f>Сун!D6</f>
        <v>267.31795</v>
      </c>
      <c r="K15" s="187">
        <f t="shared" ref="K15:K29" si="16">J15/I15*100</f>
        <v>55.356792296541727</v>
      </c>
      <c r="L15" s="187">
        <f>Сун!C8</f>
        <v>208.63</v>
      </c>
      <c r="M15" s="187">
        <f>Сун!D8</f>
        <v>165.02858000000001</v>
      </c>
      <c r="N15" s="184">
        <f t="shared" ref="N15:N29" si="17">M15/L15*100</f>
        <v>79.101078464266877</v>
      </c>
      <c r="O15" s="184">
        <f>Сун!C9</f>
        <v>2.2000000000000002</v>
      </c>
      <c r="P15" s="184">
        <f>Сун!D9</f>
        <v>1.41401</v>
      </c>
      <c r="Q15" s="184">
        <f t="shared" ref="Q15:Q29" si="18">P15/O15*100</f>
        <v>64.273181818181811</v>
      </c>
      <c r="R15" s="184">
        <f>Сун!C10</f>
        <v>348.49</v>
      </c>
      <c r="S15" s="184">
        <f>Сун!D10</f>
        <v>250.17977999999999</v>
      </c>
      <c r="T15" s="184">
        <f t="shared" ref="T15:T29" si="19">S15/R15*100</f>
        <v>71.789658239834708</v>
      </c>
      <c r="U15" s="184">
        <f>Сун!C11</f>
        <v>0</v>
      </c>
      <c r="V15" s="184">
        <f>Сун!D11</f>
        <v>-38.473559999999999</v>
      </c>
      <c r="W15" s="184" t="e">
        <f t="shared" ref="W15:W29" si="20">V15/U15*100</f>
        <v>#DIV/0!</v>
      </c>
      <c r="X15" s="195">
        <f>Сун!C13</f>
        <v>40</v>
      </c>
      <c r="Y15" s="195">
        <f>Сун!D13</f>
        <v>23.733000000000001</v>
      </c>
      <c r="Z15" s="187">
        <f t="shared" ref="Z15:Z29" si="21">Y15/X15*100</f>
        <v>59.332499999999996</v>
      </c>
      <c r="AA15" s="195">
        <f>Сун!C15</f>
        <v>295</v>
      </c>
      <c r="AB15" s="195">
        <f>Сун!D15</f>
        <v>103.58687999999999</v>
      </c>
      <c r="AC15" s="187">
        <f t="shared" ref="AC15:AC29" si="22">AB15/AA15*100</f>
        <v>35.114196610169493</v>
      </c>
      <c r="AD15" s="195">
        <f>Сун!C16</f>
        <v>1250</v>
      </c>
      <c r="AE15" s="195">
        <f>Сун!D16</f>
        <v>493.83875999999998</v>
      </c>
      <c r="AF15" s="187">
        <f t="shared" si="4"/>
        <v>39.507100800000003</v>
      </c>
      <c r="AG15" s="187">
        <f>Сун!C18</f>
        <v>12</v>
      </c>
      <c r="AH15" s="187">
        <f>Сун!D18</f>
        <v>9.0749999999999993</v>
      </c>
      <c r="AI15" s="187">
        <f t="shared" ref="AI15:AI31" si="23">AH15/AG15*100</f>
        <v>75.625</v>
      </c>
      <c r="AJ15" s="187"/>
      <c r="AK15" s="187"/>
      <c r="AL15" s="187" t="e">
        <f t="shared" si="5"/>
        <v>#DIV/0!</v>
      </c>
      <c r="AM15" s="195">
        <f>Сун!C27</f>
        <v>0</v>
      </c>
      <c r="AN15" s="195">
        <f>Сун!D27</f>
        <v>0</v>
      </c>
      <c r="AO15" s="187" t="e">
        <f t="shared" si="6"/>
        <v>#DIV/0!</v>
      </c>
      <c r="AP15" s="195">
        <f>Сун!C28</f>
        <v>200</v>
      </c>
      <c r="AQ15" s="195">
        <f>Сун!D28</f>
        <v>28.4</v>
      </c>
      <c r="AR15" s="187">
        <f t="shared" ref="AR15:AR29" si="24">AQ15/AP15*100</f>
        <v>14.2</v>
      </c>
      <c r="AS15" s="188">
        <f>Сун!C29</f>
        <v>86</v>
      </c>
      <c r="AT15" s="195">
        <f>Сун!D29</f>
        <v>10.115</v>
      </c>
      <c r="AU15" s="187">
        <f t="shared" ref="AU15:AU29" si="25">AT15/AS15*100</f>
        <v>11.761627906976745</v>
      </c>
      <c r="AV15" s="195"/>
      <c r="AW15" s="195"/>
      <c r="AX15" s="187" t="e">
        <f t="shared" ref="AX15:AX29" si="26">AW15/AV15*100</f>
        <v>#DIV/0!</v>
      </c>
      <c r="AY15" s="187">
        <f>Сун!C31</f>
        <v>200</v>
      </c>
      <c r="AZ15" s="187">
        <f>Сун!D31</f>
        <v>153.99233000000001</v>
      </c>
      <c r="BA15" s="187">
        <f t="shared" ref="BA15:BA31" si="27">AZ15/AY15*100</f>
        <v>76.996165000000005</v>
      </c>
      <c r="BB15" s="187"/>
      <c r="BC15" s="187"/>
      <c r="BD15" s="187"/>
      <c r="BE15" s="187">
        <f>Сун!C32</f>
        <v>586</v>
      </c>
      <c r="BF15" s="187">
        <f>Сун!D32</f>
        <v>591.20000000000005</v>
      </c>
      <c r="BG15" s="187">
        <f t="shared" ref="BG15:BG31" si="28">BF15/BE15*100</f>
        <v>100.88737201365188</v>
      </c>
      <c r="BH15" s="187"/>
      <c r="BI15" s="187"/>
      <c r="BJ15" s="187" t="e">
        <f t="shared" ref="BJ15:BJ29" si="29">BI15/BH15*100</f>
        <v>#DIV/0!</v>
      </c>
      <c r="BK15" s="187">
        <f>Сун!C35</f>
        <v>0</v>
      </c>
      <c r="BL15" s="187">
        <f>Сун!D35</f>
        <v>0</v>
      </c>
      <c r="BM15" s="187"/>
      <c r="BN15" s="187">
        <f>Сун!C35</f>
        <v>0</v>
      </c>
      <c r="BO15" s="361">
        <f>Сун!D35</f>
        <v>0</v>
      </c>
      <c r="BP15" s="187" t="e">
        <f t="shared" ref="BP15:BP29" si="30">BO15/BN15*100</f>
        <v>#DIV/0!</v>
      </c>
      <c r="BQ15" s="187">
        <f>Сун!C37</f>
        <v>0</v>
      </c>
      <c r="BR15" s="187">
        <f>Сун!D37</f>
        <v>0</v>
      </c>
      <c r="BS15" s="187" t="e">
        <f t="shared" ref="BS15:BS29" si="31">BR15/BQ15*100</f>
        <v>#DIV/0!</v>
      </c>
      <c r="BT15" s="187"/>
      <c r="BU15" s="187"/>
      <c r="BV15" s="196" t="e">
        <f t="shared" ref="BV15:BV29" si="32">BT15/BU15*100</f>
        <v>#DIV/0!</v>
      </c>
      <c r="BW15" s="196"/>
      <c r="BX15" s="196"/>
      <c r="BY15" s="196" t="e">
        <f t="shared" ref="BY15:BY29" si="33">BW15/BX15*100</f>
        <v>#DIV/0!</v>
      </c>
      <c r="BZ15" s="186">
        <f t="shared" ref="BZ15:BZ29" si="34">CC15+CF15+CI15+CL15+CR15+CO15</f>
        <v>6352.6549999999997</v>
      </c>
      <c r="CA15" s="186">
        <f t="shared" ref="CA15:CA29" si="35">CD15+CG15+CJ15+CM15+CS15+CP15+CV15</f>
        <v>4507.7009699999999</v>
      </c>
      <c r="CB15" s="187">
        <f>CA15/BZ15*100</f>
        <v>70.957748689327531</v>
      </c>
      <c r="CC15" s="187">
        <f>Сун!C42</f>
        <v>3556.511</v>
      </c>
      <c r="CD15" s="187">
        <f>Сун!D42</f>
        <v>2661.2429999999999</v>
      </c>
      <c r="CE15" s="187">
        <f t="shared" ref="CE15:CE29" si="36">CD15/CC15*100</f>
        <v>74.82735186254169</v>
      </c>
      <c r="CF15" s="187">
        <f>Сун!C43</f>
        <v>0</v>
      </c>
      <c r="CG15" s="187">
        <f>Сун!D43</f>
        <v>0</v>
      </c>
      <c r="CH15" s="187" t="e">
        <f t="shared" ref="CH15:CH29" si="37">CG15/CF15*100</f>
        <v>#DIV/0!</v>
      </c>
      <c r="CI15" s="238">
        <f>Сун!C44</f>
        <v>2232.3000000000002</v>
      </c>
      <c r="CJ15" s="187">
        <f>Сун!D44</f>
        <v>1311.752</v>
      </c>
      <c r="CK15" s="187">
        <f t="shared" si="7"/>
        <v>58.762352730367773</v>
      </c>
      <c r="CL15" s="187">
        <f>Сун!C46</f>
        <v>154.24100000000001</v>
      </c>
      <c r="CM15" s="187">
        <f>Сун!D46</f>
        <v>125.105</v>
      </c>
      <c r="CN15" s="187">
        <f t="shared" si="8"/>
        <v>81.110080977172089</v>
      </c>
      <c r="CO15" s="187">
        <f>Сун!C47</f>
        <v>0</v>
      </c>
      <c r="CP15" s="187">
        <f>Сун!D47</f>
        <v>0</v>
      </c>
      <c r="CQ15" s="187" t="e">
        <f>CP15/CO15*100</f>
        <v>#DIV/0!</v>
      </c>
      <c r="CR15" s="187">
        <f>Сун!C48</f>
        <v>409.60300000000001</v>
      </c>
      <c r="CS15" s="187">
        <f>Сун!D48</f>
        <v>409.60097000000002</v>
      </c>
      <c r="CT15" s="187">
        <f t="shared" si="9"/>
        <v>99.99950439816115</v>
      </c>
      <c r="CU15" s="187"/>
      <c r="CV15" s="187"/>
      <c r="CW15" s="187"/>
      <c r="CX15" s="195"/>
      <c r="CY15" s="195"/>
      <c r="CZ15" s="187" t="e">
        <f t="shared" ref="CZ15:CZ29" si="38">CY15/CX15*100</f>
        <v>#DIV/0!</v>
      </c>
      <c r="DA15" s="187"/>
      <c r="DB15" s="187"/>
      <c r="DC15" s="187"/>
      <c r="DD15" s="187"/>
      <c r="DE15" s="187"/>
      <c r="DF15" s="187"/>
      <c r="DG15" s="195">
        <f>DJ15+DY15+EB15+EE15+EH15+EK15+EN15+EQ15+ET15</f>
        <v>10165.44555</v>
      </c>
      <c r="DH15" s="195">
        <f t="shared" ref="DG15:DH29" si="39">DK15+DZ15+EC15+EF15+EI15+EL15+EO15+ER15+EU15</f>
        <v>6500.8447200000001</v>
      </c>
      <c r="DI15" s="187">
        <f t="shared" ref="DI15:DI29" si="40">DH15/DG15*100</f>
        <v>63.950416024804738</v>
      </c>
      <c r="DJ15" s="195">
        <f>DM15+DP15+DS15+DV15</f>
        <v>1851.9180000000001</v>
      </c>
      <c r="DK15" s="195">
        <f t="shared" ref="DJ15:DK29" si="41">DN15+DQ15+DT15+DW15</f>
        <v>1051.3605399999999</v>
      </c>
      <c r="DL15" s="187">
        <f t="shared" ref="DL15:DL29" si="42">DK15/DJ15*100</f>
        <v>56.771441284117316</v>
      </c>
      <c r="DM15" s="187">
        <f>Сун!C59</f>
        <v>1840.8510000000001</v>
      </c>
      <c r="DN15" s="187">
        <f>Сун!D59</f>
        <v>1045.2935399999999</v>
      </c>
      <c r="DO15" s="187">
        <f t="shared" ref="DO15:DO29" si="43">DN15/DM15*100</f>
        <v>56.783169305935118</v>
      </c>
      <c r="DP15" s="187">
        <f>Сун!C62</f>
        <v>0</v>
      </c>
      <c r="DQ15" s="187">
        <f>Сун!D62</f>
        <v>0</v>
      </c>
      <c r="DR15" s="187" t="e">
        <f t="shared" ref="DR15:DR29" si="44">DQ15/DP15*100</f>
        <v>#DIV/0!</v>
      </c>
      <c r="DS15" s="187">
        <f>Сун!C63</f>
        <v>5</v>
      </c>
      <c r="DT15" s="187">
        <f>Сун!D63</f>
        <v>0</v>
      </c>
      <c r="DU15" s="187">
        <f t="shared" ref="DU15:DU29" si="45">DT15/DS15*100</f>
        <v>0</v>
      </c>
      <c r="DV15" s="187">
        <f>Сун!C64</f>
        <v>6.0670000000000002</v>
      </c>
      <c r="DW15" s="187">
        <f>Сун!D64</f>
        <v>6.0670000000000002</v>
      </c>
      <c r="DX15" s="187">
        <f t="shared" ref="DX15:DX29" si="46">DW15/DV15*100</f>
        <v>100</v>
      </c>
      <c r="DY15" s="187">
        <f>Сун!C66</f>
        <v>150.881</v>
      </c>
      <c r="DZ15" s="187">
        <f>Сун!D66</f>
        <v>95.171859999999995</v>
      </c>
      <c r="EA15" s="187">
        <f t="shared" ref="EA15:EA31" si="47">DZ15/DY15*100</f>
        <v>63.077431883404799</v>
      </c>
      <c r="EB15" s="187">
        <f>Сун!C67</f>
        <v>4</v>
      </c>
      <c r="EC15" s="187">
        <f>Сун!D67</f>
        <v>2</v>
      </c>
      <c r="ED15" s="187">
        <f t="shared" ref="ED15:ED31" si="48">EC15/EB15*100</f>
        <v>50</v>
      </c>
      <c r="EE15" s="195">
        <f>Сун!C72</f>
        <v>3322.8085499999997</v>
      </c>
      <c r="EF15" s="195">
        <f>Сун!D72</f>
        <v>2901.1199099999999</v>
      </c>
      <c r="EG15" s="187">
        <f t="shared" ref="EG15:EG29" si="49">EF15/EE15*100</f>
        <v>87.309270646965203</v>
      </c>
      <c r="EH15" s="195">
        <f>Сун!C77</f>
        <v>1148.07</v>
      </c>
      <c r="EI15" s="195">
        <f>Сун!D77</f>
        <v>400.05903999999998</v>
      </c>
      <c r="EJ15" s="187">
        <f t="shared" ref="EJ15:EJ29" si="50">EI15/EH15*100</f>
        <v>34.846223662320241</v>
      </c>
      <c r="EK15" s="195">
        <f>Сун!C82</f>
        <v>3662.768</v>
      </c>
      <c r="EL15" s="197">
        <f>Сун!D82</f>
        <v>2033.7083700000001</v>
      </c>
      <c r="EM15" s="187">
        <f t="shared" si="10"/>
        <v>55.523810680883969</v>
      </c>
      <c r="EN15" s="187">
        <f>Сун!C85</f>
        <v>5</v>
      </c>
      <c r="EO15" s="187">
        <f>Сун!D85</f>
        <v>5</v>
      </c>
      <c r="EP15" s="187">
        <f t="shared" si="11"/>
        <v>100</v>
      </c>
      <c r="EQ15" s="198">
        <f>Сун!C90</f>
        <v>20</v>
      </c>
      <c r="ER15" s="198">
        <f>Сун!D90</f>
        <v>12.425000000000001</v>
      </c>
      <c r="ES15" s="187">
        <f t="shared" ref="ES15:ES29" si="51">ER15/EQ15*100</f>
        <v>62.125000000000007</v>
      </c>
      <c r="ET15" s="187">
        <f>Сун!C96</f>
        <v>0</v>
      </c>
      <c r="EU15" s="187">
        <f>Сун!D96</f>
        <v>0</v>
      </c>
      <c r="EV15" s="184" t="e">
        <f>EU15/ET15*100</f>
        <v>#DIV/0!</v>
      </c>
      <c r="EW15" s="191">
        <f t="shared" si="12"/>
        <v>-101.57055000000037</v>
      </c>
      <c r="EX15" s="191">
        <f t="shared" si="13"/>
        <v>66.263980000000629</v>
      </c>
      <c r="EY15" s="184">
        <f>EX15/EW15*100%</f>
        <v>-0.65239363181552512</v>
      </c>
      <c r="EZ15" s="192"/>
      <c r="FA15" s="193"/>
      <c r="FC15" s="193"/>
    </row>
    <row r="16" spans="1:159" s="169" customFormat="1" ht="15" customHeight="1">
      <c r="A16" s="181">
        <v>3</v>
      </c>
      <c r="B16" s="194" t="s">
        <v>306</v>
      </c>
      <c r="C16" s="287">
        <f t="shared" si="14"/>
        <v>11333.779390000002</v>
      </c>
      <c r="D16" s="287">
        <f t="shared" si="0"/>
        <v>2695.0534400000001</v>
      </c>
      <c r="E16" s="187">
        <f t="shared" si="1"/>
        <v>23.778947403704493</v>
      </c>
      <c r="F16" s="185">
        <f t="shared" si="2"/>
        <v>1783.25</v>
      </c>
      <c r="G16" s="185">
        <f t="shared" si="3"/>
        <v>869.46644000000003</v>
      </c>
      <c r="H16" s="187">
        <f t="shared" si="15"/>
        <v>48.757405860086919</v>
      </c>
      <c r="I16" s="294">
        <f>Иль!C6</f>
        <v>82.1</v>
      </c>
      <c r="J16" s="294">
        <f>Иль!D6</f>
        <v>60.379530000000003</v>
      </c>
      <c r="K16" s="187">
        <f t="shared" si="16"/>
        <v>73.543885505481128</v>
      </c>
      <c r="L16" s="187">
        <f>Иль!C8</f>
        <v>222.96</v>
      </c>
      <c r="M16" s="187">
        <f>Иль!D8</f>
        <v>176.36641</v>
      </c>
      <c r="N16" s="184">
        <f t="shared" si="17"/>
        <v>79.102264980265517</v>
      </c>
      <c r="O16" s="184">
        <f>Иль!C9</f>
        <v>2.4</v>
      </c>
      <c r="P16" s="184">
        <f>Иль!D9</f>
        <v>1.5111699999999999</v>
      </c>
      <c r="Q16" s="184">
        <f t="shared" si="18"/>
        <v>62.965416666666663</v>
      </c>
      <c r="R16" s="184">
        <f>Иль!C10</f>
        <v>372.39</v>
      </c>
      <c r="S16" s="184">
        <f>Иль!D10</f>
        <v>267.36774000000003</v>
      </c>
      <c r="T16" s="184">
        <f t="shared" si="19"/>
        <v>71.797776524611294</v>
      </c>
      <c r="U16" s="184">
        <f>Иль!C11</f>
        <v>0</v>
      </c>
      <c r="V16" s="184">
        <f>Иль!D11</f>
        <v>-41.116779999999999</v>
      </c>
      <c r="W16" s="184" t="e">
        <f t="shared" si="20"/>
        <v>#DIV/0!</v>
      </c>
      <c r="X16" s="195">
        <f>Иль!C13</f>
        <v>10</v>
      </c>
      <c r="Y16" s="195">
        <f>Иль!D13</f>
        <v>3.0432000000000001</v>
      </c>
      <c r="Z16" s="187">
        <f t="shared" si="21"/>
        <v>30.432000000000002</v>
      </c>
      <c r="AA16" s="195">
        <f>Иль!C15</f>
        <v>183.4</v>
      </c>
      <c r="AB16" s="195">
        <f>Иль!D15</f>
        <v>62.471710000000002</v>
      </c>
      <c r="AC16" s="187">
        <f t="shared" si="22"/>
        <v>34.063091603053437</v>
      </c>
      <c r="AD16" s="195">
        <f>Иль!C16</f>
        <v>785</v>
      </c>
      <c r="AE16" s="195">
        <f>Иль!D16</f>
        <v>306.84429999999998</v>
      </c>
      <c r="AF16" s="187">
        <f t="shared" si="4"/>
        <v>39.088445859872607</v>
      </c>
      <c r="AG16" s="187">
        <f>Иль!C18</f>
        <v>5</v>
      </c>
      <c r="AH16" s="187">
        <f>Иль!D18</f>
        <v>0</v>
      </c>
      <c r="AI16" s="187">
        <f t="shared" si="23"/>
        <v>0</v>
      </c>
      <c r="AJ16" s="187"/>
      <c r="AK16" s="187"/>
      <c r="AL16" s="187" t="e">
        <f t="shared" si="5"/>
        <v>#DIV/0!</v>
      </c>
      <c r="AM16" s="195">
        <f>Иль!C27</f>
        <v>0</v>
      </c>
      <c r="AN16" s="195">
        <f>Иль!D27</f>
        <v>0</v>
      </c>
      <c r="AO16" s="187" t="e">
        <f t="shared" si="6"/>
        <v>#DIV/0!</v>
      </c>
      <c r="AP16" s="195">
        <f>Иль!C28</f>
        <v>100</v>
      </c>
      <c r="AQ16" s="195">
        <f>Иль!D28</f>
        <v>12.19796</v>
      </c>
      <c r="AR16" s="187">
        <f t="shared" si="24"/>
        <v>12.19796</v>
      </c>
      <c r="AS16" s="188">
        <f>Иль!C29</f>
        <v>20</v>
      </c>
      <c r="AT16" s="195">
        <f>Иль!D29</f>
        <v>20.401199999999999</v>
      </c>
      <c r="AU16" s="187">
        <f t="shared" si="25"/>
        <v>102.006</v>
      </c>
      <c r="AV16" s="195"/>
      <c r="AW16" s="195"/>
      <c r="AX16" s="187" t="e">
        <f t="shared" si="26"/>
        <v>#DIV/0!</v>
      </c>
      <c r="AY16" s="187"/>
      <c r="AZ16" s="187"/>
      <c r="BA16" s="187" t="e">
        <f t="shared" si="27"/>
        <v>#DIV/0!</v>
      </c>
      <c r="BB16" s="187"/>
      <c r="BC16" s="187"/>
      <c r="BD16" s="187"/>
      <c r="BE16" s="187">
        <f>Иль!C34</f>
        <v>0</v>
      </c>
      <c r="BF16" s="187">
        <f>Иль!D34</f>
        <v>0</v>
      </c>
      <c r="BG16" s="187" t="e">
        <f t="shared" si="28"/>
        <v>#DIV/0!</v>
      </c>
      <c r="BH16" s="187"/>
      <c r="BI16" s="187"/>
      <c r="BJ16" s="187" t="e">
        <f t="shared" si="29"/>
        <v>#DIV/0!</v>
      </c>
      <c r="BK16" s="187"/>
      <c r="BL16" s="187"/>
      <c r="BM16" s="187"/>
      <c r="BN16" s="187"/>
      <c r="BO16" s="361">
        <f>Иль!D35</f>
        <v>0</v>
      </c>
      <c r="BP16" s="187" t="e">
        <f t="shared" si="30"/>
        <v>#DIV/0!</v>
      </c>
      <c r="BQ16" s="187">
        <v>0</v>
      </c>
      <c r="BR16" s="187">
        <f>Иль!D37</f>
        <v>0</v>
      </c>
      <c r="BS16" s="187" t="e">
        <f t="shared" si="31"/>
        <v>#DIV/0!</v>
      </c>
      <c r="BT16" s="187"/>
      <c r="BU16" s="187"/>
      <c r="BV16" s="196" t="e">
        <f t="shared" si="32"/>
        <v>#DIV/0!</v>
      </c>
      <c r="BW16" s="196"/>
      <c r="BX16" s="196"/>
      <c r="BY16" s="196" t="e">
        <f t="shared" si="33"/>
        <v>#DIV/0!</v>
      </c>
      <c r="BZ16" s="186">
        <f t="shared" si="34"/>
        <v>9550.5293900000015</v>
      </c>
      <c r="CA16" s="186">
        <f t="shared" si="35"/>
        <v>1825.5870000000002</v>
      </c>
      <c r="CB16" s="187">
        <f>CA16/BZ16*100</f>
        <v>19.115034627415557</v>
      </c>
      <c r="CC16" s="187">
        <f>Иль!C42</f>
        <v>1972.912</v>
      </c>
      <c r="CD16" s="187">
        <f>Иль!D42</f>
        <v>1464.9580000000001</v>
      </c>
      <c r="CE16" s="187">
        <f t="shared" si="36"/>
        <v>74.253590631513219</v>
      </c>
      <c r="CF16" s="187">
        <f>Иль!C43</f>
        <v>320</v>
      </c>
      <c r="CG16" s="187">
        <f>Иль!D43</f>
        <v>50</v>
      </c>
      <c r="CH16" s="187">
        <f t="shared" si="37"/>
        <v>15.625</v>
      </c>
      <c r="CI16" s="184">
        <f>Иль!C44</f>
        <v>6990.0543900000002</v>
      </c>
      <c r="CJ16" s="187">
        <f>Иль!D44</f>
        <v>72.200999999999993</v>
      </c>
      <c r="CK16" s="187">
        <f t="shared" si="7"/>
        <v>1.0329104177399682</v>
      </c>
      <c r="CL16" s="187">
        <f>Иль!C46</f>
        <v>154.24</v>
      </c>
      <c r="CM16" s="187">
        <f>Иль!D46</f>
        <v>125.105</v>
      </c>
      <c r="CN16" s="187">
        <f t="shared" si="8"/>
        <v>81.110606846473033</v>
      </c>
      <c r="CO16" s="187">
        <f>Иль!C47</f>
        <v>0</v>
      </c>
      <c r="CP16" s="187">
        <f>Иль!D47</f>
        <v>0</v>
      </c>
      <c r="CQ16" s="187"/>
      <c r="CR16" s="187">
        <f>Иль!C51</f>
        <v>113.32299999999999</v>
      </c>
      <c r="CS16" s="187">
        <f>Иль!D51</f>
        <v>113.32299999999999</v>
      </c>
      <c r="CT16" s="187">
        <f t="shared" si="9"/>
        <v>100</v>
      </c>
      <c r="CU16" s="187"/>
      <c r="CV16" s="187"/>
      <c r="CW16" s="187"/>
      <c r="CX16" s="195"/>
      <c r="CY16" s="195"/>
      <c r="CZ16" s="187" t="e">
        <f t="shared" si="38"/>
        <v>#DIV/0!</v>
      </c>
      <c r="DA16" s="187"/>
      <c r="DB16" s="187"/>
      <c r="DC16" s="187"/>
      <c r="DD16" s="187"/>
      <c r="DE16" s="187"/>
      <c r="DF16" s="187">
        <v>0</v>
      </c>
      <c r="DG16" s="195">
        <f t="shared" si="39"/>
        <v>11444.59801</v>
      </c>
      <c r="DH16" s="195">
        <f t="shared" si="39"/>
        <v>2338.69425</v>
      </c>
      <c r="DI16" s="187">
        <f t="shared" si="40"/>
        <v>20.434918272852471</v>
      </c>
      <c r="DJ16" s="195">
        <f t="shared" si="41"/>
        <v>1298.712</v>
      </c>
      <c r="DK16" s="195">
        <f t="shared" si="41"/>
        <v>855.32187999999996</v>
      </c>
      <c r="DL16" s="187">
        <f t="shared" si="42"/>
        <v>65.859242079845259</v>
      </c>
      <c r="DM16" s="187">
        <f>Иль!C59</f>
        <v>1265.029</v>
      </c>
      <c r="DN16" s="187">
        <f>Иль!D59</f>
        <v>830.29337999999996</v>
      </c>
      <c r="DO16" s="187">
        <f t="shared" si="43"/>
        <v>65.634335655546238</v>
      </c>
      <c r="DP16" s="187">
        <f>Иль!C62</f>
        <v>0</v>
      </c>
      <c r="DQ16" s="187">
        <f>Иль!D62</f>
        <v>0</v>
      </c>
      <c r="DR16" s="187" t="e">
        <f t="shared" si="44"/>
        <v>#DIV/0!</v>
      </c>
      <c r="DS16" s="187">
        <f>Иль!C63</f>
        <v>5</v>
      </c>
      <c r="DT16" s="187">
        <f>Иль!D63</f>
        <v>0</v>
      </c>
      <c r="DU16" s="187">
        <f t="shared" si="45"/>
        <v>0</v>
      </c>
      <c r="DV16" s="187">
        <f>Иль!C64</f>
        <v>28.683</v>
      </c>
      <c r="DW16" s="187">
        <f>Иль!D64</f>
        <v>25.028500000000001</v>
      </c>
      <c r="DX16" s="187">
        <f t="shared" si="46"/>
        <v>87.25900359097723</v>
      </c>
      <c r="DY16" s="187">
        <f>Иль!C66</f>
        <v>150.881</v>
      </c>
      <c r="DZ16" s="187">
        <f>Иль!D66</f>
        <v>96.731999999999999</v>
      </c>
      <c r="EA16" s="187">
        <f t="shared" si="47"/>
        <v>64.111452071500054</v>
      </c>
      <c r="EB16" s="187">
        <f>Иль!C67</f>
        <v>7.6</v>
      </c>
      <c r="EC16" s="187">
        <f>Иль!D67</f>
        <v>2.4700000000000002</v>
      </c>
      <c r="ED16" s="187">
        <f t="shared" si="48"/>
        <v>32.500000000000007</v>
      </c>
      <c r="EE16" s="195">
        <f>Иль!C72</f>
        <v>1935.0906200000002</v>
      </c>
      <c r="EF16" s="195">
        <f>Иль!D72</f>
        <v>352.3</v>
      </c>
      <c r="EG16" s="187">
        <f t="shared" si="49"/>
        <v>18.205865728396738</v>
      </c>
      <c r="EH16" s="195">
        <f>Иль!C79</f>
        <v>6684.9143899999999</v>
      </c>
      <c r="EI16" s="195">
        <f>Иль!D79</f>
        <v>135.43883</v>
      </c>
      <c r="EJ16" s="187">
        <f t="shared" si="50"/>
        <v>2.026036865970994</v>
      </c>
      <c r="EK16" s="195">
        <f>Иль!C83</f>
        <v>1357.4</v>
      </c>
      <c r="EL16" s="197">
        <f>Иль!D83</f>
        <v>894.90153999999995</v>
      </c>
      <c r="EM16" s="187">
        <f t="shared" si="10"/>
        <v>65.927621924266973</v>
      </c>
      <c r="EN16" s="187">
        <f>Иль!C85</f>
        <v>0</v>
      </c>
      <c r="EO16" s="187">
        <f>Иль!D85</f>
        <v>0</v>
      </c>
      <c r="EP16" s="187" t="e">
        <f t="shared" si="11"/>
        <v>#DIV/0!</v>
      </c>
      <c r="EQ16" s="198">
        <f>Иль!C90</f>
        <v>10</v>
      </c>
      <c r="ER16" s="198">
        <f>Иль!D90</f>
        <v>1.53</v>
      </c>
      <c r="ES16" s="187">
        <f t="shared" si="51"/>
        <v>15.299999999999999</v>
      </c>
      <c r="ET16" s="187">
        <f>Иль!C96</f>
        <v>0</v>
      </c>
      <c r="EU16" s="187">
        <f>Иль!D96</f>
        <v>0</v>
      </c>
      <c r="EV16" s="184" t="e">
        <f t="shared" ref="EV16:EV29" si="52">EU16/ET16*100</f>
        <v>#DIV/0!</v>
      </c>
      <c r="EW16" s="191">
        <f t="shared" si="12"/>
        <v>-110.81861999999819</v>
      </c>
      <c r="EX16" s="191">
        <f t="shared" si="13"/>
        <v>356.35919000000013</v>
      </c>
      <c r="EY16" s="184">
        <f>EX16/EW16*100</f>
        <v>-321.56977771425591</v>
      </c>
      <c r="EZ16" s="192"/>
      <c r="FA16" s="193"/>
      <c r="FC16" s="193"/>
    </row>
    <row r="17" spans="1:170" s="169" customFormat="1" ht="15" customHeight="1">
      <c r="A17" s="181">
        <v>4</v>
      </c>
      <c r="B17" s="194" t="s">
        <v>307</v>
      </c>
      <c r="C17" s="287">
        <f t="shared" si="14"/>
        <v>6935.6126400000012</v>
      </c>
      <c r="D17" s="287">
        <f t="shared" si="0"/>
        <v>3031.6531100000002</v>
      </c>
      <c r="E17" s="187">
        <f t="shared" si="1"/>
        <v>43.711396056282631</v>
      </c>
      <c r="F17" s="185">
        <f t="shared" si="2"/>
        <v>4232.3300000000008</v>
      </c>
      <c r="G17" s="185">
        <f t="shared" si="3"/>
        <v>1800.7020100000002</v>
      </c>
      <c r="H17" s="187">
        <f t="shared" si="15"/>
        <v>42.546351773136784</v>
      </c>
      <c r="I17" s="195">
        <f>Кад!C6</f>
        <v>456.3</v>
      </c>
      <c r="J17" s="195">
        <f>Кад!D6</f>
        <v>272.32997</v>
      </c>
      <c r="K17" s="187">
        <f t="shared" si="16"/>
        <v>59.682220030681563</v>
      </c>
      <c r="L17" s="187">
        <f>Кад!C8</f>
        <v>265.95999999999998</v>
      </c>
      <c r="M17" s="187">
        <f>Кад!D8</f>
        <v>210.37995000000001</v>
      </c>
      <c r="N17" s="184">
        <f t="shared" si="17"/>
        <v>79.102101819822536</v>
      </c>
      <c r="O17" s="184">
        <f>Кад!C9</f>
        <v>2.85</v>
      </c>
      <c r="P17" s="184">
        <f>Кад!D9</f>
        <v>1.8025800000000001</v>
      </c>
      <c r="Q17" s="184">
        <f t="shared" si="18"/>
        <v>63.248421052631578</v>
      </c>
      <c r="R17" s="184">
        <f>Кад!C10</f>
        <v>444.22</v>
      </c>
      <c r="S17" s="184">
        <f>Кад!D10</f>
        <v>318.93153000000001</v>
      </c>
      <c r="T17" s="184">
        <f t="shared" si="19"/>
        <v>71.795851154833187</v>
      </c>
      <c r="U17" s="184">
        <f>Кад!C11</f>
        <v>0</v>
      </c>
      <c r="V17" s="184">
        <f>Кад!D11</f>
        <v>-49.046460000000003</v>
      </c>
      <c r="W17" s="184" t="e">
        <f t="shared" si="20"/>
        <v>#DIV/0!</v>
      </c>
      <c r="X17" s="195">
        <f>Кад!C13</f>
        <v>50</v>
      </c>
      <c r="Y17" s="195">
        <f>Кад!D13</f>
        <v>28.16273</v>
      </c>
      <c r="Z17" s="187">
        <f t="shared" si="21"/>
        <v>56.325460000000007</v>
      </c>
      <c r="AA17" s="195">
        <f>Кад!C15</f>
        <v>255</v>
      </c>
      <c r="AB17" s="195">
        <f>Кад!D15</f>
        <v>68.353359999999995</v>
      </c>
      <c r="AC17" s="187">
        <f t="shared" si="22"/>
        <v>26.805239215686271</v>
      </c>
      <c r="AD17" s="195">
        <f>Кад!C16</f>
        <v>2661</v>
      </c>
      <c r="AE17" s="195">
        <f>Кад!D16</f>
        <v>1199.6814099999999</v>
      </c>
      <c r="AF17" s="187">
        <f t="shared" si="4"/>
        <v>45.083856069146933</v>
      </c>
      <c r="AG17" s="187">
        <f>Кад!C18</f>
        <v>25</v>
      </c>
      <c r="AH17" s="187">
        <f>Кад!D18</f>
        <v>19.899999999999999</v>
      </c>
      <c r="AI17" s="187">
        <f t="shared" si="23"/>
        <v>79.599999999999994</v>
      </c>
      <c r="AJ17" s="187"/>
      <c r="AK17" s="187"/>
      <c r="AL17" s="187" t="e">
        <f t="shared" si="5"/>
        <v>#DIV/0!</v>
      </c>
      <c r="AM17" s="195">
        <v>0</v>
      </c>
      <c r="AN17" s="195">
        <v>0</v>
      </c>
      <c r="AO17" s="187" t="e">
        <f t="shared" si="6"/>
        <v>#DIV/0!</v>
      </c>
      <c r="AP17" s="195">
        <f>Кад!C27</f>
        <v>70</v>
      </c>
      <c r="AQ17" s="195">
        <f>Кад!D27</f>
        <v>-286.74849999999998</v>
      </c>
      <c r="AR17" s="187">
        <f t="shared" si="24"/>
        <v>-409.64071428571424</v>
      </c>
      <c r="AS17" s="188">
        <f>Кад!C28</f>
        <v>2</v>
      </c>
      <c r="AT17" s="195">
        <f>Кад!D28</f>
        <v>0</v>
      </c>
      <c r="AU17" s="187">
        <f t="shared" si="25"/>
        <v>0</v>
      </c>
      <c r="AV17" s="195"/>
      <c r="AW17" s="195"/>
      <c r="AX17" s="187" t="e">
        <f t="shared" si="26"/>
        <v>#DIV/0!</v>
      </c>
      <c r="AY17" s="187">
        <f>Кад!C30</f>
        <v>0</v>
      </c>
      <c r="AZ17" s="187">
        <f>Кад!D30</f>
        <v>17.34844</v>
      </c>
      <c r="BA17" s="187" t="e">
        <f t="shared" si="27"/>
        <v>#DIV/0!</v>
      </c>
      <c r="BB17" s="187"/>
      <c r="BC17" s="187"/>
      <c r="BD17" s="187"/>
      <c r="BE17" s="187">
        <f>Кад!C33</f>
        <v>0</v>
      </c>
      <c r="BF17" s="187">
        <f>Кад!D33</f>
        <v>0</v>
      </c>
      <c r="BG17" s="187" t="e">
        <f t="shared" si="28"/>
        <v>#DIV/0!</v>
      </c>
      <c r="BH17" s="187"/>
      <c r="BI17" s="187"/>
      <c r="BJ17" s="187" t="e">
        <f t="shared" si="29"/>
        <v>#DIV/0!</v>
      </c>
      <c r="BK17" s="187"/>
      <c r="BL17" s="187"/>
      <c r="BM17" s="187"/>
      <c r="BN17" s="187"/>
      <c r="BO17" s="361">
        <f>Кад!D34</f>
        <v>0</v>
      </c>
      <c r="BP17" s="187" t="e">
        <f t="shared" si="30"/>
        <v>#DIV/0!</v>
      </c>
      <c r="BQ17" s="187">
        <f>Кад!C36</f>
        <v>0</v>
      </c>
      <c r="BR17" s="187">
        <f>Кад!D36</f>
        <v>-0.39300000000000002</v>
      </c>
      <c r="BS17" s="187" t="e">
        <f t="shared" si="31"/>
        <v>#DIV/0!</v>
      </c>
      <c r="BT17" s="187"/>
      <c r="BU17" s="187"/>
      <c r="BV17" s="196" t="e">
        <f t="shared" si="32"/>
        <v>#DIV/0!</v>
      </c>
      <c r="BW17" s="196"/>
      <c r="BX17" s="196"/>
      <c r="BY17" s="196" t="e">
        <f t="shared" si="33"/>
        <v>#DIV/0!</v>
      </c>
      <c r="BZ17" s="186">
        <f t="shared" si="34"/>
        <v>2703.2826400000004</v>
      </c>
      <c r="CA17" s="186">
        <f t="shared" si="35"/>
        <v>1230.9511</v>
      </c>
      <c r="CB17" s="187">
        <f>CA17/BZ17*100</f>
        <v>45.535419855320782</v>
      </c>
      <c r="CC17" s="187">
        <f>Кад!C41</f>
        <v>1128.914</v>
      </c>
      <c r="CD17" s="187">
        <f>Кад!D41</f>
        <v>795.84199999999998</v>
      </c>
      <c r="CE17" s="187">
        <f t="shared" si="36"/>
        <v>70.496246835454244</v>
      </c>
      <c r="CF17" s="187">
        <f>Кад!C42</f>
        <v>0</v>
      </c>
      <c r="CG17" s="187">
        <f>Кад!D42</f>
        <v>0</v>
      </c>
      <c r="CH17" s="187" t="e">
        <f t="shared" si="37"/>
        <v>#DIV/0!</v>
      </c>
      <c r="CI17" s="184">
        <f>Кад!C43</f>
        <v>1190.44364</v>
      </c>
      <c r="CJ17" s="187">
        <f>Кад!D43</f>
        <v>85.141999999999996</v>
      </c>
      <c r="CK17" s="187">
        <f t="shared" si="7"/>
        <v>7.152123556223124</v>
      </c>
      <c r="CL17" s="187">
        <f>Кад!C45</f>
        <v>157.59899999999999</v>
      </c>
      <c r="CM17" s="187">
        <f>Кад!D45</f>
        <v>126.14109999999999</v>
      </c>
      <c r="CN17" s="187">
        <f t="shared" si="8"/>
        <v>80.039276898965099</v>
      </c>
      <c r="CO17" s="187"/>
      <c r="CP17" s="187"/>
      <c r="CQ17" s="187"/>
      <c r="CR17" s="187">
        <f>Кад!C47</f>
        <v>226.32599999999999</v>
      </c>
      <c r="CS17" s="187">
        <f>Кад!D47</f>
        <v>223.82599999999999</v>
      </c>
      <c r="CT17" s="187">
        <f t="shared" si="9"/>
        <v>98.895398672711039</v>
      </c>
      <c r="CU17" s="187"/>
      <c r="CV17" s="187"/>
      <c r="CW17" s="187"/>
      <c r="CX17" s="195"/>
      <c r="CY17" s="195"/>
      <c r="CZ17" s="187" t="e">
        <f t="shared" si="38"/>
        <v>#DIV/0!</v>
      </c>
      <c r="DA17" s="187"/>
      <c r="DB17" s="187"/>
      <c r="DC17" s="187"/>
      <c r="DD17" s="187"/>
      <c r="DE17" s="187"/>
      <c r="DF17" s="187"/>
      <c r="DG17" s="195">
        <f t="shared" si="39"/>
        <v>7412.4303399999999</v>
      </c>
      <c r="DH17" s="195">
        <f t="shared" si="39"/>
        <v>3495.6030200000005</v>
      </c>
      <c r="DI17" s="187">
        <f t="shared" si="40"/>
        <v>47.158662674191156</v>
      </c>
      <c r="DJ17" s="195">
        <f t="shared" si="41"/>
        <v>1604.3</v>
      </c>
      <c r="DK17" s="195">
        <f t="shared" si="41"/>
        <v>981.82691</v>
      </c>
      <c r="DL17" s="187">
        <f t="shared" si="42"/>
        <v>61.199707660661971</v>
      </c>
      <c r="DM17" s="187">
        <f>Кад!C57</f>
        <v>1593.7139999999999</v>
      </c>
      <c r="DN17" s="187">
        <f>Кад!D57</f>
        <v>976.71991000000003</v>
      </c>
      <c r="DO17" s="187">
        <f t="shared" si="43"/>
        <v>61.285770847216</v>
      </c>
      <c r="DP17" s="187">
        <f>Кад!C60</f>
        <v>0</v>
      </c>
      <c r="DQ17" s="187">
        <f>Кад!D60</f>
        <v>0</v>
      </c>
      <c r="DR17" s="187" t="e">
        <f t="shared" si="44"/>
        <v>#DIV/0!</v>
      </c>
      <c r="DS17" s="187">
        <f>Кад!C61</f>
        <v>5</v>
      </c>
      <c r="DT17" s="187">
        <f>Кад!D61</f>
        <v>0</v>
      </c>
      <c r="DU17" s="187">
        <f t="shared" si="45"/>
        <v>0</v>
      </c>
      <c r="DV17" s="187">
        <f>Кад!C62</f>
        <v>5.5860000000000003</v>
      </c>
      <c r="DW17" s="187">
        <f>Кад!D62</f>
        <v>5.1070000000000002</v>
      </c>
      <c r="DX17" s="187">
        <f t="shared" si="46"/>
        <v>91.424991049051201</v>
      </c>
      <c r="DY17" s="187">
        <f>Кад!C64</f>
        <v>150.881</v>
      </c>
      <c r="DZ17" s="187">
        <f>Кад!D64</f>
        <v>83.220470000000006</v>
      </c>
      <c r="EA17" s="187">
        <f t="shared" si="47"/>
        <v>55.156361635991281</v>
      </c>
      <c r="EB17" s="187">
        <f>Кад!C65</f>
        <v>4.4000000000000004</v>
      </c>
      <c r="EC17" s="187">
        <f>Кад!D65</f>
        <v>1.2</v>
      </c>
      <c r="ED17" s="187">
        <f t="shared" si="48"/>
        <v>27.27272727272727</v>
      </c>
      <c r="EE17" s="195">
        <f>Кад!C70</f>
        <v>2688.43534</v>
      </c>
      <c r="EF17" s="195">
        <f>Кад!D70</f>
        <v>896.20919000000004</v>
      </c>
      <c r="EG17" s="187">
        <f t="shared" si="49"/>
        <v>33.335716751885876</v>
      </c>
      <c r="EH17" s="195">
        <f>Кад!C75</f>
        <v>929.71400000000006</v>
      </c>
      <c r="EI17" s="195">
        <f>Кад!D75</f>
        <v>591.44645000000003</v>
      </c>
      <c r="EJ17" s="187">
        <f t="shared" si="50"/>
        <v>63.615956089722218</v>
      </c>
      <c r="EK17" s="195">
        <f>Кад!C79</f>
        <v>2033.7</v>
      </c>
      <c r="EL17" s="197">
        <f>Кад!D79</f>
        <v>941.7</v>
      </c>
      <c r="EM17" s="187">
        <f t="shared" si="10"/>
        <v>46.304764714559674</v>
      </c>
      <c r="EN17" s="187">
        <f>Кад!C81</f>
        <v>0</v>
      </c>
      <c r="EO17" s="187">
        <f>Кад!D81</f>
        <v>0</v>
      </c>
      <c r="EP17" s="187" t="e">
        <f t="shared" si="11"/>
        <v>#DIV/0!</v>
      </c>
      <c r="EQ17" s="198">
        <f>Кад!C86</f>
        <v>1</v>
      </c>
      <c r="ER17" s="198">
        <f>Кад!D86</f>
        <v>0</v>
      </c>
      <c r="ES17" s="187">
        <f t="shared" si="51"/>
        <v>0</v>
      </c>
      <c r="ET17" s="187">
        <f>Кад!C92</f>
        <v>0</v>
      </c>
      <c r="EU17" s="187">
        <f>Кад!D92</f>
        <v>0</v>
      </c>
      <c r="EV17" s="184" t="e">
        <f t="shared" si="52"/>
        <v>#DIV/0!</v>
      </c>
      <c r="EW17" s="191">
        <f t="shared" si="12"/>
        <v>-476.81769999999869</v>
      </c>
      <c r="EX17" s="191">
        <f t="shared" si="13"/>
        <v>-463.94991000000027</v>
      </c>
      <c r="EY17" s="184">
        <f>EX17/EW17*100</f>
        <v>97.301318722019232</v>
      </c>
      <c r="EZ17" s="192"/>
      <c r="FA17" s="193"/>
      <c r="FC17" s="193"/>
    </row>
    <row r="18" spans="1:170" s="235" customFormat="1" ht="15" customHeight="1">
      <c r="A18" s="226">
        <v>5</v>
      </c>
      <c r="B18" s="227" t="s">
        <v>308</v>
      </c>
      <c r="C18" s="288">
        <f t="shared" si="14"/>
        <v>9502.3249999999989</v>
      </c>
      <c r="D18" s="288">
        <f t="shared" si="0"/>
        <v>6022.3836699999993</v>
      </c>
      <c r="E18" s="228">
        <f t="shared" si="1"/>
        <v>63.37800138387184</v>
      </c>
      <c r="F18" s="229">
        <f t="shared" si="2"/>
        <v>4271.0099999999993</v>
      </c>
      <c r="G18" s="229">
        <f t="shared" si="3"/>
        <v>2339.6621800000003</v>
      </c>
      <c r="H18" s="228">
        <f t="shared" si="15"/>
        <v>54.780067946457642</v>
      </c>
      <c r="I18" s="295">
        <f>Мор!C6</f>
        <v>1624.2</v>
      </c>
      <c r="J18" s="295">
        <f>Мор!D6</f>
        <v>1057.81862</v>
      </c>
      <c r="K18" s="228">
        <f t="shared" si="16"/>
        <v>65.12859376924024</v>
      </c>
      <c r="L18" s="228">
        <f>Мор!C8</f>
        <v>130.59</v>
      </c>
      <c r="M18" s="228">
        <f>Мор!D8</f>
        <v>103.30033</v>
      </c>
      <c r="N18" s="228">
        <f t="shared" si="17"/>
        <v>79.102787349720501</v>
      </c>
      <c r="O18" s="228">
        <f>Мор!C9</f>
        <v>1.4</v>
      </c>
      <c r="P18" s="228">
        <f>Мор!D9</f>
        <v>0.88510999999999995</v>
      </c>
      <c r="Q18" s="228">
        <f t="shared" si="18"/>
        <v>63.222142857142863</v>
      </c>
      <c r="R18" s="228">
        <f>Мор!C10</f>
        <v>218.12</v>
      </c>
      <c r="S18" s="228">
        <f>Мор!D10</f>
        <v>156.60111000000001</v>
      </c>
      <c r="T18" s="228">
        <f t="shared" si="19"/>
        <v>71.795850907757199</v>
      </c>
      <c r="U18" s="228">
        <f>Мор!C11</f>
        <v>0</v>
      </c>
      <c r="V18" s="228">
        <f>Мор!D11</f>
        <v>-24.082630000000002</v>
      </c>
      <c r="W18" s="228" t="e">
        <f t="shared" si="20"/>
        <v>#DIV/0!</v>
      </c>
      <c r="X18" s="188">
        <f>Мор!C13</f>
        <v>50</v>
      </c>
      <c r="Y18" s="188">
        <f>Мор!D13</f>
        <v>75.141949999999994</v>
      </c>
      <c r="Z18" s="228">
        <f t="shared" si="21"/>
        <v>150.28389999999999</v>
      </c>
      <c r="AA18" s="188">
        <f>Мор!C15</f>
        <v>550</v>
      </c>
      <c r="AB18" s="188">
        <f>Мор!D15</f>
        <v>161.27687</v>
      </c>
      <c r="AC18" s="228">
        <f t="shared" si="22"/>
        <v>29.323067272727272</v>
      </c>
      <c r="AD18" s="188">
        <f>Мор!C16</f>
        <v>1676.7</v>
      </c>
      <c r="AE18" s="188">
        <f>Мор!D16</f>
        <v>811.87428</v>
      </c>
      <c r="AF18" s="228">
        <f t="shared" si="4"/>
        <v>48.42096260511719</v>
      </c>
      <c r="AG18" s="228">
        <f>Мор!C18</f>
        <v>0</v>
      </c>
      <c r="AH18" s="228">
        <f>Мор!D18</f>
        <v>0</v>
      </c>
      <c r="AI18" s="228" t="e">
        <f t="shared" si="23"/>
        <v>#DIV/0!</v>
      </c>
      <c r="AJ18" s="228">
        <f>Мор!C22</f>
        <v>0</v>
      </c>
      <c r="AK18" s="228">
        <f>Мор!D22</f>
        <v>0</v>
      </c>
      <c r="AL18" s="228" t="e">
        <f t="shared" si="5"/>
        <v>#DIV/0!</v>
      </c>
      <c r="AM18" s="188">
        <v>0</v>
      </c>
      <c r="AN18" s="188">
        <f>Мор!D27</f>
        <v>0</v>
      </c>
      <c r="AO18" s="228" t="e">
        <f t="shared" si="6"/>
        <v>#DIV/0!</v>
      </c>
      <c r="AP18" s="188">
        <f>Мор!C27</f>
        <v>0</v>
      </c>
      <c r="AQ18" s="195">
        <f>Мор!D27</f>
        <v>0</v>
      </c>
      <c r="AR18" s="228" t="e">
        <f t="shared" si="24"/>
        <v>#DIV/0!</v>
      </c>
      <c r="AS18" s="188">
        <f>Мор!C28</f>
        <v>10</v>
      </c>
      <c r="AT18" s="188">
        <f>Мор!D26</f>
        <v>0</v>
      </c>
      <c r="AU18" s="228">
        <f t="shared" si="25"/>
        <v>0</v>
      </c>
      <c r="AV18" s="188"/>
      <c r="AW18" s="188"/>
      <c r="AX18" s="228" t="e">
        <f t="shared" si="26"/>
        <v>#DIV/0!</v>
      </c>
      <c r="AY18" s="228">
        <f>Мор!C29</f>
        <v>10</v>
      </c>
      <c r="AZ18" s="228">
        <f>Мор!D29</f>
        <v>8.3664100000000001</v>
      </c>
      <c r="BA18" s="228">
        <f t="shared" si="27"/>
        <v>83.664099999999991</v>
      </c>
      <c r="BB18" s="228"/>
      <c r="BC18" s="228"/>
      <c r="BD18" s="228"/>
      <c r="BE18" s="228">
        <f>Мор!C33</f>
        <v>0</v>
      </c>
      <c r="BF18" s="228">
        <f>Мор!D33</f>
        <v>0</v>
      </c>
      <c r="BG18" s="228" t="e">
        <f>Мор!E33</f>
        <v>#DIV/0!</v>
      </c>
      <c r="BH18" s="228">
        <f>Мор!F33</f>
        <v>0</v>
      </c>
      <c r="BI18" s="228">
        <f>Мор!G33</f>
        <v>0</v>
      </c>
      <c r="BJ18" s="228">
        <f>Мор!H33</f>
        <v>0</v>
      </c>
      <c r="BK18" s="228">
        <f>Мор!I33</f>
        <v>0</v>
      </c>
      <c r="BL18" s="228">
        <f>Мор!J33</f>
        <v>0</v>
      </c>
      <c r="BM18" s="228">
        <f>Мор!K33</f>
        <v>0</v>
      </c>
      <c r="BN18" s="228">
        <f>Мор!C35</f>
        <v>0</v>
      </c>
      <c r="BO18" s="362">
        <f>Мор!D34</f>
        <v>0</v>
      </c>
      <c r="BP18" s="228" t="e">
        <f t="shared" si="30"/>
        <v>#DIV/0!</v>
      </c>
      <c r="BQ18" s="228">
        <f>Мор!C36</f>
        <v>0</v>
      </c>
      <c r="BR18" s="228">
        <f>Мор!D36</f>
        <v>-11.519869999999999</v>
      </c>
      <c r="BS18" s="228" t="e">
        <f t="shared" si="31"/>
        <v>#DIV/0!</v>
      </c>
      <c r="BT18" s="228"/>
      <c r="BU18" s="228"/>
      <c r="BV18" s="230" t="e">
        <f t="shared" si="32"/>
        <v>#DIV/0!</v>
      </c>
      <c r="BW18" s="230"/>
      <c r="BX18" s="230"/>
      <c r="BY18" s="230" t="e">
        <f t="shared" si="33"/>
        <v>#DIV/0!</v>
      </c>
      <c r="BZ18" s="188">
        <f t="shared" si="34"/>
        <v>5231.3149999999996</v>
      </c>
      <c r="CA18" s="186">
        <f t="shared" si="35"/>
        <v>3682.7214899999994</v>
      </c>
      <c r="CB18" s="228">
        <f t="shared" ref="CB18:CB31" si="53">CA18/BZ18*100</f>
        <v>70.397624497855688</v>
      </c>
      <c r="CC18" s="228">
        <f>Мор!C41</f>
        <v>4512.616</v>
      </c>
      <c r="CD18" s="228">
        <f>Мор!D41</f>
        <v>3387.6559999999999</v>
      </c>
      <c r="CE18" s="228">
        <f t="shared" si="36"/>
        <v>75.070779343954825</v>
      </c>
      <c r="CF18" s="228">
        <f>Мор!C42</f>
        <v>0</v>
      </c>
      <c r="CG18" s="228">
        <f>Мор!D42</f>
        <v>0</v>
      </c>
      <c r="CH18" s="228" t="e">
        <f t="shared" si="37"/>
        <v>#DIV/0!</v>
      </c>
      <c r="CI18" s="228">
        <f>Мор!C43</f>
        <v>583.00300000000004</v>
      </c>
      <c r="CJ18" s="228">
        <f>Мор!D43</f>
        <v>171.66</v>
      </c>
      <c r="CK18" s="228">
        <f t="shared" si="7"/>
        <v>29.444102345957052</v>
      </c>
      <c r="CL18" s="228">
        <f>Мор!C45</f>
        <v>15.396000000000001</v>
      </c>
      <c r="CM18" s="228">
        <f>Мор!D45</f>
        <v>1.3828</v>
      </c>
      <c r="CN18" s="228">
        <f t="shared" si="8"/>
        <v>8.9815536502987783</v>
      </c>
      <c r="CO18" s="228">
        <f>Мор!C46</f>
        <v>0</v>
      </c>
      <c r="CP18" s="228">
        <f>Мор!D46</f>
        <v>0</v>
      </c>
      <c r="CQ18" s="228" t="e">
        <f>CP18/CO18*100</f>
        <v>#DIV/0!</v>
      </c>
      <c r="CR18" s="228">
        <f>Мор!C48</f>
        <v>120.3</v>
      </c>
      <c r="CS18" s="228">
        <f>Мор!D48</f>
        <v>122.02269</v>
      </c>
      <c r="CT18" s="228">
        <f t="shared" si="9"/>
        <v>101.43199501246882</v>
      </c>
      <c r="CU18" s="228"/>
      <c r="CV18" s="228"/>
      <c r="CW18" s="228"/>
      <c r="CX18" s="188"/>
      <c r="CY18" s="188"/>
      <c r="CZ18" s="228" t="e">
        <f t="shared" si="38"/>
        <v>#DIV/0!</v>
      </c>
      <c r="DA18" s="228"/>
      <c r="DB18" s="228"/>
      <c r="DC18" s="228"/>
      <c r="DD18" s="228"/>
      <c r="DE18" s="228"/>
      <c r="DF18" s="228"/>
      <c r="DG18" s="188">
        <f t="shared" si="39"/>
        <v>9552.8371699999989</v>
      </c>
      <c r="DH18" s="188">
        <f t="shared" si="39"/>
        <v>5045.1648500000001</v>
      </c>
      <c r="DI18" s="228">
        <f t="shared" si="40"/>
        <v>52.813261235562351</v>
      </c>
      <c r="DJ18" s="188">
        <f t="shared" si="41"/>
        <v>1809.6569999999999</v>
      </c>
      <c r="DK18" s="188">
        <f t="shared" si="41"/>
        <v>1034.1724400000001</v>
      </c>
      <c r="DL18" s="228">
        <f t="shared" si="42"/>
        <v>57.147428490592425</v>
      </c>
      <c r="DM18" s="228">
        <f>Мор!C58</f>
        <v>1709.9159999999999</v>
      </c>
      <c r="DN18" s="228">
        <f>Мор!D58</f>
        <v>1022.4704400000001</v>
      </c>
      <c r="DO18" s="228">
        <f t="shared" si="43"/>
        <v>59.796530355877131</v>
      </c>
      <c r="DP18" s="228">
        <f>Мор!C61</f>
        <v>68.039000000000001</v>
      </c>
      <c r="DQ18" s="228">
        <f>Мор!D61</f>
        <v>0</v>
      </c>
      <c r="DR18" s="228">
        <f t="shared" si="44"/>
        <v>0</v>
      </c>
      <c r="DS18" s="228">
        <f>Мор!C62</f>
        <v>20</v>
      </c>
      <c r="DT18" s="228">
        <f>Мор!D62</f>
        <v>0</v>
      </c>
      <c r="DU18" s="228">
        <f t="shared" si="45"/>
        <v>0</v>
      </c>
      <c r="DV18" s="228">
        <f>Мор!C63</f>
        <v>11.702</v>
      </c>
      <c r="DW18" s="228">
        <f>Мор!D63</f>
        <v>11.702</v>
      </c>
      <c r="DX18" s="228">
        <f t="shared" si="46"/>
        <v>100</v>
      </c>
      <c r="DY18" s="228">
        <f>Мор!C64</f>
        <v>0</v>
      </c>
      <c r="DZ18" s="228">
        <f>Мор!D64</f>
        <v>0</v>
      </c>
      <c r="EA18" s="228" t="e">
        <f t="shared" si="47"/>
        <v>#DIV/0!</v>
      </c>
      <c r="EB18" s="228">
        <f>Мор!C66</f>
        <v>30</v>
      </c>
      <c r="EC18" s="228">
        <f>Мор!D66</f>
        <v>0</v>
      </c>
      <c r="ED18" s="228">
        <f t="shared" si="48"/>
        <v>0</v>
      </c>
      <c r="EE18" s="188">
        <f>Мор!C71</f>
        <v>1647.6301699999999</v>
      </c>
      <c r="EF18" s="188">
        <f>Мор!D71</f>
        <v>508.53228000000001</v>
      </c>
      <c r="EG18" s="228">
        <f t="shared" si="49"/>
        <v>30.864467600760193</v>
      </c>
      <c r="EH18" s="188">
        <f>Мор!C76</f>
        <v>3666.25</v>
      </c>
      <c r="EI18" s="188">
        <f>Мор!D76</f>
        <v>1720.4601299999999</v>
      </c>
      <c r="EJ18" s="228">
        <f t="shared" si="50"/>
        <v>46.926972519604497</v>
      </c>
      <c r="EK18" s="188">
        <f>Мор!C80</f>
        <v>2374.3000000000002</v>
      </c>
      <c r="EL18" s="231">
        <f>Мор!D80</f>
        <v>1782</v>
      </c>
      <c r="EM18" s="228">
        <f t="shared" si="10"/>
        <v>75.053700037905898</v>
      </c>
      <c r="EN18" s="228">
        <f>Мор!C83</f>
        <v>0</v>
      </c>
      <c r="EO18" s="228">
        <f>Мор!D83</f>
        <v>0</v>
      </c>
      <c r="EP18" s="228" t="e">
        <f t="shared" si="11"/>
        <v>#DIV/0!</v>
      </c>
      <c r="EQ18" s="229">
        <f>Мор!C88</f>
        <v>25</v>
      </c>
      <c r="ER18" s="229">
        <f>Мор!D88</f>
        <v>0</v>
      </c>
      <c r="ES18" s="228">
        <f t="shared" si="51"/>
        <v>0</v>
      </c>
      <c r="ET18" s="228">
        <f>Мор!C94</f>
        <v>0</v>
      </c>
      <c r="EU18" s="228">
        <f>Мор!D94</f>
        <v>0</v>
      </c>
      <c r="EV18" s="228" t="e">
        <f t="shared" si="52"/>
        <v>#DIV/0!</v>
      </c>
      <c r="EW18" s="232">
        <f t="shared" si="12"/>
        <v>-50.512169999999969</v>
      </c>
      <c r="EX18" s="232">
        <f t="shared" si="13"/>
        <v>977.21881999999914</v>
      </c>
      <c r="EY18" s="228">
        <f t="shared" ref="EY18:EY30" si="54">EX18/EW18*100</f>
        <v>-1934.620547879847</v>
      </c>
      <c r="EZ18" s="233"/>
      <c r="FA18" s="234"/>
      <c r="FC18" s="234"/>
    </row>
    <row r="19" spans="1:170" s="169" customFormat="1" ht="15" customHeight="1">
      <c r="A19" s="181">
        <v>6</v>
      </c>
      <c r="B19" s="194" t="s">
        <v>309</v>
      </c>
      <c r="C19" s="183">
        <f t="shared" si="14"/>
        <v>6535.12</v>
      </c>
      <c r="D19" s="287">
        <f t="shared" si="0"/>
        <v>3624.1457699999996</v>
      </c>
      <c r="E19" s="187">
        <f t="shared" si="1"/>
        <v>55.456453286244169</v>
      </c>
      <c r="F19" s="185">
        <f t="shared" si="2"/>
        <v>4633.7</v>
      </c>
      <c r="G19" s="185">
        <f t="shared" si="3"/>
        <v>2895.6918999999998</v>
      </c>
      <c r="H19" s="187">
        <f t="shared" si="15"/>
        <v>62.492002071778487</v>
      </c>
      <c r="I19" s="195">
        <f>Мос!C6</f>
        <v>1309.9000000000001</v>
      </c>
      <c r="J19" s="195">
        <f>Мос!D6</f>
        <v>779.73883999999998</v>
      </c>
      <c r="K19" s="187">
        <f t="shared" si="16"/>
        <v>59.526592869684706</v>
      </c>
      <c r="L19" s="187">
        <f>Мос!C8</f>
        <v>246.85</v>
      </c>
      <c r="M19" s="187">
        <f>Мос!D8</f>
        <v>195.26283000000001</v>
      </c>
      <c r="N19" s="184">
        <f t="shared" si="17"/>
        <v>79.101814867328343</v>
      </c>
      <c r="O19" s="184">
        <f>Мос!C9</f>
        <v>2.65</v>
      </c>
      <c r="P19" s="184">
        <f>Мос!D9</f>
        <v>1.67303</v>
      </c>
      <c r="Q19" s="184">
        <f t="shared" si="18"/>
        <v>63.13320754716981</v>
      </c>
      <c r="R19" s="184">
        <f>Мос!C10</f>
        <v>412.3</v>
      </c>
      <c r="S19" s="184">
        <f>Мос!D10</f>
        <v>296.01429000000002</v>
      </c>
      <c r="T19" s="184">
        <f t="shared" si="19"/>
        <v>71.795850109143828</v>
      </c>
      <c r="U19" s="184">
        <f>Мос!C11</f>
        <v>0</v>
      </c>
      <c r="V19" s="184">
        <f>Мос!D11</f>
        <v>-45.522100000000002</v>
      </c>
      <c r="W19" s="184" t="e">
        <f t="shared" si="20"/>
        <v>#DIV/0!</v>
      </c>
      <c r="X19" s="195">
        <f>Мос!C13</f>
        <v>10</v>
      </c>
      <c r="Y19" s="195">
        <f>Мос!D13</f>
        <v>28.442399999999999</v>
      </c>
      <c r="Z19" s="187">
        <f t="shared" si="21"/>
        <v>284.42400000000004</v>
      </c>
      <c r="AA19" s="195">
        <f>Мос!C15</f>
        <v>190</v>
      </c>
      <c r="AB19" s="195">
        <f>Мос!D15</f>
        <v>47.214689999999997</v>
      </c>
      <c r="AC19" s="187">
        <f t="shared" si="22"/>
        <v>24.849836842105262</v>
      </c>
      <c r="AD19" s="195">
        <f>Мос!C16</f>
        <v>2450</v>
      </c>
      <c r="AE19" s="195">
        <f>Мос!D16</f>
        <v>1586.6713099999999</v>
      </c>
      <c r="AF19" s="187">
        <f t="shared" si="4"/>
        <v>64.762094285714284</v>
      </c>
      <c r="AG19" s="187">
        <f>Мос!C18</f>
        <v>10</v>
      </c>
      <c r="AH19" s="187">
        <f>Мос!D18</f>
        <v>6.45</v>
      </c>
      <c r="AI19" s="187">
        <f t="shared" si="23"/>
        <v>64.5</v>
      </c>
      <c r="AJ19" s="187"/>
      <c r="AK19" s="187"/>
      <c r="AL19" s="187" t="e">
        <f t="shared" si="5"/>
        <v>#DIV/0!</v>
      </c>
      <c r="AM19" s="195">
        <f>Мос!C27</f>
        <v>0</v>
      </c>
      <c r="AN19" s="195">
        <f>Мос!D27</f>
        <v>0</v>
      </c>
      <c r="AO19" s="187" t="e">
        <f t="shared" si="6"/>
        <v>#DIV/0!</v>
      </c>
      <c r="AP19" s="195">
        <v>0</v>
      </c>
      <c r="AQ19" s="195">
        <f>Мос!D27</f>
        <v>0</v>
      </c>
      <c r="AR19" s="187" t="e">
        <f t="shared" si="24"/>
        <v>#DIV/0!</v>
      </c>
      <c r="AS19" s="188">
        <f>Мос!C26</f>
        <v>2</v>
      </c>
      <c r="AT19" s="188">
        <f>Мос!D28</f>
        <v>0</v>
      </c>
      <c r="AU19" s="187">
        <f t="shared" si="25"/>
        <v>0</v>
      </c>
      <c r="AV19" s="195"/>
      <c r="AW19" s="195"/>
      <c r="AX19" s="187" t="e">
        <f t="shared" si="26"/>
        <v>#DIV/0!</v>
      </c>
      <c r="AY19" s="187">
        <f>Мос!C30</f>
        <v>0</v>
      </c>
      <c r="AZ19" s="187">
        <f>Мос!D30</f>
        <v>0</v>
      </c>
      <c r="BA19" s="187" t="e">
        <f t="shared" si="27"/>
        <v>#DIV/0!</v>
      </c>
      <c r="BB19" s="187"/>
      <c r="BC19" s="187"/>
      <c r="BD19" s="187"/>
      <c r="BE19" s="187">
        <f>Мос!C33</f>
        <v>0</v>
      </c>
      <c r="BF19" s="187">
        <f>Мос!D33</f>
        <v>0</v>
      </c>
      <c r="BG19" s="187" t="e">
        <f t="shared" si="28"/>
        <v>#DIV/0!</v>
      </c>
      <c r="BH19" s="187"/>
      <c r="BI19" s="187"/>
      <c r="BJ19" s="187" t="e">
        <f t="shared" si="29"/>
        <v>#DIV/0!</v>
      </c>
      <c r="BK19" s="187"/>
      <c r="BL19" s="187"/>
      <c r="BM19" s="187"/>
      <c r="BN19" s="187"/>
      <c r="BO19" s="361">
        <f>Мос!D35</f>
        <v>0</v>
      </c>
      <c r="BP19" s="187" t="e">
        <f t="shared" si="30"/>
        <v>#DIV/0!</v>
      </c>
      <c r="BQ19" s="187">
        <f>Мос!C36</f>
        <v>0</v>
      </c>
      <c r="BR19" s="187">
        <f>Мос!D36</f>
        <v>-0.25339</v>
      </c>
      <c r="BS19" s="187" t="e">
        <f t="shared" si="31"/>
        <v>#DIV/0!</v>
      </c>
      <c r="BT19" s="187"/>
      <c r="BU19" s="187"/>
      <c r="BV19" s="196" t="e">
        <f t="shared" si="32"/>
        <v>#DIV/0!</v>
      </c>
      <c r="BW19" s="196"/>
      <c r="BX19" s="196"/>
      <c r="BY19" s="196" t="e">
        <f t="shared" si="33"/>
        <v>#DIV/0!</v>
      </c>
      <c r="BZ19" s="186">
        <f t="shared" si="34"/>
        <v>1901.42</v>
      </c>
      <c r="CA19" s="186">
        <f t="shared" si="35"/>
        <v>728.45386999999994</v>
      </c>
      <c r="CB19" s="187">
        <f t="shared" si="53"/>
        <v>38.311044903282806</v>
      </c>
      <c r="CC19" s="187">
        <f>Мос!C41</f>
        <v>35.76</v>
      </c>
      <c r="CD19" s="187">
        <f>Мос!D41</f>
        <v>5.202</v>
      </c>
      <c r="CE19" s="187">
        <f>CD19/CC19*100</f>
        <v>14.546979865771814</v>
      </c>
      <c r="CF19" s="187">
        <f>Мос!C42</f>
        <v>0</v>
      </c>
      <c r="CG19" s="187">
        <f>Мос!D42</f>
        <v>0</v>
      </c>
      <c r="CH19" s="187" t="e">
        <f t="shared" si="37"/>
        <v>#DIV/0!</v>
      </c>
      <c r="CI19" s="184">
        <f>Мос!C43</f>
        <v>1436.52</v>
      </c>
      <c r="CJ19" s="187">
        <f>Мос!D43</f>
        <v>323.24786999999998</v>
      </c>
      <c r="CK19" s="187">
        <f t="shared" si="7"/>
        <v>22.50214894327959</v>
      </c>
      <c r="CL19" s="187">
        <f>Мос!C45</f>
        <v>154.24</v>
      </c>
      <c r="CM19" s="187">
        <f>Мос!D45</f>
        <v>125.104</v>
      </c>
      <c r="CN19" s="187">
        <f t="shared" si="8"/>
        <v>81.109958506224061</v>
      </c>
      <c r="CO19" s="187">
        <f>Мос!C46</f>
        <v>0</v>
      </c>
      <c r="CP19" s="187">
        <f>Мос!D46</f>
        <v>0</v>
      </c>
      <c r="CQ19" s="187" t="e">
        <f>CP19/CO19*100</f>
        <v>#DIV/0!</v>
      </c>
      <c r="CR19" s="187">
        <f>Мос!C50</f>
        <v>274.89999999999998</v>
      </c>
      <c r="CS19" s="187">
        <f>Мос!D50</f>
        <v>274.89999999999998</v>
      </c>
      <c r="CT19" s="187">
        <f t="shared" si="9"/>
        <v>100</v>
      </c>
      <c r="CU19" s="187"/>
      <c r="CV19" s="187"/>
      <c r="CW19" s="187"/>
      <c r="CX19" s="195"/>
      <c r="CY19" s="195"/>
      <c r="CZ19" s="187" t="e">
        <f t="shared" si="38"/>
        <v>#DIV/0!</v>
      </c>
      <c r="DA19" s="187"/>
      <c r="DB19" s="187"/>
      <c r="DC19" s="187"/>
      <c r="DD19" s="187"/>
      <c r="DE19" s="187"/>
      <c r="DF19" s="187"/>
      <c r="DG19" s="195">
        <f t="shared" si="39"/>
        <v>6863.3660099999997</v>
      </c>
      <c r="DH19" s="195">
        <f t="shared" si="39"/>
        <v>3088.4971100000002</v>
      </c>
      <c r="DI19" s="187">
        <f t="shared" si="40"/>
        <v>44.999743646193807</v>
      </c>
      <c r="DJ19" s="195">
        <f t="shared" si="41"/>
        <v>1791.758</v>
      </c>
      <c r="DK19" s="195">
        <f t="shared" si="41"/>
        <v>1140.25423</v>
      </c>
      <c r="DL19" s="187">
        <f t="shared" si="42"/>
        <v>63.638852456637565</v>
      </c>
      <c r="DM19" s="187">
        <f>Мос!C58</f>
        <v>1764.577</v>
      </c>
      <c r="DN19" s="187">
        <f>Мос!D58</f>
        <v>1135.45577</v>
      </c>
      <c r="DO19" s="187">
        <f t="shared" si="43"/>
        <v>64.347193123337775</v>
      </c>
      <c r="DP19" s="187">
        <f>Мос!C61</f>
        <v>16.698</v>
      </c>
      <c r="DQ19" s="187">
        <f>Мос!D61</f>
        <v>0</v>
      </c>
      <c r="DR19" s="187">
        <f t="shared" si="44"/>
        <v>0</v>
      </c>
      <c r="DS19" s="187">
        <f>Мос!C62</f>
        <v>5</v>
      </c>
      <c r="DT19" s="187">
        <f>Мос!D62</f>
        <v>0</v>
      </c>
      <c r="DU19" s="187">
        <f t="shared" si="45"/>
        <v>0</v>
      </c>
      <c r="DV19" s="187">
        <f>Мос!C63</f>
        <v>5.4829999999999997</v>
      </c>
      <c r="DW19" s="187">
        <f>Мос!D63</f>
        <v>4.7984600000000004</v>
      </c>
      <c r="DX19" s="187">
        <f t="shared" si="46"/>
        <v>87.515228889294193</v>
      </c>
      <c r="DY19" s="187">
        <f>Мос!C65</f>
        <v>150.881</v>
      </c>
      <c r="DZ19" s="187">
        <f>Мос!D65</f>
        <v>101.55576000000001</v>
      </c>
      <c r="EA19" s="187">
        <f t="shared" si="47"/>
        <v>67.308514657246448</v>
      </c>
      <c r="EB19" s="187">
        <f>Мос!C66</f>
        <v>15</v>
      </c>
      <c r="EC19" s="187">
        <f>Мос!D66</f>
        <v>1.8</v>
      </c>
      <c r="ED19" s="187">
        <f t="shared" si="48"/>
        <v>12.000000000000002</v>
      </c>
      <c r="EE19" s="195">
        <f>Мос!C71</f>
        <v>2830.6750099999999</v>
      </c>
      <c r="EF19" s="195">
        <f>Мос!D71</f>
        <v>825.37594999999999</v>
      </c>
      <c r="EG19" s="187">
        <f t="shared" si="49"/>
        <v>29.158273100379688</v>
      </c>
      <c r="EH19" s="195">
        <f>Мос!C76</f>
        <v>944.15</v>
      </c>
      <c r="EI19" s="195">
        <f>Мос!D76</f>
        <v>453.01116999999999</v>
      </c>
      <c r="EJ19" s="187">
        <f t="shared" si="50"/>
        <v>47.980847322988936</v>
      </c>
      <c r="EK19" s="195">
        <f>Мос!C81</f>
        <v>1107.5999999999999</v>
      </c>
      <c r="EL19" s="197">
        <f>Мос!D81</f>
        <v>556.5</v>
      </c>
      <c r="EM19" s="187">
        <f t="shared" si="10"/>
        <v>50.243770314192851</v>
      </c>
      <c r="EN19" s="187">
        <f>Мос!C89</f>
        <v>0</v>
      </c>
      <c r="EO19" s="187">
        <f>Мос!D89</f>
        <v>0</v>
      </c>
      <c r="EP19" s="187" t="e">
        <f t="shared" si="11"/>
        <v>#DIV/0!</v>
      </c>
      <c r="EQ19" s="198">
        <f>Мос!C91</f>
        <v>23.302</v>
      </c>
      <c r="ER19" s="198">
        <f>Мос!D91</f>
        <v>10</v>
      </c>
      <c r="ES19" s="187">
        <f t="shared" si="51"/>
        <v>42.914771264269163</v>
      </c>
      <c r="ET19" s="187">
        <f>Мос!C97</f>
        <v>0</v>
      </c>
      <c r="EU19" s="187">
        <f>Мос!D97</f>
        <v>0</v>
      </c>
      <c r="EV19" s="184" t="e">
        <f t="shared" si="52"/>
        <v>#DIV/0!</v>
      </c>
      <c r="EW19" s="191">
        <f t="shared" si="12"/>
        <v>-328.24600999999984</v>
      </c>
      <c r="EX19" s="191">
        <f t="shared" si="13"/>
        <v>535.64865999999938</v>
      </c>
      <c r="EY19" s="184">
        <f t="shared" si="54"/>
        <v>-163.18512447417095</v>
      </c>
      <c r="EZ19" s="192"/>
      <c r="FA19" s="193"/>
      <c r="FC19" s="193"/>
    </row>
    <row r="20" spans="1:170" s="169" customFormat="1" ht="15" customHeight="1">
      <c r="A20" s="181">
        <v>7</v>
      </c>
      <c r="B20" s="194" t="s">
        <v>310</v>
      </c>
      <c r="C20" s="183">
        <f t="shared" si="14"/>
        <v>5892.91</v>
      </c>
      <c r="D20" s="287">
        <f t="shared" si="0"/>
        <v>3603.3527000000004</v>
      </c>
      <c r="E20" s="187">
        <f t="shared" si="1"/>
        <v>61.147254921592229</v>
      </c>
      <c r="F20" s="185">
        <f t="shared" si="2"/>
        <v>2702.3</v>
      </c>
      <c r="G20" s="185">
        <f t="shared" si="3"/>
        <v>1107.4183500000001</v>
      </c>
      <c r="H20" s="187">
        <f t="shared" si="15"/>
        <v>40.980585057173528</v>
      </c>
      <c r="I20" s="294">
        <f>Ори!C6</f>
        <v>262.3</v>
      </c>
      <c r="J20" s="294">
        <f>Ори!D6</f>
        <v>147.04988</v>
      </c>
      <c r="K20" s="187">
        <f t="shared" si="16"/>
        <v>56.061715592832627</v>
      </c>
      <c r="L20" s="187">
        <f>Ори!C8</f>
        <v>157.66999999999999</v>
      </c>
      <c r="M20" s="187">
        <f>Ори!D8</f>
        <v>124.71626000000001</v>
      </c>
      <c r="N20" s="184">
        <f t="shared" si="17"/>
        <v>79.099549692395527</v>
      </c>
      <c r="O20" s="184">
        <f>Ори!C9</f>
        <v>1.7</v>
      </c>
      <c r="P20" s="184">
        <f>Ори!D9</f>
        <v>1.06863</v>
      </c>
      <c r="Q20" s="184">
        <f t="shared" si="18"/>
        <v>62.860588235294109</v>
      </c>
      <c r="R20" s="184">
        <f>Ори!C10</f>
        <v>263.33</v>
      </c>
      <c r="S20" s="184">
        <f>Ори!D10</f>
        <v>189.06715</v>
      </c>
      <c r="T20" s="184">
        <f t="shared" si="19"/>
        <v>71.79856074127521</v>
      </c>
      <c r="U20" s="184">
        <f>Ори!C11</f>
        <v>0</v>
      </c>
      <c r="V20" s="184">
        <f>Ори!D11</f>
        <v>-29.07545</v>
      </c>
      <c r="W20" s="184" t="e">
        <f t="shared" si="20"/>
        <v>#DIV/0!</v>
      </c>
      <c r="X20" s="195">
        <f>Ори!C13</f>
        <v>40</v>
      </c>
      <c r="Y20" s="195">
        <f>Ори!D13</f>
        <v>35.71604</v>
      </c>
      <c r="Z20" s="187">
        <f t="shared" si="21"/>
        <v>89.290099999999995</v>
      </c>
      <c r="AA20" s="195">
        <f>Ори!C15</f>
        <v>160</v>
      </c>
      <c r="AB20" s="195">
        <f>Ори!D15</f>
        <v>54.549169999999997</v>
      </c>
      <c r="AC20" s="187">
        <f t="shared" si="22"/>
        <v>34.093231250000002</v>
      </c>
      <c r="AD20" s="195">
        <f>Ори!C16</f>
        <v>1620</v>
      </c>
      <c r="AE20" s="195">
        <f>Ори!D16</f>
        <v>515.42993000000001</v>
      </c>
      <c r="AF20" s="187">
        <f t="shared" si="4"/>
        <v>31.816662345679013</v>
      </c>
      <c r="AG20" s="187">
        <f>Ори!C18</f>
        <v>10</v>
      </c>
      <c r="AH20" s="187">
        <f>Ори!D18</f>
        <v>4.01</v>
      </c>
      <c r="AI20" s="187">
        <f t="shared" si="23"/>
        <v>40.099999999999994</v>
      </c>
      <c r="AJ20" s="187"/>
      <c r="AK20" s="187"/>
      <c r="AL20" s="187" t="e">
        <f t="shared" si="5"/>
        <v>#DIV/0!</v>
      </c>
      <c r="AM20" s="195">
        <v>0</v>
      </c>
      <c r="AN20" s="195">
        <v>0</v>
      </c>
      <c r="AO20" s="187" t="e">
        <f t="shared" si="6"/>
        <v>#DIV/0!</v>
      </c>
      <c r="AP20" s="195">
        <f>Ори!C27</f>
        <v>107.3</v>
      </c>
      <c r="AQ20" s="195">
        <f>Ори!D27</f>
        <v>28.988520000000001</v>
      </c>
      <c r="AR20" s="187">
        <f t="shared" si="24"/>
        <v>27.016328052190126</v>
      </c>
      <c r="AS20" s="188">
        <f>Ори!C28</f>
        <v>30</v>
      </c>
      <c r="AT20" s="195">
        <f>Ори!D28</f>
        <v>36</v>
      </c>
      <c r="AU20" s="187">
        <f t="shared" si="25"/>
        <v>120</v>
      </c>
      <c r="AV20" s="195"/>
      <c r="AW20" s="195"/>
      <c r="AX20" s="187" t="e">
        <f t="shared" si="26"/>
        <v>#DIV/0!</v>
      </c>
      <c r="AY20" s="187">
        <f>Ори!C30</f>
        <v>50</v>
      </c>
      <c r="AZ20" s="187">
        <f>Ори!D30</f>
        <v>0</v>
      </c>
      <c r="BA20" s="187">
        <f t="shared" si="27"/>
        <v>0</v>
      </c>
      <c r="BB20" s="187"/>
      <c r="BC20" s="187"/>
      <c r="BD20" s="187"/>
      <c r="BE20" s="187">
        <f>Ори!C33</f>
        <v>0</v>
      </c>
      <c r="BF20" s="187">
        <f>Ори!D33</f>
        <v>0</v>
      </c>
      <c r="BG20" s="187" t="e">
        <f t="shared" si="28"/>
        <v>#DIV/0!</v>
      </c>
      <c r="BH20" s="187"/>
      <c r="BI20" s="187"/>
      <c r="BJ20" s="187" t="e">
        <f t="shared" si="29"/>
        <v>#DIV/0!</v>
      </c>
      <c r="BK20" s="187"/>
      <c r="BL20" s="187"/>
      <c r="BM20" s="187"/>
      <c r="BN20" s="187"/>
      <c r="BO20" s="361">
        <f>Ори!D34</f>
        <v>0</v>
      </c>
      <c r="BP20" s="187" t="e">
        <f t="shared" si="30"/>
        <v>#DIV/0!</v>
      </c>
      <c r="BQ20" s="187">
        <f>Ори!C36</f>
        <v>0</v>
      </c>
      <c r="BR20" s="187">
        <f>Ори!D36</f>
        <v>-0.10178</v>
      </c>
      <c r="BS20" s="187" t="e">
        <f t="shared" si="31"/>
        <v>#DIV/0!</v>
      </c>
      <c r="BT20" s="187"/>
      <c r="BU20" s="187"/>
      <c r="BV20" s="196" t="e">
        <f t="shared" si="32"/>
        <v>#DIV/0!</v>
      </c>
      <c r="BW20" s="196"/>
      <c r="BX20" s="196"/>
      <c r="BY20" s="196" t="e">
        <f t="shared" si="33"/>
        <v>#DIV/0!</v>
      </c>
      <c r="BZ20" s="186">
        <f t="shared" si="34"/>
        <v>3190.6099999999997</v>
      </c>
      <c r="CA20" s="186">
        <f t="shared" si="35"/>
        <v>2495.93435</v>
      </c>
      <c r="CB20" s="187">
        <f t="shared" si="53"/>
        <v>78.227497249742214</v>
      </c>
      <c r="CC20" s="187">
        <f>Ори!C41</f>
        <v>1357.7539999999999</v>
      </c>
      <c r="CD20" s="187">
        <f>Ори!D41</f>
        <v>988.90200000000004</v>
      </c>
      <c r="CE20" s="187">
        <f t="shared" si="36"/>
        <v>72.833665008536158</v>
      </c>
      <c r="CF20" s="187">
        <f>Ори!C42</f>
        <v>320</v>
      </c>
      <c r="CG20" s="187">
        <f>Ори!D42</f>
        <v>160</v>
      </c>
      <c r="CH20" s="187">
        <f t="shared" si="37"/>
        <v>50</v>
      </c>
      <c r="CI20" s="187">
        <f>Ори!C43</f>
        <v>1047.7360000000001</v>
      </c>
      <c r="CJ20" s="187">
        <f>Ори!D43</f>
        <v>912.74599999999998</v>
      </c>
      <c r="CK20" s="187">
        <f t="shared" si="7"/>
        <v>87.116029228737005</v>
      </c>
      <c r="CL20" s="187">
        <f>Ори!C45</f>
        <v>155.91999999999999</v>
      </c>
      <c r="CM20" s="187">
        <f>Ори!D45</f>
        <v>125.104</v>
      </c>
      <c r="CN20" s="187">
        <f t="shared" si="8"/>
        <v>80.23601847101078</v>
      </c>
      <c r="CO20" s="187">
        <f>Ори!C46</f>
        <v>0</v>
      </c>
      <c r="CP20" s="187">
        <f>Ори!D46</f>
        <v>0</v>
      </c>
      <c r="CQ20" s="187" t="e">
        <f>CP20/CO20*100</f>
        <v>#DIV/0!</v>
      </c>
      <c r="CR20" s="187">
        <f>Ори!C47</f>
        <v>309.2</v>
      </c>
      <c r="CS20" s="187">
        <f>Ори!D47</f>
        <v>309.18234999999999</v>
      </c>
      <c r="CT20" s="187">
        <f t="shared" si="9"/>
        <v>99.994291720569208</v>
      </c>
      <c r="CU20" s="187"/>
      <c r="CV20" s="187"/>
      <c r="CW20" s="187"/>
      <c r="CX20" s="195"/>
      <c r="CY20" s="195"/>
      <c r="CZ20" s="187" t="e">
        <f t="shared" si="38"/>
        <v>#DIV/0!</v>
      </c>
      <c r="DA20" s="187"/>
      <c r="DB20" s="187"/>
      <c r="DC20" s="187"/>
      <c r="DD20" s="187"/>
      <c r="DE20" s="187"/>
      <c r="DF20" s="187"/>
      <c r="DG20" s="195">
        <f t="shared" si="39"/>
        <v>6004.6435099999999</v>
      </c>
      <c r="DH20" s="195">
        <f t="shared" si="39"/>
        <v>3670.6233199999997</v>
      </c>
      <c r="DI20" s="187">
        <f t="shared" si="40"/>
        <v>61.129745902267551</v>
      </c>
      <c r="DJ20" s="195">
        <f t="shared" si="41"/>
        <v>1322.2574999999999</v>
      </c>
      <c r="DK20" s="195">
        <f t="shared" si="41"/>
        <v>757.93014000000005</v>
      </c>
      <c r="DL20" s="187">
        <f t="shared" si="42"/>
        <v>57.320918202392498</v>
      </c>
      <c r="DM20" s="187">
        <f>Ори!C58</f>
        <v>1313.154</v>
      </c>
      <c r="DN20" s="187">
        <f>Ори!D58</f>
        <v>753.82664</v>
      </c>
      <c r="DO20" s="187">
        <f t="shared" si="43"/>
        <v>57.405806173533335</v>
      </c>
      <c r="DP20" s="187">
        <f>Ори!C61</f>
        <v>0</v>
      </c>
      <c r="DQ20" s="187">
        <f>Ори!D61</f>
        <v>0</v>
      </c>
      <c r="DR20" s="187" t="e">
        <f t="shared" si="44"/>
        <v>#DIV/0!</v>
      </c>
      <c r="DS20" s="187">
        <f>Ори!C62</f>
        <v>5</v>
      </c>
      <c r="DT20" s="187">
        <f>Ори!D62</f>
        <v>0</v>
      </c>
      <c r="DU20" s="187">
        <f t="shared" si="45"/>
        <v>0</v>
      </c>
      <c r="DV20" s="187">
        <f>Ори!C63</f>
        <v>4.1035000000000004</v>
      </c>
      <c r="DW20" s="187">
        <f>Ори!D63</f>
        <v>4.1035000000000004</v>
      </c>
      <c r="DX20" s="187">
        <f t="shared" si="46"/>
        <v>100</v>
      </c>
      <c r="DY20" s="187">
        <f>Ори!C65</f>
        <v>150.881</v>
      </c>
      <c r="DZ20" s="187">
        <f>Ори!D65</f>
        <v>85.169780000000003</v>
      </c>
      <c r="EA20" s="187">
        <f t="shared" si="47"/>
        <v>56.448313571622663</v>
      </c>
      <c r="EB20" s="187">
        <f>Ори!C66</f>
        <v>8.6155000000000008</v>
      </c>
      <c r="EC20" s="187">
        <f>Ори!D66</f>
        <v>6.9649999999999999</v>
      </c>
      <c r="ED20" s="187">
        <f t="shared" si="48"/>
        <v>80.842667285705986</v>
      </c>
      <c r="EE20" s="195">
        <f>Ори!C71</f>
        <v>2156.7305099999999</v>
      </c>
      <c r="EF20" s="195">
        <f>Ори!D71</f>
        <v>1579.8311999999999</v>
      </c>
      <c r="EG20" s="187">
        <f t="shared" si="49"/>
        <v>73.251210231175335</v>
      </c>
      <c r="EH20" s="195">
        <f>Ори!C76</f>
        <v>830.15899999999999</v>
      </c>
      <c r="EI20" s="195">
        <f>Ори!D76</f>
        <v>738.38620000000003</v>
      </c>
      <c r="EJ20" s="187">
        <f t="shared" si="50"/>
        <v>88.945153880160305</v>
      </c>
      <c r="EK20" s="195">
        <f>Ори!C81</f>
        <v>1534</v>
      </c>
      <c r="EL20" s="197">
        <f>Ори!D81</f>
        <v>502.34100000000001</v>
      </c>
      <c r="EM20" s="187">
        <f t="shared" si="10"/>
        <v>32.747131681877448</v>
      </c>
      <c r="EN20" s="187">
        <f>Ори!C83</f>
        <v>0</v>
      </c>
      <c r="EO20" s="187">
        <f>Ори!D83</f>
        <v>0</v>
      </c>
      <c r="EP20" s="187" t="e">
        <f t="shared" si="11"/>
        <v>#DIV/0!</v>
      </c>
      <c r="EQ20" s="198">
        <f>Ори!C88</f>
        <v>2</v>
      </c>
      <c r="ER20" s="198">
        <f>Ори!D88</f>
        <v>0</v>
      </c>
      <c r="ES20" s="187">
        <f t="shared" si="51"/>
        <v>0</v>
      </c>
      <c r="ET20" s="187">
        <f>Ори!C94</f>
        <v>0</v>
      </c>
      <c r="EU20" s="187">
        <f>Ори!D94</f>
        <v>0</v>
      </c>
      <c r="EV20" s="184" t="e">
        <f t="shared" si="52"/>
        <v>#DIV/0!</v>
      </c>
      <c r="EW20" s="191">
        <f t="shared" si="12"/>
        <v>-111.73351000000002</v>
      </c>
      <c r="EX20" s="191">
        <f t="shared" si="13"/>
        <v>-67.270619999999326</v>
      </c>
      <c r="EY20" s="184">
        <f t="shared" si="54"/>
        <v>60.206306953034328</v>
      </c>
      <c r="EZ20" s="192"/>
      <c r="FA20" s="193"/>
      <c r="FC20" s="193"/>
      <c r="FF20" s="200"/>
      <c r="FG20" s="200"/>
      <c r="FH20" s="200"/>
      <c r="FI20" s="200"/>
      <c r="FJ20" s="200"/>
      <c r="FK20" s="200"/>
      <c r="FL20" s="200"/>
      <c r="FM20" s="200"/>
      <c r="FN20" s="200"/>
    </row>
    <row r="21" spans="1:170" s="169" customFormat="1" ht="15" customHeight="1">
      <c r="A21" s="181">
        <v>8</v>
      </c>
      <c r="B21" s="194" t="s">
        <v>311</v>
      </c>
      <c r="C21" s="183">
        <f t="shared" si="14"/>
        <v>6439.1309999999994</v>
      </c>
      <c r="D21" s="287">
        <f t="shared" si="0"/>
        <v>3525.5749900000001</v>
      </c>
      <c r="E21" s="187">
        <f t="shared" si="1"/>
        <v>54.752341426195564</v>
      </c>
      <c r="F21" s="185">
        <f t="shared" si="2"/>
        <v>1904.9999999999998</v>
      </c>
      <c r="G21" s="185">
        <f t="shared" si="3"/>
        <v>930.9858200000001</v>
      </c>
      <c r="H21" s="187">
        <f t="shared" si="15"/>
        <v>48.870646719160113</v>
      </c>
      <c r="I21" s="195">
        <f>Сят!C6</f>
        <v>108.1</v>
      </c>
      <c r="J21" s="195">
        <f>Сят!D6</f>
        <v>67.200050000000005</v>
      </c>
      <c r="K21" s="187">
        <f t="shared" si="16"/>
        <v>62.164708603145243</v>
      </c>
      <c r="L21" s="187">
        <f>Сят!C8</f>
        <v>194.3</v>
      </c>
      <c r="M21" s="187">
        <f>Сят!D8</f>
        <v>153.69073</v>
      </c>
      <c r="N21" s="184">
        <f t="shared" si="17"/>
        <v>79.0997066392177</v>
      </c>
      <c r="O21" s="184">
        <f>Сят!C9</f>
        <v>2.1</v>
      </c>
      <c r="P21" s="184">
        <f>Сят!D9</f>
        <v>1.3168500000000001</v>
      </c>
      <c r="Q21" s="184">
        <f t="shared" si="18"/>
        <v>62.707142857142863</v>
      </c>
      <c r="R21" s="184">
        <f>Сят!C10</f>
        <v>324.5</v>
      </c>
      <c r="S21" s="184">
        <f>Сят!D10</f>
        <v>232.99185</v>
      </c>
      <c r="T21" s="184">
        <f t="shared" si="19"/>
        <v>71.800261941448383</v>
      </c>
      <c r="U21" s="184">
        <f>Сят!C11</f>
        <v>0</v>
      </c>
      <c r="V21" s="184">
        <f>Сят!D11</f>
        <v>-35.830280000000002</v>
      </c>
      <c r="W21" s="184" t="e">
        <f t="shared" si="20"/>
        <v>#DIV/0!</v>
      </c>
      <c r="X21" s="195">
        <f>Сят!C13</f>
        <v>40</v>
      </c>
      <c r="Y21" s="195">
        <f>Сят!D13</f>
        <v>43.00244</v>
      </c>
      <c r="Z21" s="187">
        <f t="shared" si="21"/>
        <v>107.5061</v>
      </c>
      <c r="AA21" s="195">
        <f>Сят!C15</f>
        <v>130</v>
      </c>
      <c r="AB21" s="195">
        <f>Сят!D15</f>
        <v>45.403060000000004</v>
      </c>
      <c r="AC21" s="187">
        <f t="shared" si="22"/>
        <v>34.925430769230772</v>
      </c>
      <c r="AD21" s="195">
        <f>Сят!C16</f>
        <v>930</v>
      </c>
      <c r="AE21" s="195">
        <f>Сят!D16</f>
        <v>510.47098999999997</v>
      </c>
      <c r="AF21" s="187">
        <f t="shared" si="4"/>
        <v>54.889353763440866</v>
      </c>
      <c r="AG21" s="187">
        <f>Сят!C18</f>
        <v>10</v>
      </c>
      <c r="AH21" s="187">
        <f>Сят!D18</f>
        <v>2.375</v>
      </c>
      <c r="AI21" s="187">
        <f t="shared" si="23"/>
        <v>23.75</v>
      </c>
      <c r="AJ21" s="187">
        <f>Сят!C22</f>
        <v>0</v>
      </c>
      <c r="AK21" s="187">
        <f>Сят!D20</f>
        <v>0</v>
      </c>
      <c r="AL21" s="187" t="e">
        <f t="shared" si="5"/>
        <v>#DIV/0!</v>
      </c>
      <c r="AM21" s="195">
        <v>0</v>
      </c>
      <c r="AN21" s="195">
        <v>0</v>
      </c>
      <c r="AO21" s="187" t="e">
        <f t="shared" si="6"/>
        <v>#DIV/0!</v>
      </c>
      <c r="AP21" s="195">
        <f>Сят!C27</f>
        <v>160</v>
      </c>
      <c r="AQ21" s="195">
        <f>Сят!D27</f>
        <v>0</v>
      </c>
      <c r="AR21" s="187">
        <f t="shared" si="24"/>
        <v>0</v>
      </c>
      <c r="AS21" s="188">
        <f>Сят!C28</f>
        <v>6</v>
      </c>
      <c r="AT21" s="195">
        <f>Сят!D28</f>
        <v>4.5158399999999999</v>
      </c>
      <c r="AU21" s="187">
        <f t="shared" si="25"/>
        <v>75.263999999999996</v>
      </c>
      <c r="AV21" s="195"/>
      <c r="AW21" s="195"/>
      <c r="AX21" s="187" t="e">
        <f t="shared" si="26"/>
        <v>#DIV/0!</v>
      </c>
      <c r="AY21" s="187">
        <f>Сят!C30</f>
        <v>0</v>
      </c>
      <c r="AZ21" s="187">
        <f>Сят!D30</f>
        <v>0.84928999999999999</v>
      </c>
      <c r="BA21" s="187" t="e">
        <f t="shared" si="27"/>
        <v>#DIV/0!</v>
      </c>
      <c r="BB21" s="187"/>
      <c r="BC21" s="187"/>
      <c r="BD21" s="187"/>
      <c r="BE21" s="187">
        <f>Сят!C33</f>
        <v>0</v>
      </c>
      <c r="BF21" s="187">
        <f>Сят!D33</f>
        <v>0</v>
      </c>
      <c r="BG21" s="187" t="e">
        <f t="shared" si="28"/>
        <v>#DIV/0!</v>
      </c>
      <c r="BH21" s="187"/>
      <c r="BI21" s="187"/>
      <c r="BJ21" s="187" t="e">
        <f t="shared" si="29"/>
        <v>#DIV/0!</v>
      </c>
      <c r="BK21" s="187"/>
      <c r="BL21" s="187"/>
      <c r="BM21" s="187"/>
      <c r="BN21" s="187"/>
      <c r="BO21" s="361">
        <f>Сят!D34</f>
        <v>0</v>
      </c>
      <c r="BP21" s="187" t="e">
        <f t="shared" si="30"/>
        <v>#DIV/0!</v>
      </c>
      <c r="BQ21" s="187">
        <f>Сят!C36</f>
        <v>0</v>
      </c>
      <c r="BR21" s="187">
        <f>Сят!D36</f>
        <v>-95</v>
      </c>
      <c r="BS21" s="187" t="e">
        <f t="shared" si="31"/>
        <v>#DIV/0!</v>
      </c>
      <c r="BT21" s="187"/>
      <c r="BU21" s="187"/>
      <c r="BV21" s="196" t="e">
        <f t="shared" si="32"/>
        <v>#DIV/0!</v>
      </c>
      <c r="BW21" s="196"/>
      <c r="BX21" s="196"/>
      <c r="BY21" s="196" t="e">
        <f t="shared" si="33"/>
        <v>#DIV/0!</v>
      </c>
      <c r="BZ21" s="186">
        <f t="shared" si="34"/>
        <v>4534.1309999999994</v>
      </c>
      <c r="CA21" s="186">
        <f t="shared" si="35"/>
        <v>2594.5891700000002</v>
      </c>
      <c r="CB21" s="187">
        <f t="shared" si="53"/>
        <v>57.223515818135837</v>
      </c>
      <c r="CC21" s="187">
        <f>Сят!C41</f>
        <v>2768.8539999999998</v>
      </c>
      <c r="CD21" s="187">
        <f>Сят!D41</f>
        <v>1992.46</v>
      </c>
      <c r="CE21" s="187">
        <f t="shared" si="36"/>
        <v>71.959734966162898</v>
      </c>
      <c r="CF21" s="187">
        <f>Сят!C42</f>
        <v>0</v>
      </c>
      <c r="CG21" s="187">
        <f>Сят!D42</f>
        <v>0</v>
      </c>
      <c r="CH21" s="187" t="e">
        <f t="shared" si="37"/>
        <v>#DIV/0!</v>
      </c>
      <c r="CI21" s="187">
        <f>Сят!C43</f>
        <v>1320.674</v>
      </c>
      <c r="CJ21" s="187">
        <f>Сят!D43</f>
        <v>268.69499999999999</v>
      </c>
      <c r="CK21" s="187">
        <f t="shared" si="7"/>
        <v>20.34529338807306</v>
      </c>
      <c r="CL21" s="187">
        <f>Сят!C44</f>
        <v>157.59899999999999</v>
      </c>
      <c r="CM21" s="187">
        <f>Сят!D44</f>
        <v>126.14109999999999</v>
      </c>
      <c r="CN21" s="187">
        <f t="shared" si="8"/>
        <v>80.039276898965099</v>
      </c>
      <c r="CO21" s="187">
        <f>Сят!C48</f>
        <v>0</v>
      </c>
      <c r="CP21" s="187">
        <f>Сят!D48</f>
        <v>0</v>
      </c>
      <c r="CQ21" s="187" t="e">
        <f>CP21/CO21*100</f>
        <v>#DIV/0!</v>
      </c>
      <c r="CR21" s="187">
        <f>Сят!C49</f>
        <v>287.00400000000002</v>
      </c>
      <c r="CS21" s="187">
        <f>Сят!D49</f>
        <v>287.00457</v>
      </c>
      <c r="CT21" s="187">
        <f t="shared" si="9"/>
        <v>100.00019860350378</v>
      </c>
      <c r="CU21" s="187"/>
      <c r="CV21" s="187">
        <f>Сят!D50</f>
        <v>-79.711500000000001</v>
      </c>
      <c r="CW21" s="187"/>
      <c r="CX21" s="195"/>
      <c r="CY21" s="195"/>
      <c r="CZ21" s="187" t="e">
        <f t="shared" si="38"/>
        <v>#DIV/0!</v>
      </c>
      <c r="DA21" s="187"/>
      <c r="DB21" s="187"/>
      <c r="DC21" s="187"/>
      <c r="DD21" s="187"/>
      <c r="DE21" s="187"/>
      <c r="DF21" s="187"/>
      <c r="DG21" s="195">
        <f t="shared" si="39"/>
        <v>6888.6530199999997</v>
      </c>
      <c r="DH21" s="195">
        <f t="shared" si="39"/>
        <v>3568.7220200000002</v>
      </c>
      <c r="DI21" s="187">
        <f t="shared" si="40"/>
        <v>51.805803103144257</v>
      </c>
      <c r="DJ21" s="195">
        <f t="shared" si="41"/>
        <v>1462.2629999999999</v>
      </c>
      <c r="DK21" s="195">
        <f>Сят!D56</f>
        <v>878.14450000000011</v>
      </c>
      <c r="DL21" s="187">
        <f t="shared" si="42"/>
        <v>60.053800171378214</v>
      </c>
      <c r="DM21" s="187">
        <f>Сят!C58</f>
        <v>1410.7539999999999</v>
      </c>
      <c r="DN21" s="187">
        <f>Сят!D58</f>
        <v>866.28150000000005</v>
      </c>
      <c r="DO21" s="187">
        <f t="shared" si="43"/>
        <v>61.405567519213136</v>
      </c>
      <c r="DP21" s="187">
        <f>Сят!C61</f>
        <v>19.635999999999999</v>
      </c>
      <c r="DQ21" s="187">
        <f>Сят!D61</f>
        <v>0</v>
      </c>
      <c r="DR21" s="187">
        <f t="shared" si="44"/>
        <v>0</v>
      </c>
      <c r="DS21" s="187">
        <f>Сят!C62</f>
        <v>20.010000000000002</v>
      </c>
      <c r="DT21" s="187">
        <f>Сят!D62</f>
        <v>0</v>
      </c>
      <c r="DU21" s="187">
        <f t="shared" si="45"/>
        <v>0</v>
      </c>
      <c r="DV21" s="187">
        <f>Сят!C63</f>
        <v>11.863</v>
      </c>
      <c r="DW21" s="187">
        <f>Сят!D63</f>
        <v>11.863</v>
      </c>
      <c r="DX21" s="187">
        <f t="shared" si="46"/>
        <v>100</v>
      </c>
      <c r="DY21" s="187">
        <f>Сят!C65</f>
        <v>150.881</v>
      </c>
      <c r="DZ21" s="187">
        <f>Сят!D65</f>
        <v>104.54644</v>
      </c>
      <c r="EA21" s="187">
        <f t="shared" si="47"/>
        <v>69.290659526381731</v>
      </c>
      <c r="EB21" s="187">
        <f>Сят!C66</f>
        <v>10</v>
      </c>
      <c r="EC21" s="187">
        <f>Сят!D66</f>
        <v>0</v>
      </c>
      <c r="ED21" s="187">
        <f t="shared" si="48"/>
        <v>0</v>
      </c>
      <c r="EE21" s="195">
        <f>Сят!C71</f>
        <v>2319.4480199999998</v>
      </c>
      <c r="EF21" s="195">
        <f>Сят!D71</f>
        <v>508.60867999999999</v>
      </c>
      <c r="EG21" s="187">
        <f t="shared" si="49"/>
        <v>21.928005094936339</v>
      </c>
      <c r="EH21" s="195">
        <f>Сят!C76</f>
        <v>809.21100000000001</v>
      </c>
      <c r="EI21" s="195">
        <f>Сят!D76</f>
        <v>475.56948</v>
      </c>
      <c r="EJ21" s="187">
        <f t="shared" si="50"/>
        <v>58.769527354423012</v>
      </c>
      <c r="EK21" s="195">
        <f>Сят!C80</f>
        <v>2099.85</v>
      </c>
      <c r="EL21" s="197">
        <f>Сят!D80</f>
        <v>1577.9379200000001</v>
      </c>
      <c r="EM21" s="187">
        <f t="shared" si="10"/>
        <v>75.1452684715575</v>
      </c>
      <c r="EN21" s="187">
        <f>Сят!C82</f>
        <v>0</v>
      </c>
      <c r="EO21" s="187">
        <f>Сят!D82</f>
        <v>0</v>
      </c>
      <c r="EP21" s="187" t="e">
        <f t="shared" si="11"/>
        <v>#DIV/0!</v>
      </c>
      <c r="EQ21" s="198">
        <f>Сят!C87</f>
        <v>37</v>
      </c>
      <c r="ER21" s="198">
        <f>Сят!D87</f>
        <v>23.914999999999999</v>
      </c>
      <c r="ES21" s="187">
        <f t="shared" si="51"/>
        <v>64.63513513513513</v>
      </c>
      <c r="ET21" s="187">
        <f>Сят!C93</f>
        <v>0</v>
      </c>
      <c r="EU21" s="187">
        <f>Сят!D93</f>
        <v>0</v>
      </c>
      <c r="EV21" s="184" t="e">
        <f t="shared" si="52"/>
        <v>#DIV/0!</v>
      </c>
      <c r="EW21" s="191">
        <f t="shared" si="12"/>
        <v>-449.52202000000034</v>
      </c>
      <c r="EX21" s="191">
        <f t="shared" si="13"/>
        <v>-43.147030000000086</v>
      </c>
      <c r="EY21" s="184">
        <f t="shared" si="54"/>
        <v>9.5984241216926485</v>
      </c>
      <c r="EZ21" s="192"/>
      <c r="FA21" s="193"/>
      <c r="FB21" s="200"/>
      <c r="FC21" s="193"/>
      <c r="FD21" s="200"/>
      <c r="FE21" s="200"/>
      <c r="FF21" s="200"/>
      <c r="FG21" s="200"/>
      <c r="FH21" s="200"/>
      <c r="FI21" s="200"/>
      <c r="FJ21" s="200"/>
      <c r="FK21" s="200"/>
      <c r="FL21" s="200"/>
      <c r="FM21" s="200"/>
      <c r="FN21" s="200"/>
    </row>
    <row r="22" spans="1:170" s="235" customFormat="1" ht="15" customHeight="1">
      <c r="A22" s="226">
        <v>9</v>
      </c>
      <c r="B22" s="227" t="s">
        <v>312</v>
      </c>
      <c r="C22" s="288">
        <f>F22+BZ22</f>
        <v>4808.7370000000001</v>
      </c>
      <c r="D22" s="288">
        <f t="shared" si="0"/>
        <v>2860.8002900000001</v>
      </c>
      <c r="E22" s="228">
        <f t="shared" si="1"/>
        <v>59.491718719489128</v>
      </c>
      <c r="F22" s="229">
        <f>I22+X22+AA22+AD22+AG22+AM22+AS22+BE22+BQ22+BN22+AJ22+AY22+L22+R22+O22+U22+AP22</f>
        <v>1863.5</v>
      </c>
      <c r="G22" s="229">
        <f t="shared" si="3"/>
        <v>1229.1916899999999</v>
      </c>
      <c r="H22" s="228">
        <f t="shared" si="15"/>
        <v>65.961453716125561</v>
      </c>
      <c r="I22" s="188">
        <f>Тор!C6</f>
        <v>104.8</v>
      </c>
      <c r="J22" s="188">
        <f>Тор!D6</f>
        <v>63.301630000000003</v>
      </c>
      <c r="K22" s="228">
        <f t="shared" si="16"/>
        <v>60.402318702290081</v>
      </c>
      <c r="L22" s="228">
        <f>Тор!C8</f>
        <v>269.94</v>
      </c>
      <c r="M22" s="228">
        <f>Тор!D8</f>
        <v>213.52934999999999</v>
      </c>
      <c r="N22" s="228">
        <f t="shared" si="17"/>
        <v>79.102522782840637</v>
      </c>
      <c r="O22" s="228">
        <f>Тор!C9</f>
        <v>2.9</v>
      </c>
      <c r="P22" s="228">
        <f>Тор!D9</f>
        <v>1.8295300000000001</v>
      </c>
      <c r="Q22" s="228">
        <f t="shared" si="18"/>
        <v>63.087241379310356</v>
      </c>
      <c r="R22" s="228">
        <f>Тор!C10</f>
        <v>450.86</v>
      </c>
      <c r="S22" s="228">
        <f>Тор!D10</f>
        <v>323.70591000000002</v>
      </c>
      <c r="T22" s="228">
        <f t="shared" si="19"/>
        <v>71.797433793195225</v>
      </c>
      <c r="U22" s="228">
        <f>Тор!C11</f>
        <v>0</v>
      </c>
      <c r="V22" s="228">
        <f>Тор!D11</f>
        <v>-49.7806</v>
      </c>
      <c r="W22" s="228" t="e">
        <f t="shared" si="20"/>
        <v>#DIV/0!</v>
      </c>
      <c r="X22" s="188">
        <f>Тор!C13</f>
        <v>15</v>
      </c>
      <c r="Y22" s="188">
        <f>Тор!D13</f>
        <v>26.019300000000001</v>
      </c>
      <c r="Z22" s="228">
        <f t="shared" si="21"/>
        <v>173.46200000000002</v>
      </c>
      <c r="AA22" s="188">
        <f>Тор!C15</f>
        <v>160</v>
      </c>
      <c r="AB22" s="188">
        <f>Тор!D15</f>
        <v>33.919730000000001</v>
      </c>
      <c r="AC22" s="228">
        <f t="shared" si="22"/>
        <v>21.199831250000003</v>
      </c>
      <c r="AD22" s="188">
        <f>Тор!C16</f>
        <v>470</v>
      </c>
      <c r="AE22" s="188">
        <f>Тор!D16</f>
        <v>235.4803</v>
      </c>
      <c r="AF22" s="228">
        <f t="shared" si="4"/>
        <v>50.102191489361701</v>
      </c>
      <c r="AG22" s="228">
        <f>Тор!C18</f>
        <v>10</v>
      </c>
      <c r="AH22" s="228">
        <f>Тор!D18</f>
        <v>4.5999999999999996</v>
      </c>
      <c r="AI22" s="228">
        <f t="shared" si="23"/>
        <v>46</v>
      </c>
      <c r="AJ22" s="228"/>
      <c r="AK22" s="228">
        <f>Тор!D20</f>
        <v>0</v>
      </c>
      <c r="AL22" s="228" t="e">
        <f t="shared" si="5"/>
        <v>#DIV/0!</v>
      </c>
      <c r="AM22" s="188">
        <v>0</v>
      </c>
      <c r="AN22" s="188">
        <v>0</v>
      </c>
      <c r="AO22" s="228" t="e">
        <f t="shared" si="6"/>
        <v>#DIV/0!</v>
      </c>
      <c r="AP22" s="188">
        <f>Тор!C27</f>
        <v>300</v>
      </c>
      <c r="AQ22" s="188">
        <f>Тор!D27</f>
        <v>305.50894</v>
      </c>
      <c r="AR22" s="228">
        <f t="shared" si="24"/>
        <v>101.83631333333334</v>
      </c>
      <c r="AS22" s="188">
        <f>Тор!C28</f>
        <v>30</v>
      </c>
      <c r="AT22" s="188">
        <f>Тор!D28</f>
        <v>39.60622</v>
      </c>
      <c r="AU22" s="228">
        <f t="shared" si="25"/>
        <v>132.02073333333334</v>
      </c>
      <c r="AV22" s="188"/>
      <c r="AW22" s="188"/>
      <c r="AX22" s="228" t="e">
        <f t="shared" si="26"/>
        <v>#DIV/0!</v>
      </c>
      <c r="AY22" s="228">
        <f>Тор!C29</f>
        <v>50</v>
      </c>
      <c r="AZ22" s="228">
        <f>Тор!D29</f>
        <v>31.729009999999999</v>
      </c>
      <c r="BA22" s="228">
        <f t="shared" si="27"/>
        <v>63.458019999999991</v>
      </c>
      <c r="BB22" s="228"/>
      <c r="BC22" s="228"/>
      <c r="BD22" s="228"/>
      <c r="BE22" s="228">
        <f>Тор!C34+Тор!C33</f>
        <v>0</v>
      </c>
      <c r="BF22" s="228">
        <f>Тор!D32</f>
        <v>0</v>
      </c>
      <c r="BG22" s="228" t="e">
        <f t="shared" si="28"/>
        <v>#DIV/0!</v>
      </c>
      <c r="BH22" s="228"/>
      <c r="BI22" s="228"/>
      <c r="BJ22" s="228" t="e">
        <f t="shared" si="29"/>
        <v>#DIV/0!</v>
      </c>
      <c r="BK22" s="228"/>
      <c r="BL22" s="228"/>
      <c r="BM22" s="228"/>
      <c r="BN22" s="228"/>
      <c r="BO22" s="362">
        <f>Тор!D35</f>
        <v>0</v>
      </c>
      <c r="BP22" s="228" t="e">
        <f t="shared" si="30"/>
        <v>#DIV/0!</v>
      </c>
      <c r="BQ22" s="228">
        <f>Тор!C37</f>
        <v>0</v>
      </c>
      <c r="BR22" s="228">
        <f>Тор!D37</f>
        <v>-0.25763000000000003</v>
      </c>
      <c r="BS22" s="228" t="e">
        <f t="shared" si="31"/>
        <v>#DIV/0!</v>
      </c>
      <c r="BT22" s="228"/>
      <c r="BU22" s="228"/>
      <c r="BV22" s="230" t="e">
        <f t="shared" si="32"/>
        <v>#DIV/0!</v>
      </c>
      <c r="BW22" s="230"/>
      <c r="BX22" s="230"/>
      <c r="BY22" s="230" t="e">
        <f t="shared" si="33"/>
        <v>#DIV/0!</v>
      </c>
      <c r="BZ22" s="188">
        <f t="shared" si="34"/>
        <v>2945.2370000000001</v>
      </c>
      <c r="CA22" s="186">
        <f t="shared" si="35"/>
        <v>1631.6086</v>
      </c>
      <c r="CB22" s="228">
        <f t="shared" si="53"/>
        <v>55.398210738219035</v>
      </c>
      <c r="CC22" s="228">
        <f>Тор!C42</f>
        <v>1351.8630000000001</v>
      </c>
      <c r="CD22" s="228">
        <f>Тор!D42</f>
        <v>1012.1950000000001</v>
      </c>
      <c r="CE22" s="228">
        <f t="shared" si="36"/>
        <v>74.874081175385371</v>
      </c>
      <c r="CF22" s="228">
        <f>Тор!C43</f>
        <v>584</v>
      </c>
      <c r="CG22" s="228">
        <f>Тор!D43</f>
        <v>227</v>
      </c>
      <c r="CH22" s="228">
        <f t="shared" si="37"/>
        <v>38.869863013698627</v>
      </c>
      <c r="CI22" s="228">
        <f>Тор!C44</f>
        <v>802.53499999999997</v>
      </c>
      <c r="CJ22" s="228">
        <f>Тор!D44</f>
        <v>237.059</v>
      </c>
      <c r="CK22" s="228">
        <f t="shared" si="7"/>
        <v>29.538774009856265</v>
      </c>
      <c r="CL22" s="228">
        <f>Тор!C45</f>
        <v>154.239</v>
      </c>
      <c r="CM22" s="228">
        <f>Тор!D45</f>
        <v>125.104</v>
      </c>
      <c r="CN22" s="228">
        <f t="shared" si="8"/>
        <v>81.110484378140413</v>
      </c>
      <c r="CO22" s="228">
        <f>Тор!C46</f>
        <v>0</v>
      </c>
      <c r="CP22" s="228">
        <f>Тор!D46</f>
        <v>0</v>
      </c>
      <c r="CQ22" s="228"/>
      <c r="CR22" s="228">
        <f>Тор!C48</f>
        <v>52.6</v>
      </c>
      <c r="CS22" s="228">
        <f>Тор!D48</f>
        <v>52.6</v>
      </c>
      <c r="CT22" s="228">
        <f t="shared" si="9"/>
        <v>100</v>
      </c>
      <c r="CU22" s="228"/>
      <c r="CV22" s="228">
        <f>Тор!D49</f>
        <v>-22.349399999999999</v>
      </c>
      <c r="CW22" s="228"/>
      <c r="CX22" s="188"/>
      <c r="CY22" s="188"/>
      <c r="CZ22" s="228" t="e">
        <f t="shared" si="38"/>
        <v>#DIV/0!</v>
      </c>
      <c r="DA22" s="228"/>
      <c r="DB22" s="228"/>
      <c r="DC22" s="228"/>
      <c r="DD22" s="228"/>
      <c r="DE22" s="228"/>
      <c r="DF22" s="228"/>
      <c r="DG22" s="188">
        <f t="shared" si="39"/>
        <v>5115.77423</v>
      </c>
      <c r="DH22" s="188">
        <f t="shared" si="39"/>
        <v>2675.7913200000003</v>
      </c>
      <c r="DI22" s="228">
        <f t="shared" si="40"/>
        <v>52.304718693576916</v>
      </c>
      <c r="DJ22" s="188">
        <f t="shared" si="41"/>
        <v>1122.472</v>
      </c>
      <c r="DK22" s="188">
        <f t="shared" si="41"/>
        <v>643.11628999999994</v>
      </c>
      <c r="DL22" s="228">
        <f t="shared" si="42"/>
        <v>57.294639866295107</v>
      </c>
      <c r="DM22" s="228">
        <f>Тор!C58</f>
        <v>1096.463</v>
      </c>
      <c r="DN22" s="228">
        <f>Тор!D58</f>
        <v>639.62028999999995</v>
      </c>
      <c r="DO22" s="228">
        <f t="shared" si="43"/>
        <v>58.334872220950452</v>
      </c>
      <c r="DP22" s="228">
        <f>Тор!C61</f>
        <v>16.561</v>
      </c>
      <c r="DQ22" s="228">
        <f>Тор!D61</f>
        <v>0</v>
      </c>
      <c r="DR22" s="228">
        <f t="shared" si="44"/>
        <v>0</v>
      </c>
      <c r="DS22" s="228">
        <f>Тор!C62</f>
        <v>5</v>
      </c>
      <c r="DT22" s="228">
        <f>Тор!D62</f>
        <v>0</v>
      </c>
      <c r="DU22" s="228">
        <f t="shared" si="45"/>
        <v>0</v>
      </c>
      <c r="DV22" s="228">
        <f>Тор!C63</f>
        <v>4.4480000000000004</v>
      </c>
      <c r="DW22" s="228">
        <f>Тор!D63</f>
        <v>3.496</v>
      </c>
      <c r="DX22" s="228">
        <f t="shared" si="46"/>
        <v>78.597122302158269</v>
      </c>
      <c r="DY22" s="228">
        <f>Тор!C65</f>
        <v>150.88</v>
      </c>
      <c r="DZ22" s="228">
        <f>+Тор!D64</f>
        <v>96.332329999999999</v>
      </c>
      <c r="EA22" s="228">
        <f t="shared" si="47"/>
        <v>63.846984358430547</v>
      </c>
      <c r="EB22" s="228">
        <f>Тор!C66</f>
        <v>7</v>
      </c>
      <c r="EC22" s="228">
        <f>Тор!D66</f>
        <v>0</v>
      </c>
      <c r="ED22" s="228">
        <f t="shared" si="48"/>
        <v>0</v>
      </c>
      <c r="EE22" s="188">
        <f>Тор!C71</f>
        <v>2259.2312300000003</v>
      </c>
      <c r="EF22" s="188">
        <f>Тор!D71</f>
        <v>927.38732000000005</v>
      </c>
      <c r="EG22" s="228">
        <f t="shared" si="49"/>
        <v>41.048800480683859</v>
      </c>
      <c r="EH22" s="188">
        <f>Тор!C77</f>
        <v>344.59100000000001</v>
      </c>
      <c r="EI22" s="188">
        <f>Тор!D77</f>
        <v>207.49538000000001</v>
      </c>
      <c r="EJ22" s="228">
        <f t="shared" si="50"/>
        <v>60.214973693451078</v>
      </c>
      <c r="EK22" s="188">
        <f>Тор!C81</f>
        <v>1221.5999999999999</v>
      </c>
      <c r="EL22" s="231">
        <f>Тор!D81</f>
        <v>791.46</v>
      </c>
      <c r="EM22" s="228">
        <f t="shared" si="10"/>
        <v>64.788801571709243</v>
      </c>
      <c r="EN22" s="228">
        <f>Тор!C83</f>
        <v>0</v>
      </c>
      <c r="EO22" s="228">
        <f>Тор!D83</f>
        <v>0</v>
      </c>
      <c r="EP22" s="228" t="e">
        <f t="shared" si="11"/>
        <v>#DIV/0!</v>
      </c>
      <c r="EQ22" s="229">
        <f>Тор!C96</f>
        <v>10</v>
      </c>
      <c r="ER22" s="229">
        <f>Тор!D96</f>
        <v>10</v>
      </c>
      <c r="ES22" s="228">
        <f t="shared" si="51"/>
        <v>100</v>
      </c>
      <c r="ET22" s="228">
        <f>Тор!C94</f>
        <v>0</v>
      </c>
      <c r="EU22" s="228">
        <f>Тор!D94</f>
        <v>0</v>
      </c>
      <c r="EV22" s="228" t="e">
        <f t="shared" si="52"/>
        <v>#DIV/0!</v>
      </c>
      <c r="EW22" s="232">
        <f t="shared" si="12"/>
        <v>-307.03722999999991</v>
      </c>
      <c r="EX22" s="232">
        <f t="shared" si="13"/>
        <v>185.00896999999986</v>
      </c>
      <c r="EY22" s="228">
        <f t="shared" si="54"/>
        <v>-60.256200852254928</v>
      </c>
      <c r="EZ22" s="233"/>
      <c r="FA22" s="234"/>
      <c r="FC22" s="234"/>
      <c r="FF22" s="328"/>
      <c r="FG22" s="328"/>
      <c r="FH22" s="328"/>
      <c r="FI22" s="328"/>
      <c r="FJ22" s="328"/>
      <c r="FK22" s="328"/>
      <c r="FL22" s="328"/>
      <c r="FM22" s="328"/>
      <c r="FN22" s="328"/>
    </row>
    <row r="23" spans="1:170" s="169" customFormat="1" ht="15" customHeight="1">
      <c r="A23" s="181">
        <v>10</v>
      </c>
      <c r="B23" s="194" t="s">
        <v>313</v>
      </c>
      <c r="C23" s="183">
        <f t="shared" si="14"/>
        <v>3601.5540000000001</v>
      </c>
      <c r="D23" s="287">
        <f t="shared" si="0"/>
        <v>2177.4108100000003</v>
      </c>
      <c r="E23" s="187">
        <f t="shared" si="1"/>
        <v>60.457536108024492</v>
      </c>
      <c r="F23" s="185">
        <f t="shared" si="2"/>
        <v>967.7</v>
      </c>
      <c r="G23" s="185">
        <f t="shared" si="3"/>
        <v>460.11381000000006</v>
      </c>
      <c r="H23" s="187">
        <f t="shared" si="15"/>
        <v>47.547154076676662</v>
      </c>
      <c r="I23" s="195">
        <f>Хор!C6</f>
        <v>85.8</v>
      </c>
      <c r="J23" s="195">
        <f>Хор!D6</f>
        <v>47.846409999999999</v>
      </c>
      <c r="K23" s="187">
        <f t="shared" si="16"/>
        <v>55.765046620046618</v>
      </c>
      <c r="L23" s="187">
        <f>Хор!C8</f>
        <v>123.43</v>
      </c>
      <c r="M23" s="187">
        <f>Хор!D8</f>
        <v>97.631410000000002</v>
      </c>
      <c r="N23" s="184">
        <f t="shared" si="17"/>
        <v>79.098606497609978</v>
      </c>
      <c r="O23" s="184">
        <f>Хор!C9</f>
        <v>1.32</v>
      </c>
      <c r="P23" s="184">
        <f>Хор!D9</f>
        <v>0.83648</v>
      </c>
      <c r="Q23" s="184">
        <f t="shared" si="18"/>
        <v>63.369696969696967</v>
      </c>
      <c r="R23" s="184">
        <f>Хор!C10</f>
        <v>206.15</v>
      </c>
      <c r="S23" s="184">
        <f>Хор!D10</f>
        <v>148.00711999999999</v>
      </c>
      <c r="T23" s="184">
        <f t="shared" si="19"/>
        <v>71.795837982051893</v>
      </c>
      <c r="U23" s="184">
        <f>Хор!C11</f>
        <v>0</v>
      </c>
      <c r="V23" s="184">
        <f>Хор!D11</f>
        <v>-22.761019999999998</v>
      </c>
      <c r="W23" s="184" t="e">
        <f t="shared" si="20"/>
        <v>#DIV/0!</v>
      </c>
      <c r="X23" s="195">
        <f>Хор!C13</f>
        <v>10</v>
      </c>
      <c r="Y23" s="195">
        <f>Хор!D13</f>
        <v>2.532</v>
      </c>
      <c r="Z23" s="187">
        <f t="shared" si="21"/>
        <v>25.319999999999997</v>
      </c>
      <c r="AA23" s="195">
        <f>Хор!C15</f>
        <v>110</v>
      </c>
      <c r="AB23" s="195">
        <f>Хор!D15</f>
        <v>10.967599999999999</v>
      </c>
      <c r="AC23" s="187">
        <f t="shared" si="22"/>
        <v>9.970545454545455</v>
      </c>
      <c r="AD23" s="195">
        <f>Хор!C16</f>
        <v>390</v>
      </c>
      <c r="AE23" s="195">
        <f>Хор!D16</f>
        <v>150.21691000000001</v>
      </c>
      <c r="AF23" s="187">
        <f t="shared" si="4"/>
        <v>38.517156410256412</v>
      </c>
      <c r="AG23" s="187">
        <f>Хор!C18</f>
        <v>8</v>
      </c>
      <c r="AH23" s="187">
        <f>Хор!D18</f>
        <v>19.8</v>
      </c>
      <c r="AI23" s="187">
        <f t="shared" si="23"/>
        <v>247.5</v>
      </c>
      <c r="AJ23" s="187"/>
      <c r="AK23" s="187"/>
      <c r="AL23" s="187" t="e">
        <f t="shared" si="5"/>
        <v>#DIV/0!</v>
      </c>
      <c r="AM23" s="195">
        <v>0</v>
      </c>
      <c r="AN23" s="195">
        <v>0</v>
      </c>
      <c r="AO23" s="187" t="e">
        <f t="shared" si="6"/>
        <v>#DIV/0!</v>
      </c>
      <c r="AP23" s="195">
        <f>Хор!C27</f>
        <v>33</v>
      </c>
      <c r="AQ23" s="195">
        <f>Хор!D27</f>
        <v>5.0369000000000002</v>
      </c>
      <c r="AR23" s="187">
        <f t="shared" si="24"/>
        <v>15.263333333333334</v>
      </c>
      <c r="AS23" s="188">
        <f>Хор!C28</f>
        <v>0</v>
      </c>
      <c r="AT23" s="195">
        <f>Хор!D28</f>
        <v>0</v>
      </c>
      <c r="AU23" s="187" t="e">
        <f t="shared" si="25"/>
        <v>#DIV/0!</v>
      </c>
      <c r="AV23" s="195"/>
      <c r="AW23" s="195"/>
      <c r="AX23" s="187" t="e">
        <f t="shared" si="26"/>
        <v>#DIV/0!</v>
      </c>
      <c r="AY23" s="187"/>
      <c r="AZ23" s="187">
        <f>Хор!D29</f>
        <v>0</v>
      </c>
      <c r="BA23" s="187" t="e">
        <f t="shared" si="27"/>
        <v>#DIV/0!</v>
      </c>
      <c r="BB23" s="187"/>
      <c r="BC23" s="187"/>
      <c r="BD23" s="187"/>
      <c r="BE23" s="187">
        <f>Хор!C33</f>
        <v>0</v>
      </c>
      <c r="BF23" s="187">
        <f>Хор!D33</f>
        <v>0</v>
      </c>
      <c r="BG23" s="187" t="e">
        <f t="shared" si="28"/>
        <v>#DIV/0!</v>
      </c>
      <c r="BH23" s="187"/>
      <c r="BI23" s="187"/>
      <c r="BJ23" s="187" t="e">
        <f t="shared" si="29"/>
        <v>#DIV/0!</v>
      </c>
      <c r="BK23" s="187"/>
      <c r="BL23" s="187"/>
      <c r="BM23" s="187"/>
      <c r="BN23" s="187"/>
      <c r="BO23" s="361"/>
      <c r="BP23" s="187" t="e">
        <f t="shared" si="30"/>
        <v>#DIV/0!</v>
      </c>
      <c r="BQ23" s="187">
        <f>Хор!C34</f>
        <v>0</v>
      </c>
      <c r="BR23" s="187">
        <f>Хор!D34</f>
        <v>0</v>
      </c>
      <c r="BS23" s="187" t="e">
        <f t="shared" si="31"/>
        <v>#DIV/0!</v>
      </c>
      <c r="BT23" s="187"/>
      <c r="BU23" s="187"/>
      <c r="BV23" s="196" t="e">
        <f t="shared" si="32"/>
        <v>#DIV/0!</v>
      </c>
      <c r="BW23" s="196"/>
      <c r="BX23" s="196"/>
      <c r="BY23" s="196" t="e">
        <f t="shared" si="33"/>
        <v>#DIV/0!</v>
      </c>
      <c r="BZ23" s="186">
        <f t="shared" si="34"/>
        <v>2633.8540000000003</v>
      </c>
      <c r="CA23" s="186">
        <f t="shared" si="35"/>
        <v>1717.297</v>
      </c>
      <c r="CB23" s="187">
        <f t="shared" si="53"/>
        <v>65.200918501936698</v>
      </c>
      <c r="CC23" s="187">
        <f>Хор!C39</f>
        <v>1258.9960000000001</v>
      </c>
      <c r="CD23" s="187">
        <f>Хор!D39</f>
        <v>920.82899999999995</v>
      </c>
      <c r="CE23" s="187">
        <f t="shared" si="36"/>
        <v>73.139946433507333</v>
      </c>
      <c r="CF23" s="187">
        <f>Хор!C41</f>
        <v>730</v>
      </c>
      <c r="CG23" s="187">
        <f>Хор!D41</f>
        <v>215</v>
      </c>
      <c r="CH23" s="187">
        <f t="shared" si="37"/>
        <v>29.452054794520549</v>
      </c>
      <c r="CI23" s="187">
        <f>Хор!C42</f>
        <v>480.904</v>
      </c>
      <c r="CJ23" s="187">
        <f>Хор!D42</f>
        <v>435.16199999999998</v>
      </c>
      <c r="CK23" s="187">
        <f t="shared" si="7"/>
        <v>90.48833031124714</v>
      </c>
      <c r="CL23" s="187">
        <f>Хор!C43</f>
        <v>73.953999999999994</v>
      </c>
      <c r="CM23" s="187">
        <f>Хор!D43</f>
        <v>59.305999999999997</v>
      </c>
      <c r="CN23" s="187">
        <f t="shared" si="8"/>
        <v>80.193093003759103</v>
      </c>
      <c r="CO23" s="187">
        <f>Хор!C44</f>
        <v>0</v>
      </c>
      <c r="CP23" s="187">
        <f>Хор!D44</f>
        <v>0</v>
      </c>
      <c r="CQ23" s="187"/>
      <c r="CR23" s="187">
        <f>Хор!C45</f>
        <v>90</v>
      </c>
      <c r="CS23" s="187">
        <f>Хор!D45</f>
        <v>87</v>
      </c>
      <c r="CT23" s="187">
        <f t="shared" si="9"/>
        <v>96.666666666666671</v>
      </c>
      <c r="CU23" s="187"/>
      <c r="CV23" s="187"/>
      <c r="CW23" s="187"/>
      <c r="CX23" s="195"/>
      <c r="CY23" s="195"/>
      <c r="CZ23" s="187" t="e">
        <f t="shared" si="38"/>
        <v>#DIV/0!</v>
      </c>
      <c r="DA23" s="187"/>
      <c r="DB23" s="187"/>
      <c r="DC23" s="187"/>
      <c r="DD23" s="187"/>
      <c r="DE23" s="187">
        <f>Хор!D48</f>
        <v>0</v>
      </c>
      <c r="DF23" s="187"/>
      <c r="DG23" s="195">
        <f t="shared" si="39"/>
        <v>3584.7935600000001</v>
      </c>
      <c r="DH23" s="195">
        <f t="shared" si="39"/>
        <v>2089.1161199999997</v>
      </c>
      <c r="DI23" s="187">
        <f t="shared" si="40"/>
        <v>58.277166733138174</v>
      </c>
      <c r="DJ23" s="195">
        <f t="shared" si="41"/>
        <v>1135.8050000000001</v>
      </c>
      <c r="DK23" s="195">
        <f t="shared" si="41"/>
        <v>578.95999999999992</v>
      </c>
      <c r="DL23" s="187">
        <f t="shared" si="42"/>
        <v>50.973538591571611</v>
      </c>
      <c r="DM23" s="187">
        <f>Хор!C56</f>
        <v>1128.096</v>
      </c>
      <c r="DN23" s="187">
        <f>Хор!D56</f>
        <v>576.25149999999996</v>
      </c>
      <c r="DO23" s="187">
        <f t="shared" si="43"/>
        <v>51.081778501120468</v>
      </c>
      <c r="DP23" s="187">
        <f>Хор!C59</f>
        <v>0</v>
      </c>
      <c r="DQ23" s="187">
        <f>Хор!D59</f>
        <v>0</v>
      </c>
      <c r="DR23" s="187" t="e">
        <f t="shared" si="44"/>
        <v>#DIV/0!</v>
      </c>
      <c r="DS23" s="187">
        <f>Хор!C60</f>
        <v>5</v>
      </c>
      <c r="DT23" s="187">
        <f>Хор!D60</f>
        <v>0</v>
      </c>
      <c r="DU23" s="187">
        <f t="shared" si="45"/>
        <v>0</v>
      </c>
      <c r="DV23" s="187">
        <f>Хор!C61</f>
        <v>2.7090000000000001</v>
      </c>
      <c r="DW23" s="187">
        <f>Хор!D61</f>
        <v>2.7084999999999999</v>
      </c>
      <c r="DX23" s="187">
        <f t="shared" si="46"/>
        <v>99.981543004798809</v>
      </c>
      <c r="DY23" s="187">
        <f>Хор!C63</f>
        <v>70.594999999999999</v>
      </c>
      <c r="DZ23" s="187">
        <f>Хор!D63</f>
        <v>40.802509999999998</v>
      </c>
      <c r="EA23" s="187">
        <f t="shared" si="47"/>
        <v>57.798016856717894</v>
      </c>
      <c r="EB23" s="187">
        <f>Хор!C64</f>
        <v>4</v>
      </c>
      <c r="EC23" s="187">
        <f>Хор!D64</f>
        <v>2</v>
      </c>
      <c r="ED23" s="187">
        <f t="shared" si="48"/>
        <v>50</v>
      </c>
      <c r="EE23" s="195">
        <f>Хор!C69</f>
        <v>908.89155999999991</v>
      </c>
      <c r="EF23" s="195">
        <f>Хор!D69</f>
        <v>758.28727000000003</v>
      </c>
      <c r="EG23" s="187">
        <f t="shared" si="49"/>
        <v>83.429894540994539</v>
      </c>
      <c r="EH23" s="195">
        <f>Хор!C74</f>
        <v>184.80199999999999</v>
      </c>
      <c r="EI23" s="195">
        <f>Хор!D74</f>
        <v>122.06634</v>
      </c>
      <c r="EJ23" s="187">
        <f t="shared" si="50"/>
        <v>66.05249943182433</v>
      </c>
      <c r="EK23" s="195">
        <f>Хор!C78</f>
        <v>1277.7</v>
      </c>
      <c r="EL23" s="197">
        <f>Хор!D78</f>
        <v>585</v>
      </c>
      <c r="EM23" s="187">
        <f t="shared" si="10"/>
        <v>45.78539563277765</v>
      </c>
      <c r="EN23" s="187">
        <f>Хор!C80</f>
        <v>0</v>
      </c>
      <c r="EO23" s="187">
        <f>Хор!D80</f>
        <v>0</v>
      </c>
      <c r="EP23" s="187" t="e">
        <f t="shared" si="11"/>
        <v>#DIV/0!</v>
      </c>
      <c r="EQ23" s="198">
        <f>Хор!C85</f>
        <v>3</v>
      </c>
      <c r="ER23" s="198">
        <f>Хор!D85</f>
        <v>2</v>
      </c>
      <c r="ES23" s="187">
        <f t="shared" si="51"/>
        <v>66.666666666666657</v>
      </c>
      <c r="ET23" s="187">
        <f>Хор!C91</f>
        <v>0</v>
      </c>
      <c r="EU23" s="187">
        <f>Хор!D91</f>
        <v>0</v>
      </c>
      <c r="EV23" s="184" t="e">
        <f t="shared" si="52"/>
        <v>#DIV/0!</v>
      </c>
      <c r="EW23" s="191">
        <f t="shared" si="12"/>
        <v>16.760440000000017</v>
      </c>
      <c r="EX23" s="191">
        <f t="shared" si="13"/>
        <v>88.294690000000628</v>
      </c>
      <c r="EY23" s="184">
        <f t="shared" si="54"/>
        <v>526.80412924720667</v>
      </c>
      <c r="EZ23" s="192"/>
      <c r="FA23" s="193"/>
      <c r="FC23" s="193"/>
    </row>
    <row r="24" spans="1:170" s="169" customFormat="1" ht="15" customHeight="1">
      <c r="A24" s="181">
        <v>11</v>
      </c>
      <c r="B24" s="194" t="s">
        <v>314</v>
      </c>
      <c r="C24" s="183">
        <f t="shared" si="14"/>
        <v>3658.627</v>
      </c>
      <c r="D24" s="287">
        <f t="shared" si="0"/>
        <v>2283.5044699999999</v>
      </c>
      <c r="E24" s="187">
        <f t="shared" si="1"/>
        <v>62.414246382591067</v>
      </c>
      <c r="F24" s="185">
        <f t="shared" si="2"/>
        <v>1071.1199999999999</v>
      </c>
      <c r="G24" s="185">
        <f t="shared" si="3"/>
        <v>617.63137000000006</v>
      </c>
      <c r="H24" s="187">
        <f t="shared" si="15"/>
        <v>57.662201247292565</v>
      </c>
      <c r="I24" s="195">
        <f>Чум!C6</f>
        <v>95.3</v>
      </c>
      <c r="J24" s="195">
        <f>Чум!D6</f>
        <v>52.120100000000001</v>
      </c>
      <c r="K24" s="187">
        <f t="shared" si="16"/>
        <v>54.690556138509969</v>
      </c>
      <c r="L24" s="187">
        <f>Чум!C8</f>
        <v>117.05</v>
      </c>
      <c r="M24" s="187">
        <f>Чум!D8</f>
        <v>92.592410000000001</v>
      </c>
      <c r="N24" s="184">
        <f t="shared" si="17"/>
        <v>79.105006407518147</v>
      </c>
      <c r="O24" s="184">
        <f>Чум!C9</f>
        <v>1.26</v>
      </c>
      <c r="P24" s="184">
        <f>Чум!D9</f>
        <v>0.79335</v>
      </c>
      <c r="Q24" s="184">
        <f t="shared" si="18"/>
        <v>62.964285714285715</v>
      </c>
      <c r="R24" s="184">
        <f>Чум!C10</f>
        <v>195.51</v>
      </c>
      <c r="S24" s="184">
        <f>Чум!D10</f>
        <v>140.36803</v>
      </c>
      <c r="T24" s="184">
        <f t="shared" si="19"/>
        <v>71.795831415272886</v>
      </c>
      <c r="U24" s="184">
        <f>Чум!C11</f>
        <v>0</v>
      </c>
      <c r="V24" s="184">
        <f>Чум!D11</f>
        <v>-21.586279999999999</v>
      </c>
      <c r="W24" s="184" t="e">
        <f t="shared" si="20"/>
        <v>#DIV/0!</v>
      </c>
      <c r="X24" s="195">
        <f>Чум!C13</f>
        <v>35</v>
      </c>
      <c r="Y24" s="195">
        <f>Чум!D13</f>
        <v>69.827370000000002</v>
      </c>
      <c r="Z24" s="187">
        <f t="shared" si="21"/>
        <v>199.50677142857143</v>
      </c>
      <c r="AA24" s="195">
        <f>Чум!C15</f>
        <v>75</v>
      </c>
      <c r="AB24" s="195">
        <f>Чум!D15</f>
        <v>22.861139999999999</v>
      </c>
      <c r="AC24" s="187">
        <f t="shared" si="22"/>
        <v>30.48152</v>
      </c>
      <c r="AD24" s="195">
        <f>Чум!C16</f>
        <v>460</v>
      </c>
      <c r="AE24" s="195">
        <f>Чум!D16</f>
        <v>214.11055999999999</v>
      </c>
      <c r="AF24" s="187">
        <f t="shared" si="4"/>
        <v>46.545773913043476</v>
      </c>
      <c r="AG24" s="187">
        <f>Чум!C18</f>
        <v>10</v>
      </c>
      <c r="AH24" s="187">
        <f>Чум!D18</f>
        <v>7.5</v>
      </c>
      <c r="AI24" s="187">
        <f t="shared" si="23"/>
        <v>75</v>
      </c>
      <c r="AJ24" s="187">
        <f>Чум!C22</f>
        <v>0</v>
      </c>
      <c r="AK24" s="187">
        <f>Чум!D20</f>
        <v>0</v>
      </c>
      <c r="AL24" s="187" t="e">
        <f>AK24/AJ24*100</f>
        <v>#DIV/0!</v>
      </c>
      <c r="AM24" s="195">
        <v>0</v>
      </c>
      <c r="AN24" s="195"/>
      <c r="AO24" s="187" t="e">
        <f t="shared" si="6"/>
        <v>#DIV/0!</v>
      </c>
      <c r="AP24" s="195">
        <f>Чум!C27</f>
        <v>80</v>
      </c>
      <c r="AQ24" s="195">
        <f>Чум!D27</f>
        <v>13.965</v>
      </c>
      <c r="AR24" s="187">
        <f t="shared" si="24"/>
        <v>17.456250000000001</v>
      </c>
      <c r="AS24" s="188">
        <f>Чум!C28</f>
        <v>2</v>
      </c>
      <c r="AT24" s="195">
        <f>Чум!D28</f>
        <v>0</v>
      </c>
      <c r="AU24" s="187">
        <f t="shared" si="25"/>
        <v>0</v>
      </c>
      <c r="AV24" s="195"/>
      <c r="AW24" s="195"/>
      <c r="AX24" s="187" t="e">
        <f t="shared" si="26"/>
        <v>#DIV/0!</v>
      </c>
      <c r="AY24" s="187">
        <f>Чум!C30</f>
        <v>0</v>
      </c>
      <c r="AZ24" s="187">
        <f>Чум!D30</f>
        <v>25.080850000000002</v>
      </c>
      <c r="BA24" s="187" t="e">
        <f t="shared" si="27"/>
        <v>#DIV/0!</v>
      </c>
      <c r="BB24" s="187"/>
      <c r="BC24" s="187"/>
      <c r="BD24" s="187"/>
      <c r="BE24" s="187">
        <f>Чум!C33</f>
        <v>0</v>
      </c>
      <c r="BF24" s="187">
        <f>Чум!D33</f>
        <v>0</v>
      </c>
      <c r="BG24" s="187" t="e">
        <f t="shared" si="28"/>
        <v>#DIV/0!</v>
      </c>
      <c r="BH24" s="187"/>
      <c r="BI24" s="187"/>
      <c r="BJ24" s="187" t="e">
        <f t="shared" si="29"/>
        <v>#DIV/0!</v>
      </c>
      <c r="BK24" s="187"/>
      <c r="BL24" s="187"/>
      <c r="BM24" s="187"/>
      <c r="BN24" s="187"/>
      <c r="BO24" s="361">
        <f>Чум!D34</f>
        <v>0</v>
      </c>
      <c r="BP24" s="187" t="e">
        <f t="shared" si="30"/>
        <v>#DIV/0!</v>
      </c>
      <c r="BQ24" s="187">
        <f>Чум!C37</f>
        <v>0</v>
      </c>
      <c r="BR24" s="187">
        <f>Чум!D37</f>
        <v>-1.16E-3</v>
      </c>
      <c r="BS24" s="187" t="e">
        <f t="shared" si="31"/>
        <v>#DIV/0!</v>
      </c>
      <c r="BT24" s="187"/>
      <c r="BU24" s="187"/>
      <c r="BV24" s="196" t="e">
        <f t="shared" si="32"/>
        <v>#DIV/0!</v>
      </c>
      <c r="BW24" s="196"/>
      <c r="BX24" s="196"/>
      <c r="BY24" s="196" t="e">
        <f t="shared" si="33"/>
        <v>#DIV/0!</v>
      </c>
      <c r="BZ24" s="186">
        <f t="shared" si="34"/>
        <v>2587.5070000000001</v>
      </c>
      <c r="CA24" s="186">
        <f t="shared" si="35"/>
        <v>1665.8731</v>
      </c>
      <c r="CB24" s="187">
        <f t="shared" si="53"/>
        <v>64.381394910235983</v>
      </c>
      <c r="CC24" s="187">
        <f>Чум!C42</f>
        <v>1906.663</v>
      </c>
      <c r="CD24" s="187">
        <f>Чум!D42</f>
        <v>1430.432</v>
      </c>
      <c r="CE24" s="187">
        <f t="shared" si="36"/>
        <v>75.022801617275832</v>
      </c>
      <c r="CF24" s="187">
        <f>Чум!C43</f>
        <v>0</v>
      </c>
      <c r="CG24" s="187">
        <f>Чум!D43</f>
        <v>0</v>
      </c>
      <c r="CH24" s="187" t="e">
        <f t="shared" si="37"/>
        <v>#DIV/0!</v>
      </c>
      <c r="CI24" s="187">
        <f>Чум!C44</f>
        <v>573.79</v>
      </c>
      <c r="CJ24" s="187">
        <f>Чум!D44</f>
        <v>142.03800000000001</v>
      </c>
      <c r="CK24" s="187">
        <f t="shared" si="7"/>
        <v>24.754352637724605</v>
      </c>
      <c r="CL24" s="187">
        <f>Чум!C45</f>
        <v>73.953999999999994</v>
      </c>
      <c r="CM24" s="187">
        <f>Чум!D45</f>
        <v>60.3431</v>
      </c>
      <c r="CN24" s="187">
        <f t="shared" si="8"/>
        <v>81.595451226438058</v>
      </c>
      <c r="CO24" s="187">
        <f>Чум!C46</f>
        <v>0</v>
      </c>
      <c r="CP24" s="187">
        <f>Чум!D46</f>
        <v>0</v>
      </c>
      <c r="CQ24" s="187"/>
      <c r="CR24" s="187">
        <f>Чум!C50</f>
        <v>33.1</v>
      </c>
      <c r="CS24" s="187">
        <f>Чум!D50</f>
        <v>33.06</v>
      </c>
      <c r="CT24" s="187">
        <f t="shared" si="9"/>
        <v>99.879154078549846</v>
      </c>
      <c r="CU24" s="187"/>
      <c r="CV24" s="187"/>
      <c r="CW24" s="187"/>
      <c r="CX24" s="195"/>
      <c r="CY24" s="195"/>
      <c r="CZ24" s="187" t="e">
        <f t="shared" si="38"/>
        <v>#DIV/0!</v>
      </c>
      <c r="DA24" s="187"/>
      <c r="DB24" s="187"/>
      <c r="DC24" s="187"/>
      <c r="DD24" s="187"/>
      <c r="DE24" s="187"/>
      <c r="DF24" s="187"/>
      <c r="DG24" s="195">
        <f t="shared" si="39"/>
        <v>3732.2935299999999</v>
      </c>
      <c r="DH24" s="195">
        <f t="shared" si="39"/>
        <v>1992.5965399999998</v>
      </c>
      <c r="DI24" s="187">
        <f t="shared" si="40"/>
        <v>53.387991163706786</v>
      </c>
      <c r="DJ24" s="195">
        <f t="shared" si="41"/>
        <v>1291.3660000000002</v>
      </c>
      <c r="DK24" s="195">
        <f t="shared" si="41"/>
        <v>775.43912999999998</v>
      </c>
      <c r="DL24" s="187">
        <f t="shared" si="42"/>
        <v>60.047974780193982</v>
      </c>
      <c r="DM24" s="187">
        <f>Чум!C58</f>
        <v>1274.5630000000001</v>
      </c>
      <c r="DN24" s="187">
        <f>Чум!D58</f>
        <v>764.09163000000001</v>
      </c>
      <c r="DO24" s="187">
        <f t="shared" si="43"/>
        <v>59.949302623722787</v>
      </c>
      <c r="DP24" s="187">
        <f>Чум!C61</f>
        <v>0</v>
      </c>
      <c r="DQ24" s="187">
        <f>Чум!D61</f>
        <v>0</v>
      </c>
      <c r="DR24" s="187" t="e">
        <f t="shared" si="44"/>
        <v>#DIV/0!</v>
      </c>
      <c r="DS24" s="187">
        <f>Чум!C62</f>
        <v>5</v>
      </c>
      <c r="DT24" s="187">
        <f>Чум!D62</f>
        <v>0</v>
      </c>
      <c r="DU24" s="187">
        <f t="shared" si="45"/>
        <v>0</v>
      </c>
      <c r="DV24" s="187">
        <f>Чум!C63</f>
        <v>11.803000000000001</v>
      </c>
      <c r="DW24" s="187">
        <f>Чум!D63</f>
        <v>11.3475</v>
      </c>
      <c r="DX24" s="187">
        <f t="shared" si="46"/>
        <v>96.140811658053025</v>
      </c>
      <c r="DY24" s="187">
        <f>Чум!C65</f>
        <v>70.594999999999999</v>
      </c>
      <c r="DZ24" s="187">
        <f>Чум!D65</f>
        <v>48.432270000000003</v>
      </c>
      <c r="EA24" s="187">
        <f t="shared" si="47"/>
        <v>68.60580777675473</v>
      </c>
      <c r="EB24" s="187">
        <f>Чум!C66</f>
        <v>9.25</v>
      </c>
      <c r="EC24" s="187">
        <f>Чум!D66</f>
        <v>1.45</v>
      </c>
      <c r="ED24" s="187">
        <f t="shared" si="48"/>
        <v>15.675675675675677</v>
      </c>
      <c r="EE24" s="195">
        <f>Чум!C71</f>
        <v>995.69153000000006</v>
      </c>
      <c r="EF24" s="195">
        <f>Чум!D71</f>
        <v>297.27006</v>
      </c>
      <c r="EG24" s="187">
        <f t="shared" si="49"/>
        <v>29.855638121175943</v>
      </c>
      <c r="EH24" s="195">
        <f>Чум!C76</f>
        <v>490.59100000000001</v>
      </c>
      <c r="EI24" s="195">
        <f>Чум!D76</f>
        <v>287.41807999999997</v>
      </c>
      <c r="EJ24" s="187">
        <f t="shared" si="50"/>
        <v>58.58608902323931</v>
      </c>
      <c r="EK24" s="195">
        <f>Чум!C80</f>
        <v>872.8</v>
      </c>
      <c r="EL24" s="197">
        <f>Чум!D80</f>
        <v>581.87199999999996</v>
      </c>
      <c r="EM24" s="187">
        <f t="shared" si="10"/>
        <v>66.667277726856085</v>
      </c>
      <c r="EN24" s="187">
        <f>Чум!C82</f>
        <v>0</v>
      </c>
      <c r="EO24" s="187">
        <f>Чум!D82</f>
        <v>0</v>
      </c>
      <c r="EP24" s="187" t="e">
        <f t="shared" si="11"/>
        <v>#DIV/0!</v>
      </c>
      <c r="EQ24" s="198">
        <f>Чум!C87</f>
        <v>2</v>
      </c>
      <c r="ER24" s="198">
        <f>Чум!D87</f>
        <v>0.71499999999999997</v>
      </c>
      <c r="ES24" s="187">
        <f t="shared" si="51"/>
        <v>35.75</v>
      </c>
      <c r="ET24" s="187">
        <f>Чум!C93</f>
        <v>0</v>
      </c>
      <c r="EU24" s="187">
        <f>Чум!D93</f>
        <v>0</v>
      </c>
      <c r="EV24" s="184" t="e">
        <f t="shared" si="52"/>
        <v>#DIV/0!</v>
      </c>
      <c r="EW24" s="191">
        <f t="shared" si="12"/>
        <v>-73.666529999999966</v>
      </c>
      <c r="EX24" s="191">
        <f t="shared" si="13"/>
        <v>290.90793000000008</v>
      </c>
      <c r="EY24" s="184">
        <f t="shared" si="54"/>
        <v>-394.89837515083201</v>
      </c>
      <c r="EZ24" s="192"/>
      <c r="FA24" s="193"/>
      <c r="FC24" s="193"/>
    </row>
    <row r="25" spans="1:170" s="235" customFormat="1" ht="15" customHeight="1">
      <c r="A25" s="226">
        <v>12</v>
      </c>
      <c r="B25" s="227" t="s">
        <v>315</v>
      </c>
      <c r="C25" s="288">
        <f t="shared" si="14"/>
        <v>3448.951</v>
      </c>
      <c r="D25" s="288">
        <f t="shared" si="0"/>
        <v>2067.3579399999999</v>
      </c>
      <c r="E25" s="228">
        <f t="shared" si="1"/>
        <v>59.941644285465344</v>
      </c>
      <c r="F25" s="229">
        <f t="shared" si="2"/>
        <v>909.76</v>
      </c>
      <c r="G25" s="229">
        <f t="shared" si="3"/>
        <v>424.41284000000002</v>
      </c>
      <c r="H25" s="228">
        <f t="shared" si="15"/>
        <v>46.651077207175526</v>
      </c>
      <c r="I25" s="188">
        <f>Шать!C6</f>
        <v>33.4</v>
      </c>
      <c r="J25" s="188">
        <f>Шать!D6</f>
        <v>22.319800000000001</v>
      </c>
      <c r="K25" s="228">
        <f t="shared" si="16"/>
        <v>66.825748502994017</v>
      </c>
      <c r="L25" s="228">
        <f>Шать!C8</f>
        <v>120.24</v>
      </c>
      <c r="M25" s="228">
        <f>Шать!D8</f>
        <v>95.111879999999999</v>
      </c>
      <c r="N25" s="228">
        <f t="shared" si="17"/>
        <v>79.101696606786433</v>
      </c>
      <c r="O25" s="228">
        <f>Шать!C9</f>
        <v>1.29</v>
      </c>
      <c r="P25" s="228">
        <f>Шать!D9</f>
        <v>0.81491000000000002</v>
      </c>
      <c r="Q25" s="228">
        <f t="shared" si="18"/>
        <v>63.171317829457365</v>
      </c>
      <c r="R25" s="228">
        <f>Шать!C10</f>
        <v>200.83</v>
      </c>
      <c r="S25" s="228">
        <f>Шать!D10</f>
        <v>144.18756999999999</v>
      </c>
      <c r="T25" s="228">
        <f t="shared" si="19"/>
        <v>71.795832295971707</v>
      </c>
      <c r="U25" s="228">
        <f>Шать!C11</f>
        <v>0</v>
      </c>
      <c r="V25" s="228">
        <f>Шать!D11</f>
        <v>-22.17361</v>
      </c>
      <c r="W25" s="228" t="e">
        <f t="shared" si="20"/>
        <v>#DIV/0!</v>
      </c>
      <c r="X25" s="188">
        <f>Шать!C13</f>
        <v>10</v>
      </c>
      <c r="Y25" s="188">
        <f>Шать!D13</f>
        <v>8.5609699999999993</v>
      </c>
      <c r="Z25" s="228">
        <f t="shared" si="21"/>
        <v>85.609699999999989</v>
      </c>
      <c r="AA25" s="188">
        <f>Шать!C15</f>
        <v>40</v>
      </c>
      <c r="AB25" s="188">
        <f>Шать!D15</f>
        <v>13.47983</v>
      </c>
      <c r="AC25" s="228">
        <f t="shared" si="22"/>
        <v>33.699574999999996</v>
      </c>
      <c r="AD25" s="188">
        <f>Шать!C16</f>
        <v>315</v>
      </c>
      <c r="AE25" s="188">
        <f>Шать!D16</f>
        <v>116.18959</v>
      </c>
      <c r="AF25" s="228">
        <f t="shared" si="4"/>
        <v>36.885584126984128</v>
      </c>
      <c r="AG25" s="228">
        <f>Шать!C18</f>
        <v>7</v>
      </c>
      <c r="AH25" s="228">
        <f>Шать!D18</f>
        <v>0.8</v>
      </c>
      <c r="AI25" s="228">
        <f t="shared" si="23"/>
        <v>11.428571428571429</v>
      </c>
      <c r="AJ25" s="228"/>
      <c r="AK25" s="228"/>
      <c r="AL25" s="228" t="e">
        <f>AJ25/AK25*100</f>
        <v>#DIV/0!</v>
      </c>
      <c r="AM25" s="188">
        <v>0</v>
      </c>
      <c r="AN25" s="188">
        <f>0</f>
        <v>0</v>
      </c>
      <c r="AO25" s="228" t="e">
        <f t="shared" si="6"/>
        <v>#DIV/0!</v>
      </c>
      <c r="AP25" s="188">
        <f>Шать!C27</f>
        <v>115</v>
      </c>
      <c r="AQ25" s="195">
        <f>Шать!D27</f>
        <v>6.5140000000000002</v>
      </c>
      <c r="AR25" s="228">
        <f t="shared" si="24"/>
        <v>5.6643478260869564</v>
      </c>
      <c r="AS25" s="188">
        <f>Шать!C28</f>
        <v>17</v>
      </c>
      <c r="AT25" s="188">
        <f>Шать!D28</f>
        <v>17.340800000000002</v>
      </c>
      <c r="AU25" s="228">
        <f t="shared" si="25"/>
        <v>102.00470588235295</v>
      </c>
      <c r="AV25" s="188"/>
      <c r="AW25" s="188"/>
      <c r="AX25" s="228" t="e">
        <f t="shared" si="26"/>
        <v>#DIV/0!</v>
      </c>
      <c r="AY25" s="228">
        <f>Шать!C29</f>
        <v>50</v>
      </c>
      <c r="AZ25" s="228">
        <f>Шать!D29</f>
        <v>21.386410000000001</v>
      </c>
      <c r="BA25" s="228">
        <f t="shared" si="27"/>
        <v>42.772820000000003</v>
      </c>
      <c r="BB25" s="228"/>
      <c r="BC25" s="228"/>
      <c r="BD25" s="228"/>
      <c r="BE25" s="228">
        <f>Шать!C33</f>
        <v>0</v>
      </c>
      <c r="BF25" s="228">
        <f>Шать!D33</f>
        <v>0</v>
      </c>
      <c r="BG25" s="228" t="e">
        <f t="shared" si="28"/>
        <v>#DIV/0!</v>
      </c>
      <c r="BH25" s="228"/>
      <c r="BI25" s="228"/>
      <c r="BJ25" s="228" t="e">
        <f t="shared" si="29"/>
        <v>#DIV/0!</v>
      </c>
      <c r="BK25" s="228"/>
      <c r="BL25" s="228"/>
      <c r="BM25" s="228"/>
      <c r="BN25" s="228">
        <f>Шать!C34</f>
        <v>0</v>
      </c>
      <c r="BO25" s="362">
        <f>Шать!D34</f>
        <v>8.7899999999999992E-3</v>
      </c>
      <c r="BP25" s="228" t="e">
        <f t="shared" si="30"/>
        <v>#DIV/0!</v>
      </c>
      <c r="BQ25" s="228">
        <f>Шать!C37</f>
        <v>0</v>
      </c>
      <c r="BR25" s="228">
        <f>Шать!D39</f>
        <v>-0.12809999999999999</v>
      </c>
      <c r="BS25" s="228" t="e">
        <f t="shared" si="31"/>
        <v>#DIV/0!</v>
      </c>
      <c r="BT25" s="228"/>
      <c r="BU25" s="228"/>
      <c r="BV25" s="230" t="e">
        <f t="shared" si="32"/>
        <v>#DIV/0!</v>
      </c>
      <c r="BW25" s="230"/>
      <c r="BX25" s="230"/>
      <c r="BY25" s="230" t="e">
        <f t="shared" si="33"/>
        <v>#DIV/0!</v>
      </c>
      <c r="BZ25" s="188">
        <f t="shared" si="34"/>
        <v>2539.1910000000003</v>
      </c>
      <c r="CA25" s="186">
        <f t="shared" si="35"/>
        <v>1642.9450999999999</v>
      </c>
      <c r="CB25" s="228">
        <f t="shared" si="53"/>
        <v>64.703486267870346</v>
      </c>
      <c r="CC25" s="228">
        <f>Шать!C42</f>
        <v>1243.7660000000001</v>
      </c>
      <c r="CD25" s="228">
        <f>Шать!D42</f>
        <v>911.779</v>
      </c>
      <c r="CE25" s="228">
        <f t="shared" si="36"/>
        <v>73.30792126493246</v>
      </c>
      <c r="CF25" s="228">
        <f>Шать!C43</f>
        <v>400</v>
      </c>
      <c r="CG25" s="228">
        <f>Шать!D43</f>
        <v>200</v>
      </c>
      <c r="CH25" s="228">
        <f t="shared" si="37"/>
        <v>50</v>
      </c>
      <c r="CI25" s="228">
        <f>Шать!C44</f>
        <v>725.07</v>
      </c>
      <c r="CJ25" s="228">
        <f>Шать!D44</f>
        <v>373.72300000000001</v>
      </c>
      <c r="CK25" s="228">
        <f t="shared" si="7"/>
        <v>51.543023432220338</v>
      </c>
      <c r="CL25" s="228">
        <f>Шать!C45</f>
        <v>73.254999999999995</v>
      </c>
      <c r="CM25" s="228">
        <f>Шать!D45</f>
        <v>60.3431</v>
      </c>
      <c r="CN25" s="228">
        <f t="shared" si="8"/>
        <v>82.374035901986218</v>
      </c>
      <c r="CO25" s="228">
        <f>Шать!C46</f>
        <v>0</v>
      </c>
      <c r="CP25" s="228">
        <f>Шать!D46</f>
        <v>0</v>
      </c>
      <c r="CQ25" s="228"/>
      <c r="CR25" s="228">
        <f>Шать!C50</f>
        <v>97.1</v>
      </c>
      <c r="CS25" s="228">
        <f>Шать!D50</f>
        <v>97.1</v>
      </c>
      <c r="CT25" s="228">
        <f t="shared" si="9"/>
        <v>100</v>
      </c>
      <c r="CU25" s="228"/>
      <c r="CV25" s="228"/>
      <c r="CW25" s="228"/>
      <c r="CX25" s="188"/>
      <c r="CY25" s="188"/>
      <c r="CZ25" s="228" t="e">
        <f t="shared" si="38"/>
        <v>#DIV/0!</v>
      </c>
      <c r="DA25" s="228"/>
      <c r="DB25" s="228"/>
      <c r="DC25" s="228"/>
      <c r="DD25" s="228"/>
      <c r="DE25" s="228"/>
      <c r="DF25" s="228"/>
      <c r="DG25" s="188">
        <f t="shared" si="39"/>
        <v>3395.55753</v>
      </c>
      <c r="DH25" s="188">
        <f t="shared" si="39"/>
        <v>1983.4863500000001</v>
      </c>
      <c r="DI25" s="228">
        <f>DH25/DG25*100</f>
        <v>58.414158278154694</v>
      </c>
      <c r="DJ25" s="188">
        <f t="shared" si="41"/>
        <v>1139.7604999999999</v>
      </c>
      <c r="DK25" s="188">
        <f t="shared" si="41"/>
        <v>681.70507000000009</v>
      </c>
      <c r="DL25" s="228">
        <f t="shared" si="42"/>
        <v>59.811255961230472</v>
      </c>
      <c r="DM25" s="228">
        <f>Шать!C58</f>
        <v>1100.9659999999999</v>
      </c>
      <c r="DN25" s="228">
        <f>Шать!D58</f>
        <v>676.06257000000005</v>
      </c>
      <c r="DO25" s="228">
        <f t="shared" si="43"/>
        <v>61.406307733390506</v>
      </c>
      <c r="DP25" s="228">
        <f>Шать!C61</f>
        <v>32.152000000000001</v>
      </c>
      <c r="DQ25" s="228">
        <f>Шать!D61</f>
        <v>0</v>
      </c>
      <c r="DR25" s="228">
        <f t="shared" si="44"/>
        <v>0</v>
      </c>
      <c r="DS25" s="228">
        <f>Шать!C62</f>
        <v>1</v>
      </c>
      <c r="DT25" s="228">
        <f>Шать!D62</f>
        <v>0</v>
      </c>
      <c r="DU25" s="228">
        <f t="shared" si="45"/>
        <v>0</v>
      </c>
      <c r="DV25" s="228">
        <f>Шать!C63</f>
        <v>5.6425000000000001</v>
      </c>
      <c r="DW25" s="228">
        <f>Шать!D63</f>
        <v>5.6425000000000001</v>
      </c>
      <c r="DX25" s="228">
        <f t="shared" si="46"/>
        <v>100</v>
      </c>
      <c r="DY25" s="228">
        <f>Шать!C65</f>
        <v>70.596000000000004</v>
      </c>
      <c r="DZ25" s="228">
        <f>Шать!D65</f>
        <v>48.679569999999998</v>
      </c>
      <c r="EA25" s="228">
        <f t="shared" si="47"/>
        <v>68.955139101365518</v>
      </c>
      <c r="EB25" s="228">
        <f>Шать!C66</f>
        <v>4</v>
      </c>
      <c r="EC25" s="228">
        <f>Шать!D66</f>
        <v>0</v>
      </c>
      <c r="ED25" s="228">
        <f t="shared" si="48"/>
        <v>0</v>
      </c>
      <c r="EE25" s="188">
        <f>Шать!C71</f>
        <v>1271.0955300000001</v>
      </c>
      <c r="EF25" s="188">
        <f>Шать!D71</f>
        <v>708.40427</v>
      </c>
      <c r="EG25" s="228">
        <f t="shared" si="49"/>
        <v>55.731788310198837</v>
      </c>
      <c r="EH25" s="188">
        <f>Шать!C76</f>
        <v>211.602</v>
      </c>
      <c r="EI25" s="188">
        <f>Шать!D76</f>
        <v>85.996440000000007</v>
      </c>
      <c r="EJ25" s="228">
        <f t="shared" si="50"/>
        <v>40.640655570363229</v>
      </c>
      <c r="EK25" s="188">
        <f>Шать!C80</f>
        <v>689.50350000000003</v>
      </c>
      <c r="EL25" s="231">
        <f>Шать!D80</f>
        <v>449.70299999999997</v>
      </c>
      <c r="EM25" s="228">
        <f t="shared" si="10"/>
        <v>65.221278789737823</v>
      </c>
      <c r="EN25" s="228">
        <f>Шать!C82</f>
        <v>5</v>
      </c>
      <c r="EO25" s="228">
        <f>Шать!D82</f>
        <v>5</v>
      </c>
      <c r="EP25" s="228">
        <f t="shared" si="11"/>
        <v>100</v>
      </c>
      <c r="EQ25" s="229">
        <f>Шать!C87</f>
        <v>4</v>
      </c>
      <c r="ER25" s="229">
        <f>Шать!D87</f>
        <v>3.9980000000000002</v>
      </c>
      <c r="ES25" s="228">
        <f t="shared" si="51"/>
        <v>99.95</v>
      </c>
      <c r="ET25" s="228">
        <f>Шать!C93</f>
        <v>0</v>
      </c>
      <c r="EU25" s="228">
        <f>Шать!D93</f>
        <v>0</v>
      </c>
      <c r="EV25" s="228" t="e">
        <f t="shared" si="52"/>
        <v>#DIV/0!</v>
      </c>
      <c r="EW25" s="232">
        <f t="shared" si="12"/>
        <v>53.393469999999979</v>
      </c>
      <c r="EX25" s="232">
        <f t="shared" si="13"/>
        <v>83.871589999999742</v>
      </c>
      <c r="EY25" s="228">
        <f t="shared" si="54"/>
        <v>157.08211135181844</v>
      </c>
      <c r="EZ25" s="233"/>
      <c r="FA25" s="234"/>
      <c r="FC25" s="234"/>
    </row>
    <row r="26" spans="1:170" s="169" customFormat="1" ht="15" customHeight="1">
      <c r="A26" s="201">
        <v>13</v>
      </c>
      <c r="B26" s="194" t="s">
        <v>316</v>
      </c>
      <c r="C26" s="183">
        <f t="shared" si="14"/>
        <v>4798.3999999999996</v>
      </c>
      <c r="D26" s="287">
        <f t="shared" si="0"/>
        <v>2330.10617</v>
      </c>
      <c r="E26" s="187">
        <f t="shared" si="1"/>
        <v>48.560065230076702</v>
      </c>
      <c r="F26" s="185">
        <f t="shared" si="2"/>
        <v>2650.4100000000003</v>
      </c>
      <c r="G26" s="185">
        <f t="shared" si="3"/>
        <v>1435.2159200000001</v>
      </c>
      <c r="H26" s="187">
        <f t="shared" si="15"/>
        <v>54.150713285868981</v>
      </c>
      <c r="I26" s="195">
        <f>Юнг!C6</f>
        <v>114.5</v>
      </c>
      <c r="J26" s="195">
        <f>Юнг!D6</f>
        <v>78.698989999999995</v>
      </c>
      <c r="K26" s="187">
        <f t="shared" si="16"/>
        <v>68.732742358078596</v>
      </c>
      <c r="L26" s="187">
        <f>Юнг!C8</f>
        <v>185.53</v>
      </c>
      <c r="M26" s="187">
        <f>Юнг!D8</f>
        <v>146.7621</v>
      </c>
      <c r="N26" s="184">
        <f t="shared" si="17"/>
        <v>79.104241901579258</v>
      </c>
      <c r="O26" s="184">
        <f>Юнг!C9</f>
        <v>2</v>
      </c>
      <c r="P26" s="184">
        <f>Юнг!D9</f>
        <v>1.25745</v>
      </c>
      <c r="Q26" s="184">
        <f t="shared" si="18"/>
        <v>62.872499999999995</v>
      </c>
      <c r="R26" s="184">
        <f>Юнг!C10</f>
        <v>309.88</v>
      </c>
      <c r="S26" s="184">
        <f>Юнг!D10</f>
        <v>222.48813000000001</v>
      </c>
      <c r="T26" s="184">
        <f t="shared" si="19"/>
        <v>71.798157351232732</v>
      </c>
      <c r="U26" s="184">
        <f>Юнг!C11</f>
        <v>0</v>
      </c>
      <c r="V26" s="184">
        <f>Юнг!D11</f>
        <v>-34.214979999999997</v>
      </c>
      <c r="W26" s="184" t="e">
        <f t="shared" si="20"/>
        <v>#DIV/0!</v>
      </c>
      <c r="X26" s="195">
        <f>Юнг!C13</f>
        <v>15</v>
      </c>
      <c r="Y26" s="195">
        <f>Юнг!D13</f>
        <v>42.170999999999999</v>
      </c>
      <c r="Z26" s="187">
        <f t="shared" si="21"/>
        <v>281.14</v>
      </c>
      <c r="AA26" s="195">
        <f>Юнг!C15</f>
        <v>150</v>
      </c>
      <c r="AB26" s="195">
        <f>Юнг!D15</f>
        <v>90.049270000000007</v>
      </c>
      <c r="AC26" s="187">
        <f t="shared" si="22"/>
        <v>60.032846666666671</v>
      </c>
      <c r="AD26" s="195">
        <f>Юнг!C16</f>
        <v>1611.5</v>
      </c>
      <c r="AE26" s="195">
        <f>Юнг!D16</f>
        <v>766.45132000000001</v>
      </c>
      <c r="AF26" s="187">
        <f t="shared" si="4"/>
        <v>47.561360223394352</v>
      </c>
      <c r="AG26" s="187">
        <f>Юнг!C18</f>
        <v>12</v>
      </c>
      <c r="AH26" s="187">
        <f>Юнг!D18</f>
        <v>6.95</v>
      </c>
      <c r="AI26" s="187">
        <f t="shared" si="23"/>
        <v>57.916666666666671</v>
      </c>
      <c r="AJ26" s="187"/>
      <c r="AK26" s="187"/>
      <c r="AL26" s="187" t="e">
        <f>AJ26/AK26*100</f>
        <v>#DIV/0!</v>
      </c>
      <c r="AM26" s="195">
        <v>0</v>
      </c>
      <c r="AN26" s="195"/>
      <c r="AO26" s="187" t="e">
        <f t="shared" si="6"/>
        <v>#DIV/0!</v>
      </c>
      <c r="AP26" s="195">
        <f>Юнг!C27</f>
        <v>220</v>
      </c>
      <c r="AQ26" s="195">
        <f>Юнг!D27</f>
        <v>40.216999999999999</v>
      </c>
      <c r="AR26" s="187">
        <f t="shared" si="24"/>
        <v>18.280454545454543</v>
      </c>
      <c r="AS26" s="188">
        <f>Юнг!C28</f>
        <v>30</v>
      </c>
      <c r="AT26" s="195">
        <f>Юнг!D28</f>
        <v>24.978000000000002</v>
      </c>
      <c r="AU26" s="187">
        <f t="shared" si="25"/>
        <v>83.26</v>
      </c>
      <c r="AV26" s="195"/>
      <c r="AW26" s="195"/>
      <c r="AX26" s="187" t="e">
        <f t="shared" si="26"/>
        <v>#DIV/0!</v>
      </c>
      <c r="AY26" s="187">
        <f>Юнг!C30</f>
        <v>0</v>
      </c>
      <c r="AZ26" s="187">
        <f>Юнг!D30</f>
        <v>48.231670000000001</v>
      </c>
      <c r="BA26" s="187" t="e">
        <f t="shared" si="27"/>
        <v>#DIV/0!</v>
      </c>
      <c r="BB26" s="187"/>
      <c r="BC26" s="187"/>
      <c r="BD26" s="187"/>
      <c r="BE26" s="187">
        <f>Юнг!C33</f>
        <v>0</v>
      </c>
      <c r="BF26" s="187">
        <f>Юнг!D33</f>
        <v>0</v>
      </c>
      <c r="BG26" s="187" t="e">
        <f t="shared" si="28"/>
        <v>#DIV/0!</v>
      </c>
      <c r="BH26" s="187"/>
      <c r="BI26" s="187"/>
      <c r="BJ26" s="187" t="e">
        <f t="shared" si="29"/>
        <v>#DIV/0!</v>
      </c>
      <c r="BK26" s="187"/>
      <c r="BL26" s="187"/>
      <c r="BM26" s="187"/>
      <c r="BN26" s="187"/>
      <c r="BO26" s="361">
        <f>Юнг!D34</f>
        <v>1.17597</v>
      </c>
      <c r="BP26" s="187" t="e">
        <f t="shared" si="30"/>
        <v>#DIV/0!</v>
      </c>
      <c r="BQ26" s="187">
        <f>Юнг!C36</f>
        <v>0</v>
      </c>
      <c r="BR26" s="187">
        <f>Юнг!D36</f>
        <v>0</v>
      </c>
      <c r="BS26" s="187" t="e">
        <f t="shared" si="31"/>
        <v>#DIV/0!</v>
      </c>
      <c r="BT26" s="187"/>
      <c r="BU26" s="187"/>
      <c r="BV26" s="196" t="e">
        <f t="shared" si="32"/>
        <v>#DIV/0!</v>
      </c>
      <c r="BW26" s="196"/>
      <c r="BX26" s="196"/>
      <c r="BY26" s="196" t="e">
        <f t="shared" si="33"/>
        <v>#DIV/0!</v>
      </c>
      <c r="BZ26" s="186">
        <f t="shared" si="34"/>
        <v>2147.9899999999998</v>
      </c>
      <c r="CA26" s="186">
        <f t="shared" si="35"/>
        <v>894.89025000000015</v>
      </c>
      <c r="CB26" s="187">
        <f t="shared" si="53"/>
        <v>41.661751218581102</v>
      </c>
      <c r="CC26" s="187">
        <f>Юнг!C41</f>
        <v>859.154</v>
      </c>
      <c r="CD26" s="187">
        <f>Юнг!D41</f>
        <v>722.63099999999997</v>
      </c>
      <c r="CE26" s="187">
        <f t="shared" si="36"/>
        <v>84.10960083989599</v>
      </c>
      <c r="CF26" s="187">
        <f>Юнг!C42</f>
        <v>600</v>
      </c>
      <c r="CG26" s="187">
        <f>Юнг!D42</f>
        <v>0</v>
      </c>
      <c r="CH26" s="187">
        <f t="shared" si="37"/>
        <v>0</v>
      </c>
      <c r="CI26" s="187">
        <f>Юнг!C43</f>
        <v>457.16199999999998</v>
      </c>
      <c r="CJ26" s="187">
        <f>Юнг!D43</f>
        <v>335.63900000000001</v>
      </c>
      <c r="CK26" s="187">
        <f t="shared" si="7"/>
        <v>73.417956873055942</v>
      </c>
      <c r="CL26" s="187">
        <f>Юнг!C44</f>
        <v>71.573999999999998</v>
      </c>
      <c r="CM26" s="187">
        <f>Юнг!D44</f>
        <v>59.305999999999997</v>
      </c>
      <c r="CN26" s="187">
        <f t="shared" si="8"/>
        <v>82.859697655573257</v>
      </c>
      <c r="CO26" s="187">
        <f>Юнг!C45</f>
        <v>120</v>
      </c>
      <c r="CP26" s="187">
        <f>Юнг!D45</f>
        <v>0</v>
      </c>
      <c r="CQ26" s="187"/>
      <c r="CR26" s="187">
        <f>Юнг!C48</f>
        <v>40.1</v>
      </c>
      <c r="CS26" s="187">
        <f>Юнг!D48</f>
        <v>40.055</v>
      </c>
      <c r="CT26" s="187">
        <f t="shared" si="9"/>
        <v>99.887780548628427</v>
      </c>
      <c r="CU26" s="187"/>
      <c r="CV26" s="187">
        <f>Юнг!D47</f>
        <v>-262.74074999999999</v>
      </c>
      <c r="CW26" s="187"/>
      <c r="CX26" s="195"/>
      <c r="CY26" s="195"/>
      <c r="CZ26" s="187" t="e">
        <f t="shared" si="38"/>
        <v>#DIV/0!</v>
      </c>
      <c r="DA26" s="187"/>
      <c r="DB26" s="187"/>
      <c r="DC26" s="187"/>
      <c r="DD26" s="187"/>
      <c r="DE26" s="187"/>
      <c r="DF26" s="187"/>
      <c r="DG26" s="195">
        <f t="shared" si="39"/>
        <v>5445.0489200000002</v>
      </c>
      <c r="DH26" s="195">
        <f t="shared" si="39"/>
        <v>2437.0479</v>
      </c>
      <c r="DI26" s="187">
        <f t="shared" si="40"/>
        <v>44.75713507455503</v>
      </c>
      <c r="DJ26" s="195">
        <f t="shared" si="41"/>
        <v>1438.34</v>
      </c>
      <c r="DK26" s="195">
        <f t="shared" si="41"/>
        <v>881.19901000000004</v>
      </c>
      <c r="DL26" s="187">
        <f t="shared" si="42"/>
        <v>61.265000625721321</v>
      </c>
      <c r="DM26" s="187">
        <f>Юнг!C57</f>
        <v>1429.154</v>
      </c>
      <c r="DN26" s="187">
        <f>Юнг!D57</f>
        <v>877.44051000000002</v>
      </c>
      <c r="DO26" s="187">
        <f t="shared" si="43"/>
        <v>61.3957984933744</v>
      </c>
      <c r="DP26" s="187">
        <f>Юнг!C60</f>
        <v>0</v>
      </c>
      <c r="DQ26" s="187">
        <f>Юнг!D60</f>
        <v>0</v>
      </c>
      <c r="DR26" s="187" t="e">
        <f t="shared" si="44"/>
        <v>#DIV/0!</v>
      </c>
      <c r="DS26" s="187">
        <f>Юнг!C61</f>
        <v>5</v>
      </c>
      <c r="DT26" s="187">
        <f>Юнг!D61</f>
        <v>0</v>
      </c>
      <c r="DU26" s="187">
        <f t="shared" si="45"/>
        <v>0</v>
      </c>
      <c r="DV26" s="187">
        <f>Юнг!C62</f>
        <v>4.1859999999999999</v>
      </c>
      <c r="DW26" s="187">
        <f>Юнг!D62</f>
        <v>3.7585000000000002</v>
      </c>
      <c r="DX26" s="187">
        <f t="shared" si="46"/>
        <v>89.787386526516968</v>
      </c>
      <c r="DY26" s="187">
        <f>Юнг!C64</f>
        <v>70.594999999999999</v>
      </c>
      <c r="DZ26" s="187">
        <f>Юнг!D64</f>
        <v>45.599620000000002</v>
      </c>
      <c r="EA26" s="187">
        <f t="shared" si="47"/>
        <v>64.593271478150015</v>
      </c>
      <c r="EB26" s="187">
        <f>Юнг!C65</f>
        <v>25.3</v>
      </c>
      <c r="EC26" s="187">
        <f>Юнг!D65</f>
        <v>12.650740000000001</v>
      </c>
      <c r="ED26" s="187">
        <f t="shared" si="48"/>
        <v>50.002924901185771</v>
      </c>
      <c r="EE26" s="195">
        <f>Юнг!C70</f>
        <v>2233.5359200000003</v>
      </c>
      <c r="EF26" s="195">
        <f>Юнг!D70</f>
        <v>914.48603000000003</v>
      </c>
      <c r="EG26" s="187">
        <f t="shared" si="49"/>
        <v>40.943421675528725</v>
      </c>
      <c r="EH26" s="195">
        <f>Юнг!C75</f>
        <v>707.07799999999997</v>
      </c>
      <c r="EI26" s="195">
        <f>Юнг!D75</f>
        <v>201.23052999999999</v>
      </c>
      <c r="EJ26" s="187">
        <f t="shared" si="50"/>
        <v>28.459452846786348</v>
      </c>
      <c r="EK26" s="195">
        <f>Юнг!C79</f>
        <v>950.2</v>
      </c>
      <c r="EL26" s="197">
        <f>Юнг!D79</f>
        <v>379.68196999999998</v>
      </c>
      <c r="EM26" s="187">
        <f t="shared" si="10"/>
        <v>39.95811092401599</v>
      </c>
      <c r="EN26" s="187">
        <f>Юнг!C81</f>
        <v>0</v>
      </c>
      <c r="EO26" s="187">
        <f>Юнг!D81</f>
        <v>0</v>
      </c>
      <c r="EP26" s="187" t="e">
        <f t="shared" si="11"/>
        <v>#DIV/0!</v>
      </c>
      <c r="EQ26" s="198">
        <f>Юнг!C86</f>
        <v>20</v>
      </c>
      <c r="ER26" s="198">
        <f>Юнг!D86</f>
        <v>2.2000000000000002</v>
      </c>
      <c r="ES26" s="187">
        <f t="shared" si="51"/>
        <v>11.000000000000002</v>
      </c>
      <c r="ET26" s="187">
        <f>Юнг!C92</f>
        <v>0</v>
      </c>
      <c r="EU26" s="187">
        <f>Юнг!D92</f>
        <v>0</v>
      </c>
      <c r="EV26" s="184" t="e">
        <f t="shared" si="52"/>
        <v>#DIV/0!</v>
      </c>
      <c r="EW26" s="191">
        <f t="shared" si="12"/>
        <v>-646.64892000000054</v>
      </c>
      <c r="EX26" s="191">
        <f t="shared" si="13"/>
        <v>-106.94173000000001</v>
      </c>
      <c r="EY26" s="184">
        <f t="shared" si="54"/>
        <v>16.537834780579221</v>
      </c>
      <c r="EZ26" s="192"/>
      <c r="FA26" s="193"/>
      <c r="FC26" s="193"/>
    </row>
    <row r="27" spans="1:170" s="169" customFormat="1" ht="15" customHeight="1">
      <c r="A27" s="181">
        <v>14</v>
      </c>
      <c r="B27" s="194" t="s">
        <v>317</v>
      </c>
      <c r="C27" s="183">
        <f t="shared" si="14"/>
        <v>7205.1420000000007</v>
      </c>
      <c r="D27" s="287">
        <f t="shared" si="0"/>
        <v>3976.1426999999999</v>
      </c>
      <c r="E27" s="187">
        <f t="shared" si="1"/>
        <v>55.184793026979897</v>
      </c>
      <c r="F27" s="185">
        <f>I27+X27+AA27+AD27+AG27+AM27+AS27+BE27+BQ27+BN27+AJ27+AY27+L27+R27+O27+U27+AP27</f>
        <v>1598.5400000000002</v>
      </c>
      <c r="G27" s="185">
        <f t="shared" si="3"/>
        <v>1055.7062000000001</v>
      </c>
      <c r="H27" s="187">
        <f t="shared" si="15"/>
        <v>66.041900734420153</v>
      </c>
      <c r="I27" s="195">
        <f>Юсь!C6</f>
        <v>105.2</v>
      </c>
      <c r="J27" s="195">
        <f>Юсь!D6</f>
        <v>81.604619999999997</v>
      </c>
      <c r="K27" s="187">
        <f t="shared" si="16"/>
        <v>77.570931558935357</v>
      </c>
      <c r="L27" s="187">
        <f>Юсь!C8</f>
        <v>250.04</v>
      </c>
      <c r="M27" s="187">
        <f>Юсь!D8</f>
        <v>197.78236000000001</v>
      </c>
      <c r="N27" s="184">
        <f t="shared" si="17"/>
        <v>79.100287953927378</v>
      </c>
      <c r="O27" s="184">
        <f>Юсь!C9</f>
        <v>2.68</v>
      </c>
      <c r="P27" s="184">
        <f>Юсь!D9</f>
        <v>1.69462</v>
      </c>
      <c r="Q27" s="184">
        <f t="shared" si="18"/>
        <v>63.232089552238804</v>
      </c>
      <c r="R27" s="184">
        <f>Юсь!C10</f>
        <v>417.62</v>
      </c>
      <c r="S27" s="184">
        <f>Юсь!D10</f>
        <v>299.83377000000002</v>
      </c>
      <c r="T27" s="184">
        <f t="shared" si="19"/>
        <v>71.795835927398116</v>
      </c>
      <c r="U27" s="184">
        <f>Юсь!C11</f>
        <v>0</v>
      </c>
      <c r="V27" s="184">
        <f>Юсь!D11</f>
        <v>-46.109520000000003</v>
      </c>
      <c r="W27" s="184" t="e">
        <f t="shared" si="20"/>
        <v>#DIV/0!</v>
      </c>
      <c r="X27" s="195">
        <f>Юсь!C13</f>
        <v>30</v>
      </c>
      <c r="Y27" s="195">
        <f>Юсь!D13</f>
        <v>1.6573199999999999</v>
      </c>
      <c r="Z27" s="187">
        <f t="shared" si="21"/>
        <v>5.5243999999999991</v>
      </c>
      <c r="AA27" s="195">
        <f>Юсь!C15</f>
        <v>105</v>
      </c>
      <c r="AB27" s="195">
        <f>Юсь!D15</f>
        <v>46.545529999999999</v>
      </c>
      <c r="AC27" s="187">
        <f t="shared" si="22"/>
        <v>44.329076190476194</v>
      </c>
      <c r="AD27" s="195">
        <f>Юсь!C16</f>
        <v>420</v>
      </c>
      <c r="AE27" s="195">
        <f>Юсь!D16</f>
        <v>147.04281</v>
      </c>
      <c r="AF27" s="187">
        <f t="shared" si="4"/>
        <v>35.010192857142854</v>
      </c>
      <c r="AG27" s="187">
        <f>Юсь!C18</f>
        <v>8</v>
      </c>
      <c r="AH27" s="187">
        <f>Юсь!D18</f>
        <v>3.65</v>
      </c>
      <c r="AI27" s="187">
        <f t="shared" si="23"/>
        <v>45.625</v>
      </c>
      <c r="AJ27" s="187"/>
      <c r="AK27" s="187"/>
      <c r="AL27" s="187" t="e">
        <f>AJ27/AK27*100</f>
        <v>#DIV/0!</v>
      </c>
      <c r="AM27" s="195">
        <v>0</v>
      </c>
      <c r="AN27" s="195">
        <v>0</v>
      </c>
      <c r="AO27" s="187" t="e">
        <f t="shared" si="6"/>
        <v>#DIV/0!</v>
      </c>
      <c r="AP27" s="195">
        <f>Юсь!C27</f>
        <v>0</v>
      </c>
      <c r="AQ27" s="195">
        <f>Юсь!D27</f>
        <v>0</v>
      </c>
      <c r="AR27" s="187" t="e">
        <f t="shared" si="24"/>
        <v>#DIV/0!</v>
      </c>
      <c r="AS27" s="188">
        <f>Юсь!C28</f>
        <v>60</v>
      </c>
      <c r="AT27" s="195">
        <f>Юсь!D28</f>
        <v>22</v>
      </c>
      <c r="AU27" s="187">
        <f t="shared" si="25"/>
        <v>36.666666666666664</v>
      </c>
      <c r="AV27" s="195"/>
      <c r="AW27" s="195"/>
      <c r="AX27" s="187" t="e">
        <f t="shared" si="26"/>
        <v>#DIV/0!</v>
      </c>
      <c r="AY27" s="187">
        <f>Юсь!C30</f>
        <v>200</v>
      </c>
      <c r="AZ27" s="187">
        <f>Юсь!D30</f>
        <v>300.24479000000002</v>
      </c>
      <c r="BA27" s="187">
        <f t="shared" si="27"/>
        <v>150.12239500000001</v>
      </c>
      <c r="BB27" s="187"/>
      <c r="BC27" s="187"/>
      <c r="BD27" s="187"/>
      <c r="BE27" s="187">
        <f>Юсь!C31</f>
        <v>0</v>
      </c>
      <c r="BF27" s="187">
        <f>Юсь!D31</f>
        <v>0</v>
      </c>
      <c r="BG27" s="187" t="e">
        <f t="shared" si="28"/>
        <v>#DIV/0!</v>
      </c>
      <c r="BH27" s="187"/>
      <c r="BI27" s="187"/>
      <c r="BJ27" s="187" t="e">
        <f t="shared" si="29"/>
        <v>#DIV/0!</v>
      </c>
      <c r="BK27" s="187"/>
      <c r="BL27" s="187"/>
      <c r="BM27" s="187"/>
      <c r="BN27" s="187"/>
      <c r="BO27" s="361"/>
      <c r="BP27" s="187" t="e">
        <f t="shared" si="30"/>
        <v>#DIV/0!</v>
      </c>
      <c r="BQ27" s="187">
        <f>Юсь!C34</f>
        <v>0</v>
      </c>
      <c r="BR27" s="187">
        <f>Юсь!D34</f>
        <v>-0.24010000000000001</v>
      </c>
      <c r="BS27" s="187" t="e">
        <f t="shared" si="31"/>
        <v>#DIV/0!</v>
      </c>
      <c r="BT27" s="187"/>
      <c r="BU27" s="187"/>
      <c r="BV27" s="196" t="e">
        <f t="shared" si="32"/>
        <v>#DIV/0!</v>
      </c>
      <c r="BW27" s="196"/>
      <c r="BX27" s="196"/>
      <c r="BY27" s="196" t="e">
        <f t="shared" si="33"/>
        <v>#DIV/0!</v>
      </c>
      <c r="BZ27" s="186">
        <f t="shared" si="34"/>
        <v>5606.6020000000008</v>
      </c>
      <c r="CA27" s="186">
        <f t="shared" si="35"/>
        <v>2920.4364999999998</v>
      </c>
      <c r="CB27" s="187">
        <f t="shared" si="53"/>
        <v>52.089242289714868</v>
      </c>
      <c r="CC27" s="187">
        <f>Юсь!C39</f>
        <v>2768.5630000000001</v>
      </c>
      <c r="CD27" s="187">
        <f>Юсь!D39</f>
        <v>2080.174</v>
      </c>
      <c r="CE27" s="187">
        <f t="shared" si="36"/>
        <v>75.135512538454066</v>
      </c>
      <c r="CF27" s="187">
        <f>Юсь!C41</f>
        <v>624.97</v>
      </c>
      <c r="CG27" s="187">
        <f>Юсь!D41</f>
        <v>0</v>
      </c>
      <c r="CH27" s="187">
        <f t="shared" si="37"/>
        <v>0</v>
      </c>
      <c r="CI27" s="187">
        <f>Юсь!C42</f>
        <v>1977.37</v>
      </c>
      <c r="CJ27" s="187">
        <f>Юсь!D42</f>
        <v>635.33000000000004</v>
      </c>
      <c r="CK27" s="187">
        <f t="shared" si="7"/>
        <v>32.130051533096996</v>
      </c>
      <c r="CL27" s="187">
        <f>Юсь!C43</f>
        <v>157.59899999999999</v>
      </c>
      <c r="CM27" s="187">
        <f>Юсь!D43</f>
        <v>126.8325</v>
      </c>
      <c r="CN27" s="187">
        <f t="shared" si="8"/>
        <v>80.477985266403977</v>
      </c>
      <c r="CO27" s="187">
        <f>Юсь!C50</f>
        <v>0</v>
      </c>
      <c r="CP27" s="187">
        <f>Юсь!D50</f>
        <v>0</v>
      </c>
      <c r="CQ27" s="187"/>
      <c r="CR27" s="187">
        <f>Юсь!C51</f>
        <v>78.099999999999994</v>
      </c>
      <c r="CS27" s="187">
        <f>Юсь!D51</f>
        <v>78.099999999999994</v>
      </c>
      <c r="CT27" s="187">
        <f t="shared" si="9"/>
        <v>100</v>
      </c>
      <c r="CU27" s="187"/>
      <c r="CV27" s="187"/>
      <c r="CW27" s="187"/>
      <c r="CX27" s="195"/>
      <c r="CY27" s="195"/>
      <c r="CZ27" s="187" t="e">
        <f t="shared" si="38"/>
        <v>#DIV/0!</v>
      </c>
      <c r="DA27" s="187"/>
      <c r="DB27" s="187"/>
      <c r="DC27" s="187"/>
      <c r="DD27" s="187"/>
      <c r="DE27" s="187"/>
      <c r="DF27" s="187"/>
      <c r="DG27" s="195">
        <f t="shared" si="39"/>
        <v>7904.95838</v>
      </c>
      <c r="DH27" s="195">
        <f t="shared" si="39"/>
        <v>3979.2942000000003</v>
      </c>
      <c r="DI27" s="187">
        <f t="shared" si="40"/>
        <v>50.339217598764897</v>
      </c>
      <c r="DJ27" s="195">
        <f t="shared" si="41"/>
        <v>1272.5335</v>
      </c>
      <c r="DK27" s="195">
        <f t="shared" si="41"/>
        <v>872.31263000000001</v>
      </c>
      <c r="DL27" s="187">
        <f t="shared" si="42"/>
        <v>68.549286128813108</v>
      </c>
      <c r="DM27" s="187">
        <f>Юсь!C59</f>
        <v>1247.5630000000001</v>
      </c>
      <c r="DN27" s="187">
        <f>Юсь!D59</f>
        <v>868.05613000000005</v>
      </c>
      <c r="DO27" s="187">
        <f t="shared" si="43"/>
        <v>69.580143848446923</v>
      </c>
      <c r="DP27" s="187">
        <f>Юсь!C62</f>
        <v>15.714</v>
      </c>
      <c r="DQ27" s="187">
        <f>Юсь!D62</f>
        <v>0</v>
      </c>
      <c r="DR27" s="187">
        <f t="shared" si="44"/>
        <v>0</v>
      </c>
      <c r="DS27" s="187">
        <f>Юсь!C63</f>
        <v>5</v>
      </c>
      <c r="DT27" s="187">
        <f>Юсь!D63</f>
        <v>0</v>
      </c>
      <c r="DU27" s="187">
        <f t="shared" si="45"/>
        <v>0</v>
      </c>
      <c r="DV27" s="187">
        <f>Юсь!C64</f>
        <v>4.2565</v>
      </c>
      <c r="DW27" s="187">
        <f>Юсь!D64</f>
        <v>4.2565</v>
      </c>
      <c r="DX27" s="187">
        <f t="shared" si="46"/>
        <v>100</v>
      </c>
      <c r="DY27" s="187">
        <f>Юсь!C66</f>
        <v>150.881</v>
      </c>
      <c r="DZ27" s="187">
        <f>Юсь!D66</f>
        <v>101.3372</v>
      </c>
      <c r="EA27" s="187">
        <f t="shared" si="47"/>
        <v>67.163658777447125</v>
      </c>
      <c r="EB27" s="187">
        <f>Юсь!C67</f>
        <v>3</v>
      </c>
      <c r="EC27" s="187">
        <f>Юсь!D67</f>
        <v>0</v>
      </c>
      <c r="ED27" s="187">
        <f t="shared" si="48"/>
        <v>0</v>
      </c>
      <c r="EE27" s="195">
        <f>Юсь!C72</f>
        <v>1527.69938</v>
      </c>
      <c r="EF27" s="195">
        <f>Юсь!D72</f>
        <v>1273.8193799999999</v>
      </c>
      <c r="EG27" s="187">
        <f t="shared" si="49"/>
        <v>83.381547225606639</v>
      </c>
      <c r="EH27" s="195">
        <f>Юсь!C77</f>
        <v>635.83500000000004</v>
      </c>
      <c r="EI27" s="195">
        <f>Юсь!D77</f>
        <v>546.24532999999997</v>
      </c>
      <c r="EJ27" s="187">
        <f t="shared" si="50"/>
        <v>85.909918453686871</v>
      </c>
      <c r="EK27" s="195">
        <f>Юсь!C81</f>
        <v>4311.0095000000001</v>
      </c>
      <c r="EL27" s="197">
        <f>Юсь!D81</f>
        <v>1185.5796600000001</v>
      </c>
      <c r="EM27" s="187">
        <f t="shared" si="10"/>
        <v>27.50120731582707</v>
      </c>
      <c r="EN27" s="187">
        <f>Юсь!C83</f>
        <v>0</v>
      </c>
      <c r="EO27" s="187">
        <f>Юсь!D83</f>
        <v>0</v>
      </c>
      <c r="EP27" s="187" t="e">
        <f t="shared" si="11"/>
        <v>#DIV/0!</v>
      </c>
      <c r="EQ27" s="198">
        <f>Юсь!C88</f>
        <v>4</v>
      </c>
      <c r="ER27" s="198">
        <f>Юсь!D88</f>
        <v>0</v>
      </c>
      <c r="ES27" s="187">
        <f t="shared" si="51"/>
        <v>0</v>
      </c>
      <c r="ET27" s="187">
        <f>Юсь!C94</f>
        <v>0</v>
      </c>
      <c r="EU27" s="187">
        <f>Юсь!D94</f>
        <v>0</v>
      </c>
      <c r="EV27" s="184" t="e">
        <f t="shared" si="52"/>
        <v>#DIV/0!</v>
      </c>
      <c r="EW27" s="191">
        <f t="shared" si="12"/>
        <v>-699.8163799999993</v>
      </c>
      <c r="EX27" s="191">
        <f t="shared" si="13"/>
        <v>-3.1515000000003965</v>
      </c>
      <c r="EY27" s="184">
        <f t="shared" si="54"/>
        <v>0.45033241433994436</v>
      </c>
      <c r="EZ27" s="192"/>
      <c r="FA27" s="193"/>
      <c r="FC27" s="193"/>
    </row>
    <row r="28" spans="1:170" s="169" customFormat="1" ht="15" customHeight="1">
      <c r="A28" s="181">
        <v>15</v>
      </c>
      <c r="B28" s="194" t="s">
        <v>318</v>
      </c>
      <c r="C28" s="287">
        <f t="shared" si="14"/>
        <v>8542.2053599999999</v>
      </c>
      <c r="D28" s="287">
        <f>G28+CA28+CY28</f>
        <v>5388.1205499999996</v>
      </c>
      <c r="E28" s="187">
        <f>D28/C28*100</f>
        <v>63.076457693590257</v>
      </c>
      <c r="F28" s="185">
        <f t="shared" si="2"/>
        <v>2490.75</v>
      </c>
      <c r="G28" s="185">
        <f>J28+Y28+AB28+AE28+AH28+AN28+AT28+BF28+AK28+BR28+BO28+AZ28+M28+S28+P28+V28+AQ28</f>
        <v>1198.3117500000001</v>
      </c>
      <c r="H28" s="187">
        <f>G28/F28*100</f>
        <v>48.110478771454382</v>
      </c>
      <c r="I28" s="195">
        <f>Яра!C6</f>
        <v>91.5</v>
      </c>
      <c r="J28" s="195">
        <f>Яра!D6</f>
        <v>82.744500000000002</v>
      </c>
      <c r="K28" s="187">
        <f t="shared" si="16"/>
        <v>90.431147540983616</v>
      </c>
      <c r="L28" s="187">
        <f>Яра!C8</f>
        <v>273.13</v>
      </c>
      <c r="M28" s="187">
        <f>Яра!D8</f>
        <v>216.04886999999999</v>
      </c>
      <c r="N28" s="184">
        <f t="shared" si="17"/>
        <v>79.101113023102556</v>
      </c>
      <c r="O28" s="184">
        <f>Яра!C9</f>
        <v>2.93</v>
      </c>
      <c r="P28" s="184">
        <f>Яра!D9</f>
        <v>1.8511299999999999</v>
      </c>
      <c r="Q28" s="184">
        <f t="shared" si="18"/>
        <v>63.178498293515354</v>
      </c>
      <c r="R28" s="184">
        <f>Яра!C10</f>
        <v>456.19</v>
      </c>
      <c r="S28" s="184">
        <f>Яра!D10</f>
        <v>327.52542</v>
      </c>
      <c r="T28" s="184">
        <f t="shared" si="19"/>
        <v>71.795835068721374</v>
      </c>
      <c r="U28" s="184">
        <f>Яра!C11</f>
        <v>0</v>
      </c>
      <c r="V28" s="184">
        <f>Яра!D11</f>
        <v>-50.367959999999997</v>
      </c>
      <c r="W28" s="184" t="e">
        <f t="shared" si="20"/>
        <v>#DIV/0!</v>
      </c>
      <c r="X28" s="195">
        <f>Яра!C13</f>
        <v>15</v>
      </c>
      <c r="Y28" s="195">
        <f>Яра!D13</f>
        <v>21.4968</v>
      </c>
      <c r="Z28" s="187">
        <f t="shared" si="21"/>
        <v>143.31199999999998</v>
      </c>
      <c r="AA28" s="195">
        <f>Яра!C15</f>
        <v>155</v>
      </c>
      <c r="AB28" s="195">
        <f>Яра!D15</f>
        <v>44.308610000000002</v>
      </c>
      <c r="AC28" s="187">
        <f t="shared" si="22"/>
        <v>28.586200000000002</v>
      </c>
      <c r="AD28" s="195">
        <f>Яра!C16</f>
        <v>1450</v>
      </c>
      <c r="AE28" s="195">
        <f>Яра!D16</f>
        <v>441.88637</v>
      </c>
      <c r="AF28" s="187">
        <f t="shared" si="4"/>
        <v>30.474922068965515</v>
      </c>
      <c r="AG28" s="187">
        <f>Яра!C18</f>
        <v>12</v>
      </c>
      <c r="AH28" s="187">
        <f>Яра!D18</f>
        <v>12.487209999999999</v>
      </c>
      <c r="AI28" s="187">
        <f t="shared" si="23"/>
        <v>104.06008333333332</v>
      </c>
      <c r="AJ28" s="187"/>
      <c r="AK28" s="187"/>
      <c r="AL28" s="187" t="e">
        <f>AJ28/AK28*100</f>
        <v>#DIV/0!</v>
      </c>
      <c r="AM28" s="195">
        <v>0</v>
      </c>
      <c r="AN28" s="195">
        <v>0</v>
      </c>
      <c r="AO28" s="187" t="e">
        <f t="shared" si="6"/>
        <v>#DIV/0!</v>
      </c>
      <c r="AP28" s="195">
        <f>Яра!C27</f>
        <v>30</v>
      </c>
      <c r="AQ28" s="195">
        <f>Яра!D27</f>
        <v>8.5763599999999993</v>
      </c>
      <c r="AR28" s="187">
        <f t="shared" si="24"/>
        <v>28.587866666666667</v>
      </c>
      <c r="AS28" s="188">
        <f>Яра!C28</f>
        <v>5</v>
      </c>
      <c r="AT28" s="195">
        <f>Яра!D28</f>
        <v>53.003459999999997</v>
      </c>
      <c r="AU28" s="187">
        <f t="shared" si="25"/>
        <v>1060.0691999999999</v>
      </c>
      <c r="AV28" s="195"/>
      <c r="AW28" s="195"/>
      <c r="AX28" s="187" t="e">
        <f t="shared" si="26"/>
        <v>#DIV/0!</v>
      </c>
      <c r="AY28" s="187">
        <f>Яра!C31</f>
        <v>0</v>
      </c>
      <c r="AZ28" s="187">
        <f>Яра!D31</f>
        <v>25.80283</v>
      </c>
      <c r="BA28" s="187" t="e">
        <f t="shared" si="27"/>
        <v>#DIV/0!</v>
      </c>
      <c r="BB28" s="187"/>
      <c r="BC28" s="187"/>
      <c r="BD28" s="187"/>
      <c r="BE28" s="187"/>
      <c r="BF28" s="187">
        <v>0</v>
      </c>
      <c r="BG28" s="187" t="e">
        <f t="shared" si="28"/>
        <v>#DIV/0!</v>
      </c>
      <c r="BH28" s="187"/>
      <c r="BI28" s="187"/>
      <c r="BJ28" s="187" t="e">
        <f t="shared" si="29"/>
        <v>#DIV/0!</v>
      </c>
      <c r="BK28" s="187"/>
      <c r="BL28" s="187"/>
      <c r="BM28" s="187"/>
      <c r="BN28" s="187">
        <f>Яра!C35</f>
        <v>0</v>
      </c>
      <c r="BO28" s="361">
        <f>Яра!D35</f>
        <v>12.99113</v>
      </c>
      <c r="BP28" s="187" t="e">
        <f t="shared" si="30"/>
        <v>#DIV/0!</v>
      </c>
      <c r="BQ28" s="187">
        <f>Яра!C37</f>
        <v>0</v>
      </c>
      <c r="BR28" s="187">
        <f>Яра!D37</f>
        <v>-4.2979999999999997E-2</v>
      </c>
      <c r="BS28" s="187" t="e">
        <f t="shared" si="31"/>
        <v>#DIV/0!</v>
      </c>
      <c r="BT28" s="187"/>
      <c r="BU28" s="187"/>
      <c r="BV28" s="196" t="e">
        <f t="shared" si="32"/>
        <v>#DIV/0!</v>
      </c>
      <c r="BW28" s="196"/>
      <c r="BX28" s="196"/>
      <c r="BY28" s="196" t="e">
        <f t="shared" si="33"/>
        <v>#DIV/0!</v>
      </c>
      <c r="BZ28" s="186">
        <f t="shared" si="34"/>
        <v>6051.4553599999999</v>
      </c>
      <c r="CA28" s="186">
        <f t="shared" si="35"/>
        <v>4189.8087999999998</v>
      </c>
      <c r="CB28" s="187">
        <f t="shared" si="53"/>
        <v>69.236382832707534</v>
      </c>
      <c r="CC28" s="187">
        <f>Яра!C42</f>
        <v>1821.173</v>
      </c>
      <c r="CD28" s="187">
        <f>Яра!D42</f>
        <v>1272.0060000000001</v>
      </c>
      <c r="CE28" s="187">
        <f t="shared" si="36"/>
        <v>69.845423801033732</v>
      </c>
      <c r="CF28" s="187">
        <f>Яра!C43</f>
        <v>70</v>
      </c>
      <c r="CG28" s="187">
        <f>Яра!D43</f>
        <v>0</v>
      </c>
      <c r="CH28" s="187">
        <f t="shared" si="37"/>
        <v>0</v>
      </c>
      <c r="CI28" s="187">
        <f>Яра!C44</f>
        <v>3340.6713599999998</v>
      </c>
      <c r="CJ28" s="187">
        <f>Яра!D44</f>
        <v>2127.9686999999999</v>
      </c>
      <c r="CK28" s="187">
        <f t="shared" si="7"/>
        <v>63.698833877511376</v>
      </c>
      <c r="CL28" s="187">
        <f>Яра!C45</f>
        <v>155.91800000000001</v>
      </c>
      <c r="CM28" s="187">
        <f>Яра!D45</f>
        <v>126.14109999999999</v>
      </c>
      <c r="CN28" s="187">
        <f t="shared" si="8"/>
        <v>80.902205005195029</v>
      </c>
      <c r="CO28" s="187">
        <f>Яра!C47</f>
        <v>0</v>
      </c>
      <c r="CP28" s="187">
        <f>Яра!D47</f>
        <v>0</v>
      </c>
      <c r="CQ28" s="187"/>
      <c r="CR28" s="187">
        <f>Яра!C51</f>
        <v>663.69299999999998</v>
      </c>
      <c r="CS28" s="187">
        <f>Яра!D51</f>
        <v>663.69299999999998</v>
      </c>
      <c r="CT28" s="187">
        <f t="shared" si="9"/>
        <v>100</v>
      </c>
      <c r="CU28" s="187"/>
      <c r="CV28" s="187"/>
      <c r="CW28" s="187"/>
      <c r="CX28" s="195"/>
      <c r="CY28" s="195"/>
      <c r="CZ28" s="187" t="e">
        <f t="shared" si="38"/>
        <v>#DIV/0!</v>
      </c>
      <c r="DA28" s="187"/>
      <c r="DB28" s="187">
        <f>Яра!D46</f>
        <v>0</v>
      </c>
      <c r="DC28" s="187" t="e">
        <f>DB28/DA28</f>
        <v>#DIV/0!</v>
      </c>
      <c r="DD28" s="187"/>
      <c r="DE28" s="187"/>
      <c r="DF28" s="187"/>
      <c r="DG28" s="195">
        <f t="shared" si="39"/>
        <v>10740.79069</v>
      </c>
      <c r="DH28" s="195">
        <f t="shared" si="39"/>
        <v>6870.0062900000012</v>
      </c>
      <c r="DI28" s="187">
        <f t="shared" si="40"/>
        <v>63.961830076403814</v>
      </c>
      <c r="DJ28" s="195">
        <f t="shared" si="41"/>
        <v>1306.498</v>
      </c>
      <c r="DK28" s="195">
        <f t="shared" si="41"/>
        <v>749.23440000000005</v>
      </c>
      <c r="DL28" s="187">
        <f t="shared" si="42"/>
        <v>57.346769761606986</v>
      </c>
      <c r="DM28" s="187">
        <f>Яра!C59</f>
        <v>1283.673</v>
      </c>
      <c r="DN28" s="187">
        <f>Яра!D59</f>
        <v>732.42740000000003</v>
      </c>
      <c r="DO28" s="187">
        <f t="shared" si="43"/>
        <v>57.05716331184032</v>
      </c>
      <c r="DP28" s="187">
        <f>Яра!C62</f>
        <v>0</v>
      </c>
      <c r="DQ28" s="187">
        <f>Яра!D62</f>
        <v>0</v>
      </c>
      <c r="DR28" s="187" t="e">
        <f t="shared" si="44"/>
        <v>#DIV/0!</v>
      </c>
      <c r="DS28" s="187">
        <f>Яра!C63</f>
        <v>5</v>
      </c>
      <c r="DT28" s="187">
        <f>Яра!D63</f>
        <v>0</v>
      </c>
      <c r="DU28" s="187">
        <f t="shared" si="45"/>
        <v>0</v>
      </c>
      <c r="DV28" s="187">
        <f>Яра!C64</f>
        <v>17.824999999999999</v>
      </c>
      <c r="DW28" s="187">
        <f>Яра!D64</f>
        <v>16.806999999999999</v>
      </c>
      <c r="DX28" s="187">
        <f t="shared" si="46"/>
        <v>94.288920056100977</v>
      </c>
      <c r="DY28" s="187">
        <f>Яра!C66</f>
        <v>150.88</v>
      </c>
      <c r="DZ28" s="187">
        <f>Яра!D65</f>
        <v>108.21825</v>
      </c>
      <c r="EA28" s="187">
        <f t="shared" si="47"/>
        <v>71.72471500530223</v>
      </c>
      <c r="EB28" s="187">
        <f>Яра!C67</f>
        <v>60</v>
      </c>
      <c r="EC28" s="187">
        <f>Яра!D67</f>
        <v>5.7750000000000004</v>
      </c>
      <c r="ED28" s="187">
        <f t="shared" si="48"/>
        <v>9.625</v>
      </c>
      <c r="EE28" s="195">
        <f>Яра!C73</f>
        <v>5706.0226899999998</v>
      </c>
      <c r="EF28" s="195">
        <f>Яра!D73</f>
        <v>3574.04441</v>
      </c>
      <c r="EG28" s="187">
        <f t="shared" si="49"/>
        <v>62.636351170906401</v>
      </c>
      <c r="EH28" s="195">
        <f>Яра!C78</f>
        <v>476.375</v>
      </c>
      <c r="EI28" s="195">
        <f>Яра!D78</f>
        <v>294.73453999999998</v>
      </c>
      <c r="EJ28" s="187">
        <f t="shared" si="50"/>
        <v>61.870278667016535</v>
      </c>
      <c r="EK28" s="195">
        <f>Яра!C82</f>
        <v>2982.0149999999999</v>
      </c>
      <c r="EL28" s="197">
        <f>Яра!D82</f>
        <v>2101.17769</v>
      </c>
      <c r="EM28" s="187">
        <f t="shared" si="10"/>
        <v>70.461674069379271</v>
      </c>
      <c r="EN28" s="187">
        <f>Яра!C84</f>
        <v>0</v>
      </c>
      <c r="EO28" s="187">
        <f>Яра!D84</f>
        <v>0</v>
      </c>
      <c r="EP28" s="187" t="e">
        <f t="shared" si="11"/>
        <v>#DIV/0!</v>
      </c>
      <c r="EQ28" s="198">
        <f>Яра!C89</f>
        <v>59</v>
      </c>
      <c r="ER28" s="198">
        <f>Яра!D89</f>
        <v>36.822000000000003</v>
      </c>
      <c r="ES28" s="187">
        <f t="shared" si="51"/>
        <v>62.410169491525423</v>
      </c>
      <c r="ET28" s="187">
        <f>Яра!C95</f>
        <v>0</v>
      </c>
      <c r="EU28" s="187">
        <f>Яра!D95</f>
        <v>0</v>
      </c>
      <c r="EV28" s="184" t="e">
        <f t="shared" si="52"/>
        <v>#DIV/0!</v>
      </c>
      <c r="EW28" s="191">
        <f t="shared" si="12"/>
        <v>-2198.5853299999999</v>
      </c>
      <c r="EX28" s="191">
        <f t="shared" si="13"/>
        <v>-1481.8857400000015</v>
      </c>
      <c r="EY28" s="184">
        <f t="shared" si="54"/>
        <v>67.401784219127919</v>
      </c>
      <c r="EZ28" s="192"/>
      <c r="FA28" s="193"/>
      <c r="FC28" s="193"/>
    </row>
    <row r="29" spans="1:170" s="169" customFormat="1" ht="15" customHeight="1">
      <c r="A29" s="181">
        <v>16</v>
      </c>
      <c r="B29" s="182" t="s">
        <v>319</v>
      </c>
      <c r="C29" s="183">
        <f t="shared" si="14"/>
        <v>9191.3479999999981</v>
      </c>
      <c r="D29" s="287">
        <f t="shared" si="0"/>
        <v>2549.8456299999998</v>
      </c>
      <c r="E29" s="184">
        <f t="shared" si="1"/>
        <v>27.741802725780811</v>
      </c>
      <c r="F29" s="185">
        <f t="shared" si="2"/>
        <v>1800.1619999999998</v>
      </c>
      <c r="G29" s="185">
        <f t="shared" si="3"/>
        <v>777.66143000000011</v>
      </c>
      <c r="H29" s="184">
        <f t="shared" si="15"/>
        <v>43.199524820543935</v>
      </c>
      <c r="I29" s="186">
        <f>Яро!C6</f>
        <v>91.6</v>
      </c>
      <c r="J29" s="195">
        <f>Яро!D6</f>
        <v>67.891019999999997</v>
      </c>
      <c r="K29" s="184">
        <f t="shared" si="16"/>
        <v>74.116834061135378</v>
      </c>
      <c r="L29" s="184">
        <f>Яро!C8</f>
        <v>156.87</v>
      </c>
      <c r="M29" s="184">
        <f>Яро!D8</f>
        <v>124.08636</v>
      </c>
      <c r="N29" s="184">
        <f t="shared" si="17"/>
        <v>79.101396060432208</v>
      </c>
      <c r="O29" s="184">
        <f>Яро!C9</f>
        <v>1.68</v>
      </c>
      <c r="P29" s="184">
        <f>Яро!D9</f>
        <v>1.0631600000000001</v>
      </c>
      <c r="Q29" s="184">
        <f t="shared" si="18"/>
        <v>63.283333333333346</v>
      </c>
      <c r="R29" s="184">
        <f>Яро!C10</f>
        <v>262.01</v>
      </c>
      <c r="S29" s="184">
        <f>Яро!D10</f>
        <v>188.11229</v>
      </c>
      <c r="T29" s="184">
        <f t="shared" si="19"/>
        <v>71.795843670088928</v>
      </c>
      <c r="U29" s="184">
        <f>Яро!C11</f>
        <v>0</v>
      </c>
      <c r="V29" s="184">
        <f>Яро!D11</f>
        <v>-28.928450000000002</v>
      </c>
      <c r="W29" s="184" t="e">
        <f t="shared" si="20"/>
        <v>#DIV/0!</v>
      </c>
      <c r="X29" s="186">
        <f>Яро!C13</f>
        <v>5</v>
      </c>
      <c r="Y29" s="186">
        <f>Яро!D13</f>
        <v>0.1038</v>
      </c>
      <c r="Z29" s="184">
        <f t="shared" si="21"/>
        <v>2.0760000000000001</v>
      </c>
      <c r="AA29" s="186">
        <f>Яро!C15</f>
        <v>235</v>
      </c>
      <c r="AB29" s="186">
        <f>Яро!D15</f>
        <v>32.503819999999997</v>
      </c>
      <c r="AC29" s="184">
        <f t="shared" si="22"/>
        <v>13.831412765957445</v>
      </c>
      <c r="AD29" s="186">
        <f>Яро!C16</f>
        <v>990</v>
      </c>
      <c r="AE29" s="186">
        <f>Яро!D16</f>
        <v>389.44331</v>
      </c>
      <c r="AF29" s="184">
        <f t="shared" si="4"/>
        <v>39.337708080808085</v>
      </c>
      <c r="AG29" s="184">
        <f>Яро!C18</f>
        <v>8.0020000000000007</v>
      </c>
      <c r="AH29" s="184">
        <f>Яро!D18</f>
        <v>3.1309999999999998</v>
      </c>
      <c r="AI29" s="184">
        <f t="shared" si="23"/>
        <v>39.127718070482373</v>
      </c>
      <c r="AJ29" s="184"/>
      <c r="AK29" s="184"/>
      <c r="AL29" s="184" t="e">
        <f>AJ29/AK29*100</f>
        <v>#DIV/0!</v>
      </c>
      <c r="AM29" s="186">
        <v>0</v>
      </c>
      <c r="AN29" s="186">
        <v>0</v>
      </c>
      <c r="AO29" s="184" t="e">
        <f t="shared" si="6"/>
        <v>#DIV/0!</v>
      </c>
      <c r="AP29" s="186">
        <f>Яро!C26</f>
        <v>50</v>
      </c>
      <c r="AQ29" s="186">
        <f>Яро!D27</f>
        <v>0.25512000000000001</v>
      </c>
      <c r="AR29" s="184">
        <f t="shared" si="24"/>
        <v>0.51024000000000003</v>
      </c>
      <c r="AS29" s="188">
        <v>0</v>
      </c>
      <c r="AT29" s="186">
        <f>Яро!D28</f>
        <v>0</v>
      </c>
      <c r="AU29" s="184" t="e">
        <f t="shared" si="25"/>
        <v>#DIV/0!</v>
      </c>
      <c r="AV29" s="186"/>
      <c r="AW29" s="186"/>
      <c r="AX29" s="184" t="e">
        <f t="shared" si="26"/>
        <v>#DIV/0!</v>
      </c>
      <c r="AY29" s="184"/>
      <c r="AZ29" s="184"/>
      <c r="BA29" s="184" t="e">
        <f t="shared" si="27"/>
        <v>#DIV/0!</v>
      </c>
      <c r="BB29" s="184"/>
      <c r="BC29" s="184"/>
      <c r="BD29" s="184"/>
      <c r="BE29" s="184">
        <f>Яро!C33</f>
        <v>0</v>
      </c>
      <c r="BF29" s="184">
        <f>Яро!D31</f>
        <v>0</v>
      </c>
      <c r="BG29" s="184" t="e">
        <f t="shared" si="28"/>
        <v>#DIV/0!</v>
      </c>
      <c r="BH29" s="184"/>
      <c r="BI29" s="184"/>
      <c r="BJ29" s="184" t="e">
        <f t="shared" si="29"/>
        <v>#DIV/0!</v>
      </c>
      <c r="BK29" s="184"/>
      <c r="BL29" s="184"/>
      <c r="BM29" s="184"/>
      <c r="BN29" s="184"/>
      <c r="BO29" s="184"/>
      <c r="BP29" s="184" t="e">
        <f t="shared" si="30"/>
        <v>#DIV/0!</v>
      </c>
      <c r="BQ29" s="184">
        <f>Яро!C34</f>
        <v>0</v>
      </c>
      <c r="BR29" s="184">
        <f>Яро!D34</f>
        <v>0</v>
      </c>
      <c r="BS29" s="184" t="e">
        <f t="shared" si="31"/>
        <v>#DIV/0!</v>
      </c>
      <c r="BT29" s="184"/>
      <c r="BU29" s="184"/>
      <c r="BV29" s="189" t="e">
        <f t="shared" si="32"/>
        <v>#DIV/0!</v>
      </c>
      <c r="BW29" s="189"/>
      <c r="BX29" s="189"/>
      <c r="BY29" s="189" t="e">
        <f t="shared" si="33"/>
        <v>#DIV/0!</v>
      </c>
      <c r="BZ29" s="186">
        <f t="shared" si="34"/>
        <v>7391.1859999999988</v>
      </c>
      <c r="CA29" s="186">
        <f t="shared" si="35"/>
        <v>1772.1841999999999</v>
      </c>
      <c r="CB29" s="184">
        <f t="shared" si="53"/>
        <v>23.976993678687023</v>
      </c>
      <c r="CC29" s="187">
        <f>Яро!C39</f>
        <v>975.07100000000003</v>
      </c>
      <c r="CD29" s="187">
        <f>Яро!D39</f>
        <v>708.78899999999999</v>
      </c>
      <c r="CE29" s="184">
        <f t="shared" si="36"/>
        <v>72.691014295369257</v>
      </c>
      <c r="CF29" s="184">
        <f>Яро!C40</f>
        <v>584</v>
      </c>
      <c r="CG29" s="184">
        <f>Яро!D40</f>
        <v>494.5</v>
      </c>
      <c r="CH29" s="184">
        <f t="shared" si="37"/>
        <v>84.674657534246577</v>
      </c>
      <c r="CI29" s="184">
        <f>Яро!C41</f>
        <v>5503.0969999999998</v>
      </c>
      <c r="CJ29" s="184">
        <f>Яро!D41</f>
        <v>259.59699999999998</v>
      </c>
      <c r="CK29" s="184">
        <f t="shared" si="7"/>
        <v>4.7172891918859507</v>
      </c>
      <c r="CL29" s="184">
        <f>Яро!C42</f>
        <v>74.096000000000004</v>
      </c>
      <c r="CM29" s="184">
        <f>Яро!D42</f>
        <v>61.376199999999997</v>
      </c>
      <c r="CN29" s="184">
        <f t="shared" si="8"/>
        <v>82.833351328006898</v>
      </c>
      <c r="CO29" s="184">
        <f>Яро!C44</f>
        <v>0</v>
      </c>
      <c r="CP29" s="184">
        <f>Яро!D44</f>
        <v>0</v>
      </c>
      <c r="CQ29" s="184" t="e">
        <f>Яро!E44</f>
        <v>#DIV/0!</v>
      </c>
      <c r="CR29" s="184">
        <f>Яро!C45</f>
        <v>254.922</v>
      </c>
      <c r="CS29" s="184">
        <f>Яро!D45</f>
        <v>247.922</v>
      </c>
      <c r="CT29" s="184">
        <f t="shared" si="9"/>
        <v>97.254062026816044</v>
      </c>
      <c r="CU29" s="184"/>
      <c r="CV29" s="184"/>
      <c r="CW29" s="184"/>
      <c r="CX29" s="186"/>
      <c r="CY29" s="186"/>
      <c r="CZ29" s="184" t="e">
        <f t="shared" si="38"/>
        <v>#DIV/0!</v>
      </c>
      <c r="DA29" s="184"/>
      <c r="DB29" s="184"/>
      <c r="DC29" s="184"/>
      <c r="DD29" s="184"/>
      <c r="DE29" s="184"/>
      <c r="DF29" s="184"/>
      <c r="DG29" s="186">
        <f t="shared" si="39"/>
        <v>9245.0078700000013</v>
      </c>
      <c r="DH29" s="186">
        <f t="shared" si="39"/>
        <v>2415.9753099999998</v>
      </c>
      <c r="DI29" s="184">
        <f t="shared" si="40"/>
        <v>26.132755579795948</v>
      </c>
      <c r="DJ29" s="186">
        <f t="shared" si="41"/>
        <v>1266.1849999999999</v>
      </c>
      <c r="DK29" s="186">
        <f t="shared" si="41"/>
        <v>804.54273000000001</v>
      </c>
      <c r="DL29" s="184">
        <f t="shared" si="42"/>
        <v>63.540693500554823</v>
      </c>
      <c r="DM29" s="184">
        <f>Яро!C55</f>
        <v>1257.971</v>
      </c>
      <c r="DN29" s="184">
        <f>Яро!D55</f>
        <v>801.32872999999995</v>
      </c>
      <c r="DO29" s="184">
        <f t="shared" si="43"/>
        <v>63.70009563018543</v>
      </c>
      <c r="DP29" s="184">
        <f>Яро!C58</f>
        <v>0</v>
      </c>
      <c r="DQ29" s="184">
        <f>Яро!D58</f>
        <v>0</v>
      </c>
      <c r="DR29" s="184" t="e">
        <f t="shared" si="44"/>
        <v>#DIV/0!</v>
      </c>
      <c r="DS29" s="184">
        <f>Яро!C59</f>
        <v>5</v>
      </c>
      <c r="DT29" s="184">
        <f>Яро!D59</f>
        <v>0</v>
      </c>
      <c r="DU29" s="184">
        <f t="shared" si="45"/>
        <v>0</v>
      </c>
      <c r="DV29" s="184">
        <f>Яро!C60</f>
        <v>3.214</v>
      </c>
      <c r="DW29" s="184">
        <f>Яро!D60</f>
        <v>3.214</v>
      </c>
      <c r="DX29" s="184">
        <f t="shared" si="46"/>
        <v>100</v>
      </c>
      <c r="DY29" s="184">
        <f>Яро!C61</f>
        <v>70.596000000000004</v>
      </c>
      <c r="DZ29" s="184">
        <f>Яро!D61</f>
        <v>46.185540000000003</v>
      </c>
      <c r="EA29" s="184">
        <f t="shared" si="47"/>
        <v>65.422318544960063</v>
      </c>
      <c r="EB29" s="184">
        <f>Яро!C63</f>
        <v>30.7</v>
      </c>
      <c r="EC29" s="184">
        <f>Яро!D63</f>
        <v>14.436</v>
      </c>
      <c r="ED29" s="184">
        <f t="shared" si="48"/>
        <v>47.022801302931597</v>
      </c>
      <c r="EE29" s="186">
        <f>Яро!C68</f>
        <v>2067.6508700000004</v>
      </c>
      <c r="EF29" s="186">
        <f>Яро!D68</f>
        <v>834.72751999999991</v>
      </c>
      <c r="EG29" s="184">
        <f t="shared" si="49"/>
        <v>40.370815600991662</v>
      </c>
      <c r="EH29" s="186">
        <f>Яро!C73</f>
        <v>460.37599999999998</v>
      </c>
      <c r="EI29" s="186">
        <f>Яро!D73</f>
        <v>278.99752000000001</v>
      </c>
      <c r="EJ29" s="184">
        <f t="shared" si="50"/>
        <v>60.60209915373521</v>
      </c>
      <c r="EK29" s="186">
        <f>Яро!C78</f>
        <v>5344.5</v>
      </c>
      <c r="EL29" s="190">
        <f>Яро!D77</f>
        <v>435.07100000000003</v>
      </c>
      <c r="EM29" s="184">
        <f t="shared" si="10"/>
        <v>8.140537000654879</v>
      </c>
      <c r="EN29" s="184">
        <f>Яро!C79</f>
        <v>0</v>
      </c>
      <c r="EO29" s="184">
        <f>Яро!D79</f>
        <v>0</v>
      </c>
      <c r="EP29" s="184" t="e">
        <f t="shared" si="11"/>
        <v>#DIV/0!</v>
      </c>
      <c r="EQ29" s="185">
        <f>Яро!C84</f>
        <v>5</v>
      </c>
      <c r="ER29" s="185">
        <f>Яро!D84</f>
        <v>2.0150000000000001</v>
      </c>
      <c r="ES29" s="184">
        <f t="shared" si="51"/>
        <v>40.300000000000004</v>
      </c>
      <c r="ET29" s="184">
        <f>Яро!C90</f>
        <v>0</v>
      </c>
      <c r="EU29" s="184">
        <f>Яро!D90</f>
        <v>0</v>
      </c>
      <c r="EV29" s="184" t="e">
        <f t="shared" si="52"/>
        <v>#DIV/0!</v>
      </c>
      <c r="EW29" s="191">
        <f t="shared" si="12"/>
        <v>-53.659870000003139</v>
      </c>
      <c r="EX29" s="191">
        <f t="shared" si="13"/>
        <v>133.87031999999999</v>
      </c>
      <c r="EY29" s="184">
        <f t="shared" si="54"/>
        <v>-249.47939680061126</v>
      </c>
      <c r="EZ29" s="192"/>
      <c r="FA29" s="193"/>
      <c r="FC29" s="193"/>
    </row>
    <row r="30" spans="1:170" s="169" customFormat="1" ht="17.25" customHeight="1">
      <c r="A30" s="202"/>
      <c r="B30" s="203"/>
      <c r="C30" s="183"/>
      <c r="D30" s="289"/>
      <c r="E30" s="184"/>
      <c r="F30" s="185"/>
      <c r="G30" s="186"/>
      <c r="H30" s="184"/>
      <c r="I30" s="186"/>
      <c r="J30" s="186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6"/>
      <c r="Y30" s="186"/>
      <c r="Z30" s="184"/>
      <c r="AA30" s="186"/>
      <c r="AB30" s="186"/>
      <c r="AC30" s="184"/>
      <c r="AD30" s="186"/>
      <c r="AE30" s="186"/>
      <c r="AF30" s="184"/>
      <c r="AG30" s="184"/>
      <c r="AH30" s="184"/>
      <c r="AI30" s="184"/>
      <c r="AJ30" s="184"/>
      <c r="AK30" s="184"/>
      <c r="AL30" s="184"/>
      <c r="AM30" s="186"/>
      <c r="AN30" s="186"/>
      <c r="AO30" s="184"/>
      <c r="AP30" s="186"/>
      <c r="AQ30" s="186"/>
      <c r="AR30" s="184"/>
      <c r="AS30" s="186"/>
      <c r="AT30" s="186"/>
      <c r="AU30" s="184"/>
      <c r="AV30" s="186"/>
      <c r="AW30" s="186"/>
      <c r="AX30" s="184"/>
      <c r="AY30" s="184"/>
      <c r="AZ30" s="184"/>
      <c r="BA30" s="184" t="e">
        <f t="shared" si="27"/>
        <v>#DIV/0!</v>
      </c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9"/>
      <c r="BW30" s="189"/>
      <c r="BX30" s="189"/>
      <c r="BY30" s="189"/>
      <c r="BZ30" s="204"/>
      <c r="CA30" s="186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184"/>
      <c r="CS30" s="184"/>
      <c r="CT30" s="184"/>
      <c r="CU30" s="184"/>
      <c r="CV30" s="184"/>
      <c r="CW30" s="184"/>
      <c r="CX30" s="186"/>
      <c r="CY30" s="186"/>
      <c r="CZ30" s="184"/>
      <c r="DA30" s="184"/>
      <c r="DB30" s="184"/>
      <c r="DC30" s="184"/>
      <c r="DD30" s="184"/>
      <c r="DE30" s="184"/>
      <c r="DF30" s="184"/>
      <c r="DG30" s="186"/>
      <c r="DH30" s="186"/>
      <c r="DI30" s="184"/>
      <c r="DJ30" s="186"/>
      <c r="DK30" s="204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223"/>
      <c r="EA30" s="184"/>
      <c r="EB30" s="184"/>
      <c r="EC30" s="184"/>
      <c r="ED30" s="184"/>
      <c r="EE30" s="186"/>
      <c r="EF30" s="186"/>
      <c r="EG30" s="184"/>
      <c r="EH30" s="186"/>
      <c r="EI30" s="186"/>
      <c r="EJ30" s="184"/>
      <c r="EK30" s="186"/>
      <c r="EL30" s="186"/>
      <c r="EM30" s="184"/>
      <c r="EN30" s="184"/>
      <c r="EO30" s="184"/>
      <c r="EP30" s="184"/>
      <c r="EQ30" s="185"/>
      <c r="ER30" s="185"/>
      <c r="ES30" s="184"/>
      <c r="ET30" s="184"/>
      <c r="EU30" s="184"/>
      <c r="EV30" s="184"/>
      <c r="EW30" s="191"/>
      <c r="EX30" s="191"/>
      <c r="EY30" s="184" t="e">
        <f t="shared" si="54"/>
        <v>#DIV/0!</v>
      </c>
      <c r="FA30" s="193"/>
      <c r="FC30" s="193"/>
    </row>
    <row r="31" spans="1:170" s="206" customFormat="1" ht="17.25" customHeight="1">
      <c r="A31" s="421" t="s">
        <v>180</v>
      </c>
      <c r="B31" s="422"/>
      <c r="C31" s="290">
        <f>SUM(C14:C29)</f>
        <v>105222.82939</v>
      </c>
      <c r="D31" s="290">
        <f>SUM(D14:D29)</f>
        <v>55122.991219999996</v>
      </c>
      <c r="E31" s="205">
        <f>D31/C31*100</f>
        <v>52.386912174439857</v>
      </c>
      <c r="F31" s="237">
        <f>SUM(F14:F29)</f>
        <v>37183.641999999993</v>
      </c>
      <c r="G31" s="236">
        <f>SUM(G14:G29)</f>
        <v>19544.389310000002</v>
      </c>
      <c r="H31" s="239">
        <f>G31/F31*100</f>
        <v>52.56179400070603</v>
      </c>
      <c r="I31" s="236">
        <f>SUM(I14:I29)</f>
        <v>5106.9000000000005</v>
      </c>
      <c r="J31" s="236">
        <f>SUM(J14:J29)</f>
        <v>3189.83761</v>
      </c>
      <c r="K31" s="239">
        <f>J31/I31*100</f>
        <v>62.461328986273465</v>
      </c>
      <c r="L31" s="239">
        <f>SUM(L14:L29)</f>
        <v>3005.21</v>
      </c>
      <c r="M31" s="239">
        <f>SUM(M14:M29)</f>
        <v>2377.1674799999996</v>
      </c>
      <c r="N31" s="239">
        <f>M31/L31*100</f>
        <v>79.101542987012536</v>
      </c>
      <c r="O31" s="239">
        <f>SUM(O14:O29)</f>
        <v>32.24</v>
      </c>
      <c r="P31" s="239">
        <f>SUM(P14:P29)</f>
        <v>20.36788</v>
      </c>
      <c r="Q31" s="239">
        <f>P31/O31*100</f>
        <v>63.175806451612893</v>
      </c>
      <c r="R31" s="239">
        <f>SUM(R14:R29)</f>
        <v>5019.3900000000003</v>
      </c>
      <c r="S31" s="239">
        <f>SUM(S14:S29)</f>
        <v>3603.7348300000012</v>
      </c>
      <c r="T31" s="239">
        <f>S31/R31*100</f>
        <v>71.796270662371342</v>
      </c>
      <c r="U31" s="239">
        <f>SUM(U14:U29)</f>
        <v>0</v>
      </c>
      <c r="V31" s="239">
        <f>SUM(V14:V29)</f>
        <v>-554.19476999999995</v>
      </c>
      <c r="W31" s="239" t="e">
        <f>V31/U31*100</f>
        <v>#DIV/0!</v>
      </c>
      <c r="X31" s="236">
        <f>SUM(X14:X29)</f>
        <v>380</v>
      </c>
      <c r="Y31" s="236">
        <f>SUM(Y14:Y29)</f>
        <v>409.61031999999994</v>
      </c>
      <c r="Z31" s="239">
        <f>Y31/X31*100</f>
        <v>107.79218947368419</v>
      </c>
      <c r="AA31" s="236">
        <f>SUM(AA14:AA29)</f>
        <v>2833.4</v>
      </c>
      <c r="AB31" s="236">
        <f>SUM(AB14:AB29)</f>
        <v>850.13383999999985</v>
      </c>
      <c r="AC31" s="239">
        <f>AB31/AA31*100</f>
        <v>30.00401778781675</v>
      </c>
      <c r="AD31" s="236">
        <f>SUM(AD14:AD29)</f>
        <v>17689.2</v>
      </c>
      <c r="AE31" s="236">
        <f>SUM(AE14:AE29)</f>
        <v>7979.81178</v>
      </c>
      <c r="AF31" s="239">
        <f>AE31/AD31*100</f>
        <v>45.111207855640728</v>
      </c>
      <c r="AG31" s="363">
        <f>SUM(AG14:AG29)</f>
        <v>150.00200000000001</v>
      </c>
      <c r="AH31" s="239">
        <f>SUM(AH14:AH29)</f>
        <v>104.42821000000001</v>
      </c>
      <c r="AI31" s="184">
        <f t="shared" si="23"/>
        <v>69.617878428287625</v>
      </c>
      <c r="AJ31" s="236">
        <f>AJ14+AJ15+AJ16+AJ17+AJ18+AJ19+AJ20+AJ21+AJ22+AJ23+AJ24+AJ25+AJ26+AJ27+AJ28+AJ29</f>
        <v>0</v>
      </c>
      <c r="AK31" s="236">
        <f>AK14+AK15+AK16+AK17+AK18+AK19+AK20+AK21+AK22+AK23+AK24+AK25+AK26+AK27+AK28+AK29</f>
        <v>0</v>
      </c>
      <c r="AL31" s="184" t="e">
        <f>AK31/AJ31*100</f>
        <v>#DIV/0!</v>
      </c>
      <c r="AM31" s="236">
        <f>SUM(AM14:AM29)</f>
        <v>0</v>
      </c>
      <c r="AN31" s="236">
        <f>SUM(AN14:AN29)</f>
        <v>0</v>
      </c>
      <c r="AO31" s="239" t="e">
        <f>AN31/AM31*100</f>
        <v>#DIV/0!</v>
      </c>
      <c r="AP31" s="236">
        <f>SUM(AP14:AP29)</f>
        <v>1521.3</v>
      </c>
      <c r="AQ31" s="236">
        <f>SUM(AQ14:AQ29)</f>
        <v>162.91130000000001</v>
      </c>
      <c r="AR31" s="239">
        <f>AQ31/AP31*100</f>
        <v>10.708689936238743</v>
      </c>
      <c r="AS31" s="236">
        <f>SUM(AS14:AS29)</f>
        <v>300</v>
      </c>
      <c r="AT31" s="391">
        <f>SUM(AT14:AT29)</f>
        <v>227.96052</v>
      </c>
      <c r="AU31" s="239">
        <f>AT31/AS31*100</f>
        <v>75.986840000000001</v>
      </c>
      <c r="AV31" s="236">
        <f>SUM(AV14:AV29)</f>
        <v>0</v>
      </c>
      <c r="AW31" s="236">
        <f>SUM(AW14:AW29)</f>
        <v>0</v>
      </c>
      <c r="AX31" s="239" t="e">
        <f>AW31/AV31*100</f>
        <v>#DIV/0!</v>
      </c>
      <c r="AY31" s="239">
        <f>SUM(AY14:AY29)</f>
        <v>560</v>
      </c>
      <c r="AZ31" s="239">
        <f>SUM(AZ14:AZ29)</f>
        <v>633.03202999999996</v>
      </c>
      <c r="BA31" s="184">
        <f t="shared" si="27"/>
        <v>113.04143392857142</v>
      </c>
      <c r="BB31" s="184">
        <f>SUM(BB14:BB29)</f>
        <v>0</v>
      </c>
      <c r="BC31" s="184">
        <f>SUM(BC14:BC29)</f>
        <v>0</v>
      </c>
      <c r="BD31" s="184" t="e">
        <f>BC31/BB31*100</f>
        <v>#DIV/0!</v>
      </c>
      <c r="BE31" s="237">
        <f>SUM(BE14:BE29)</f>
        <v>586</v>
      </c>
      <c r="BF31" s="236">
        <f>SUM(BF14:BF29)</f>
        <v>591.20000000000005</v>
      </c>
      <c r="BG31" s="236">
        <f t="shared" si="28"/>
        <v>100.88737201365188</v>
      </c>
      <c r="BH31" s="236">
        <f>SUM(BH14:BH29)</f>
        <v>0</v>
      </c>
      <c r="BI31" s="236">
        <f>SUM(BI14:BI29)</f>
        <v>0</v>
      </c>
      <c r="BJ31" s="239" t="e">
        <f>BI31/BH31*100</f>
        <v>#DIV/0!</v>
      </c>
      <c r="BK31" s="239">
        <f>SUM(BK14:BK29)</f>
        <v>0</v>
      </c>
      <c r="BL31" s="239">
        <f>BL15+BL27+BL28+BL19+BL22+BL26+BL18</f>
        <v>0</v>
      </c>
      <c r="BM31" s="239" t="e">
        <f>BL31/BK31*100</f>
        <v>#DIV/0!</v>
      </c>
      <c r="BN31" s="239">
        <f>BN14+BN15+BN16+BN17+BN18+BN19+BN20+BN21+BN22+BN23+BN24+BN25+BN26+BN27+BN28+BN29</f>
        <v>0</v>
      </c>
      <c r="BO31" s="239">
        <f>BO14+BO15+BO16+BO17+BO18+BO19+BO20+BO21+BO22+BO23+BO24+BO25+BO26+BO27+BO28+BO29</f>
        <v>14.175890000000001</v>
      </c>
      <c r="BP31" s="239" t="e">
        <f>BO31/BN31*100</f>
        <v>#DIV/0!</v>
      </c>
      <c r="BQ31" s="236">
        <f>SUM(BQ14:BQ29)</f>
        <v>0</v>
      </c>
      <c r="BR31" s="359">
        <f>SUM(BR14:BR29)</f>
        <v>-65.787610000000001</v>
      </c>
      <c r="BS31" s="239" t="e">
        <f>BR31/BQ31*100</f>
        <v>#DIV/0!</v>
      </c>
      <c r="BT31" s="239">
        <f t="shared" ref="BT31:BY31" si="55">SUM(BT14:BT29)</f>
        <v>0</v>
      </c>
      <c r="BU31" s="239"/>
      <c r="BV31" s="239" t="e">
        <f t="shared" si="55"/>
        <v>#DIV/0!</v>
      </c>
      <c r="BW31" s="239">
        <f t="shared" si="55"/>
        <v>0</v>
      </c>
      <c r="BX31" s="239">
        <f t="shared" si="55"/>
        <v>0</v>
      </c>
      <c r="BY31" s="292" t="e">
        <f t="shared" si="55"/>
        <v>#DIV/0!</v>
      </c>
      <c r="BZ31" s="237">
        <f>SUM(BZ14:BZ29)</f>
        <v>68039.187389999992</v>
      </c>
      <c r="CA31" s="236">
        <f>SUM(CA14:CA29)</f>
        <v>35578.601910000005</v>
      </c>
      <c r="CB31" s="236">
        <f t="shared" si="53"/>
        <v>52.291338675260455</v>
      </c>
      <c r="CC31" s="236">
        <f>SUM(CC14:CC29)</f>
        <v>28718.623999999996</v>
      </c>
      <c r="CD31" s="236">
        <f>SUM(CD14:CD29)</f>
        <v>21225.200000000001</v>
      </c>
      <c r="CE31" s="236">
        <f>CD31/CC31*100</f>
        <v>73.90744069075177</v>
      </c>
      <c r="CF31" s="237">
        <f>SUM(CF14:CF29)</f>
        <v>4979.5749999999998</v>
      </c>
      <c r="CG31" s="236">
        <f>SUM(CG14:CG29)</f>
        <v>1931.5</v>
      </c>
      <c r="CH31" s="236">
        <f>CG31/CF31*100</f>
        <v>38.788450821606261</v>
      </c>
      <c r="CI31" s="236">
        <f>SUM(CI14:CI29)</f>
        <v>29173.917390000002</v>
      </c>
      <c r="CJ31" s="236">
        <f>SUM(CJ14:CJ29)</f>
        <v>8124.3405700000003</v>
      </c>
      <c r="CK31" s="236">
        <f>CJ31/CI31*100</f>
        <v>27.847959056690808</v>
      </c>
      <c r="CL31" s="236">
        <f>SUM(CL14:CL29)</f>
        <v>1856.7999999999997</v>
      </c>
      <c r="CM31" s="236">
        <f>SUM(CM14:CM29)</f>
        <v>1492.1410000000003</v>
      </c>
      <c r="CN31" s="236">
        <f t="shared" si="8"/>
        <v>80.360889702714374</v>
      </c>
      <c r="CO31" s="236">
        <f>SUM(CO14:CO29)</f>
        <v>120</v>
      </c>
      <c r="CP31" s="236">
        <f>SUM(CP14:CP29)</f>
        <v>0</v>
      </c>
      <c r="CQ31" s="236">
        <f>CP31/CO31*100</f>
        <v>0</v>
      </c>
      <c r="CR31" s="236">
        <f>SUM(CR14:CR29)</f>
        <v>3190.2709999999993</v>
      </c>
      <c r="CS31" s="236">
        <f>SUM(CS14:CS29)</f>
        <v>3172.3895799999996</v>
      </c>
      <c r="CT31" s="236">
        <f t="shared" si="9"/>
        <v>99.439501534509148</v>
      </c>
      <c r="CU31" s="236">
        <f>SUM(CU14:CU29)</f>
        <v>0</v>
      </c>
      <c r="CV31" s="236">
        <f>SUM(CV14:CV29)</f>
        <v>-366.96924000000001</v>
      </c>
      <c r="CW31" s="236" t="e">
        <f>CV31/CU31*100</f>
        <v>#DIV/0!</v>
      </c>
      <c r="CX31" s="236">
        <f>SUM(CX14:CX29)</f>
        <v>0</v>
      </c>
      <c r="CY31" s="236">
        <f>SUM(CY14:CY29)</f>
        <v>0</v>
      </c>
      <c r="CZ31" s="239" t="e">
        <f>CY31/CX31*100</f>
        <v>#DIV/0!</v>
      </c>
      <c r="DA31" s="239">
        <f>DA14+DA15+DA16+DA17+DA18+DA19+DA20+DA21+DA22+DA23+DA24+DA25+DA26+DA27+DA28+DA29</f>
        <v>0</v>
      </c>
      <c r="DB31" s="239">
        <f>DB14+DB15+DB16+DB17+DB18+DB19+DB20+DB21+DB22+DB23+DB24+DB25+DB26+DB27+DB28+DB29</f>
        <v>0</v>
      </c>
      <c r="DC31" s="239" t="e">
        <f>DB31/DA31*100</f>
        <v>#DIV/0!</v>
      </c>
      <c r="DD31" s="239">
        <f>DD14+DD15+DD16+DD17+DD18+DD19+DD20+DD21+DD22+DD23+DD24+DD25+DD26+DD27+DD28+DD29</f>
        <v>0</v>
      </c>
      <c r="DE31" s="239">
        <f>DE14+DE15+DE16+DE17+DE18+DE19+DE20+DE21+DE22+DE23+DE24+DE25+DE26+DE27+DE28+DE29</f>
        <v>0</v>
      </c>
      <c r="DF31" s="239">
        <v>0</v>
      </c>
      <c r="DG31" s="237">
        <f>SUM(DG14:DG29)</f>
        <v>110784.94585999999</v>
      </c>
      <c r="DH31" s="237">
        <f>SUM(DH14:DH29)</f>
        <v>54530.107960000001</v>
      </c>
      <c r="DI31" s="239">
        <f>DH31/DG31*100</f>
        <v>49.221586504099776</v>
      </c>
      <c r="DJ31" s="237">
        <f>SUM(DJ14:DJ29)</f>
        <v>22186.061500000003</v>
      </c>
      <c r="DK31" s="237">
        <f>SUM(DK14:DK29)</f>
        <v>13370.60628</v>
      </c>
      <c r="DL31" s="239">
        <f>DK31/DJ31*100</f>
        <v>60.265794719806387</v>
      </c>
      <c r="DM31" s="236">
        <f>SUM(DM14:DM29)</f>
        <v>21781.298000000003</v>
      </c>
      <c r="DN31" s="237">
        <f>SUM(DN14:DN29)</f>
        <v>13248.324820000002</v>
      </c>
      <c r="DO31" s="239">
        <f>DN31/DM31*100</f>
        <v>60.824312765933421</v>
      </c>
      <c r="DP31" s="236">
        <f>SUM(DP14:DP29)</f>
        <v>168.8</v>
      </c>
      <c r="DQ31" s="236">
        <f>SUM(DQ14:DQ29)</f>
        <v>0</v>
      </c>
      <c r="DR31" s="239">
        <f>DQ31/DP31*100</f>
        <v>0</v>
      </c>
      <c r="DS31" s="254">
        <f>SUM(DS14:DS29)</f>
        <v>106.01</v>
      </c>
      <c r="DT31" s="239">
        <f>SUM(DT14:DT29)</f>
        <v>0</v>
      </c>
      <c r="DU31" s="239">
        <f>DT31/DS31*100</f>
        <v>0</v>
      </c>
      <c r="DV31" s="364">
        <f>SUM(DV14:DV29)</f>
        <v>129.95349999999999</v>
      </c>
      <c r="DW31" s="239">
        <f>SUM(DW14:DW29)</f>
        <v>122.28146</v>
      </c>
      <c r="DX31" s="184">
        <f>DW31/DV31*100</f>
        <v>94.096319067974321</v>
      </c>
      <c r="DY31" s="239">
        <f>SUM(DY14:DY29)</f>
        <v>1781.5</v>
      </c>
      <c r="DZ31" s="254">
        <f>SUM(DZ14:DZ29)</f>
        <v>1150.5050999999999</v>
      </c>
      <c r="EA31" s="236">
        <f t="shared" si="47"/>
        <v>64.580696042660662</v>
      </c>
      <c r="EB31" s="254">
        <f>SUM(EB14:EB29)</f>
        <v>226.7655</v>
      </c>
      <c r="EC31" s="254">
        <f>SUM(EC14:EC29)</f>
        <v>53.549610000000001</v>
      </c>
      <c r="ED31" s="184">
        <f t="shared" si="48"/>
        <v>23.614531310979846</v>
      </c>
      <c r="EE31" s="236">
        <f>SUM(EE14:EE29)</f>
        <v>34886.041469999989</v>
      </c>
      <c r="EF31" s="237">
        <f>SUM(EF14:EF29)</f>
        <v>17581.038140000001</v>
      </c>
      <c r="EG31" s="239">
        <f>EF31/EE31*100</f>
        <v>50.395623576606397</v>
      </c>
      <c r="EH31" s="236">
        <f>SUM(EH14:EH29)</f>
        <v>18779.829389999999</v>
      </c>
      <c r="EI31" s="237">
        <f>SUM(EI14:EI29)</f>
        <v>6710.6686800000007</v>
      </c>
      <c r="EJ31" s="239">
        <f>EI31/EH31*100</f>
        <v>35.733384689710441</v>
      </c>
      <c r="EK31" s="237">
        <f>SUM(EK14:EK29)</f>
        <v>32684.446</v>
      </c>
      <c r="EL31" s="237">
        <f>SUM(EL14:EL29)</f>
        <v>15548.120149999999</v>
      </c>
      <c r="EM31" s="239">
        <f>EL31/EK31*100</f>
        <v>47.570395257732066</v>
      </c>
      <c r="EN31" s="237">
        <f>SUM(EN14:EN29)</f>
        <v>10</v>
      </c>
      <c r="EO31" s="237">
        <f>SUM(EO14:EO29)</f>
        <v>10</v>
      </c>
      <c r="EP31" s="239">
        <f>EO31/EN31*100</f>
        <v>100</v>
      </c>
      <c r="EQ31" s="236">
        <f>SUM(EQ14:EQ29)</f>
        <v>230.30199999999999</v>
      </c>
      <c r="ER31" s="236">
        <f>SUM(ER14:ER29)</f>
        <v>105.62</v>
      </c>
      <c r="ES31" s="239">
        <f>ER31/EQ31*100</f>
        <v>45.861520959435879</v>
      </c>
      <c r="ET31" s="239">
        <f>SUM(ET14:ET29)</f>
        <v>0</v>
      </c>
      <c r="EU31" s="291">
        <f>SUM(EU14:EU29)</f>
        <v>0</v>
      </c>
      <c r="EV31" s="184" t="e">
        <f>EU31/ET31*100</f>
        <v>#DIV/0!</v>
      </c>
      <c r="EW31" s="254">
        <f>SUM(EW14:EW29)</f>
        <v>-5562.1164700000008</v>
      </c>
      <c r="EX31" s="239">
        <f>SUM(EX14:EX29)</f>
        <v>592.88325999999779</v>
      </c>
      <c r="EY31" s="184">
        <f>EX31/EW31*100</f>
        <v>-10.659310411743277</v>
      </c>
    </row>
    <row r="32" spans="1:170" ht="0.75" customHeight="1">
      <c r="C32" s="207">
        <v>85422.769</v>
      </c>
      <c r="D32" s="208">
        <v>6971.8725999999997</v>
      </c>
      <c r="F32" s="209">
        <v>29714</v>
      </c>
      <c r="G32" s="210">
        <v>2141.1016</v>
      </c>
      <c r="I32" s="210">
        <v>4023</v>
      </c>
      <c r="J32" s="210">
        <v>517.83318999999995</v>
      </c>
      <c r="L32" s="153">
        <v>2648.3</v>
      </c>
      <c r="M32" s="211">
        <v>275.27994000000001</v>
      </c>
      <c r="O32" s="153">
        <v>72.06</v>
      </c>
      <c r="P32" s="212">
        <v>5.5919400000000001</v>
      </c>
      <c r="R32" s="213">
        <v>5285.44</v>
      </c>
      <c r="S32" s="153">
        <v>437.64443</v>
      </c>
      <c r="V32" s="212">
        <v>-57.366509999999998</v>
      </c>
      <c r="X32" s="210">
        <v>450</v>
      </c>
      <c r="Y32" s="210">
        <v>50.572130000000001</v>
      </c>
      <c r="AA32" s="210">
        <v>1552</v>
      </c>
      <c r="AB32" s="210">
        <v>33.929760000000002</v>
      </c>
      <c r="AD32" s="210">
        <v>14314</v>
      </c>
      <c r="AE32" s="214">
        <v>765.26733999999999</v>
      </c>
      <c r="AG32" s="210">
        <v>264</v>
      </c>
      <c r="AH32" s="210">
        <v>28.45</v>
      </c>
      <c r="AJ32" s="210"/>
      <c r="AK32" s="214">
        <v>4.1130100000000001</v>
      </c>
      <c r="AM32" s="210">
        <v>2902</v>
      </c>
      <c r="AN32" s="210"/>
      <c r="AP32" s="153">
        <v>400</v>
      </c>
      <c r="AQ32" s="153">
        <v>102</v>
      </c>
      <c r="AS32" s="215">
        <v>325.2</v>
      </c>
      <c r="AT32" s="215">
        <v>214</v>
      </c>
      <c r="AY32" s="212"/>
      <c r="AZ32" s="212"/>
      <c r="BC32" s="216"/>
      <c r="BE32" s="217">
        <v>380</v>
      </c>
      <c r="BF32" s="210">
        <v>0</v>
      </c>
      <c r="BH32" s="218"/>
      <c r="BI32" s="210"/>
      <c r="BL32" s="217"/>
      <c r="BN32" s="210"/>
      <c r="BO32" s="210">
        <v>20</v>
      </c>
      <c r="BQ32" s="213"/>
      <c r="BR32" s="215">
        <v>13.81555</v>
      </c>
      <c r="BZ32" s="219">
        <v>55708.769</v>
      </c>
      <c r="CA32" s="210">
        <v>4830.7709999999997</v>
      </c>
      <c r="CC32" s="217">
        <v>26193.4</v>
      </c>
      <c r="CD32" s="217">
        <v>4365.5829999999996</v>
      </c>
      <c r="CE32" s="215"/>
      <c r="CF32" s="219">
        <v>2800</v>
      </c>
      <c r="CG32" s="210">
        <v>0</v>
      </c>
      <c r="CH32" s="215"/>
      <c r="CI32" s="210">
        <v>20988.289000000001</v>
      </c>
      <c r="CJ32" s="210">
        <v>226.78800000000001</v>
      </c>
      <c r="CK32" s="215"/>
      <c r="CL32" s="210">
        <v>5727.08</v>
      </c>
      <c r="CM32" s="210">
        <v>238.4</v>
      </c>
      <c r="CN32" s="215"/>
      <c r="CO32" s="215"/>
      <c r="CP32" s="215"/>
      <c r="CQ32" s="215"/>
      <c r="CR32" s="215"/>
      <c r="CS32" s="215"/>
      <c r="CT32" s="215"/>
      <c r="CU32" s="215"/>
      <c r="CV32" s="215"/>
      <c r="CW32" s="215"/>
      <c r="CX32" s="215"/>
      <c r="DA32" s="213"/>
      <c r="DB32" s="213"/>
      <c r="DD32" s="209"/>
      <c r="DE32" s="219">
        <v>0</v>
      </c>
      <c r="DG32" s="219">
        <v>86467.619000000006</v>
      </c>
      <c r="DH32" s="219">
        <v>8044.3139600000004</v>
      </c>
      <c r="DJ32" s="215">
        <v>18659.286</v>
      </c>
      <c r="DK32" s="209">
        <v>1993.6542099999999</v>
      </c>
      <c r="DM32" s="210">
        <v>18579.286</v>
      </c>
      <c r="DN32" s="210">
        <v>1993.6542099999999</v>
      </c>
      <c r="DP32" s="219"/>
      <c r="DQ32" s="217"/>
      <c r="DS32" s="210">
        <v>80</v>
      </c>
      <c r="DT32" s="210"/>
      <c r="DV32" s="210">
        <v>0</v>
      </c>
      <c r="DW32" s="219">
        <v>0</v>
      </c>
      <c r="DY32" s="209">
        <v>1682.5</v>
      </c>
      <c r="DZ32" s="209">
        <v>141.53659999999999</v>
      </c>
      <c r="EB32" s="210">
        <v>191.3</v>
      </c>
      <c r="EC32" s="219">
        <v>8.5</v>
      </c>
      <c r="EE32" s="215">
        <v>29388.388999999999</v>
      </c>
      <c r="EF32" s="209">
        <v>1077.7133699999999</v>
      </c>
      <c r="EH32" s="209">
        <v>15404.812</v>
      </c>
      <c r="EI32" s="209">
        <v>1328.9402500000001</v>
      </c>
      <c r="EK32" s="209">
        <v>24128.7</v>
      </c>
      <c r="EL32" s="209">
        <v>3489.1705299999999</v>
      </c>
      <c r="EN32" s="210">
        <v>0</v>
      </c>
      <c r="EO32" s="210">
        <v>0</v>
      </c>
      <c r="EQ32" s="210">
        <v>112</v>
      </c>
      <c r="ER32" s="220">
        <v>4.8</v>
      </c>
      <c r="ET32" s="210"/>
      <c r="EU32" s="210"/>
      <c r="EW32" s="215"/>
    </row>
    <row r="33" spans="3:155" ht="27" hidden="1" customHeight="1">
      <c r="C33" s="210">
        <f>C32-C31</f>
        <v>-19800.060389999999</v>
      </c>
      <c r="D33" s="210">
        <f t="shared" ref="D33:BO33" si="56">D32-D31</f>
        <v>-48151.118619999994</v>
      </c>
      <c r="E33" s="210"/>
      <c r="F33" s="210">
        <f t="shared" si="56"/>
        <v>-7469.6419999999925</v>
      </c>
      <c r="G33" s="210">
        <f t="shared" si="56"/>
        <v>-17403.287710000004</v>
      </c>
      <c r="H33" s="210"/>
      <c r="I33" s="210">
        <f t="shared" si="56"/>
        <v>-1083.9000000000005</v>
      </c>
      <c r="J33" s="210">
        <f t="shared" si="56"/>
        <v>-2672.0044200000002</v>
      </c>
      <c r="K33" s="210"/>
      <c r="L33" s="210">
        <f t="shared" si="56"/>
        <v>-356.90999999999985</v>
      </c>
      <c r="M33" s="210">
        <f t="shared" si="56"/>
        <v>-2101.8875399999997</v>
      </c>
      <c r="N33" s="210"/>
      <c r="O33" s="210">
        <f t="shared" si="56"/>
        <v>39.82</v>
      </c>
      <c r="P33" s="210">
        <f t="shared" si="56"/>
        <v>-14.775939999999999</v>
      </c>
      <c r="Q33" s="210"/>
      <c r="R33" s="210">
        <f t="shared" si="56"/>
        <v>266.04999999999927</v>
      </c>
      <c r="S33" s="210">
        <f t="shared" si="56"/>
        <v>-3166.0904000000014</v>
      </c>
      <c r="T33" s="210"/>
      <c r="U33" s="210">
        <f t="shared" si="56"/>
        <v>0</v>
      </c>
      <c r="V33" s="210">
        <f t="shared" si="56"/>
        <v>496.82825999999994</v>
      </c>
      <c r="W33" s="210" t="e">
        <f t="shared" si="56"/>
        <v>#DIV/0!</v>
      </c>
      <c r="X33" s="210">
        <f t="shared" si="56"/>
        <v>70</v>
      </c>
      <c r="Y33" s="210">
        <f t="shared" si="56"/>
        <v>-359.03818999999993</v>
      </c>
      <c r="Z33" s="210"/>
      <c r="AA33" s="210">
        <f t="shared" si="56"/>
        <v>-1281.4000000000001</v>
      </c>
      <c r="AB33" s="210">
        <f t="shared" si="56"/>
        <v>-816.20407999999986</v>
      </c>
      <c r="AC33" s="210"/>
      <c r="AD33" s="210">
        <f t="shared" si="56"/>
        <v>-3375.2000000000007</v>
      </c>
      <c r="AE33" s="210">
        <f t="shared" si="56"/>
        <v>-7214.5444399999997</v>
      </c>
      <c r="AF33" s="210"/>
      <c r="AG33" s="210">
        <f t="shared" si="56"/>
        <v>113.99799999999999</v>
      </c>
      <c r="AH33" s="210">
        <f t="shared" si="56"/>
        <v>-75.978210000000004</v>
      </c>
      <c r="AI33" s="210"/>
      <c r="AJ33" s="210">
        <f t="shared" si="56"/>
        <v>0</v>
      </c>
      <c r="AK33" s="210">
        <f t="shared" si="56"/>
        <v>4.1130100000000001</v>
      </c>
      <c r="AL33" s="210"/>
      <c r="AM33" s="210">
        <f t="shared" si="56"/>
        <v>2902</v>
      </c>
      <c r="AN33" s="210">
        <f t="shared" si="56"/>
        <v>0</v>
      </c>
      <c r="AO33" s="210" t="e">
        <f t="shared" si="56"/>
        <v>#DIV/0!</v>
      </c>
      <c r="AP33" s="210">
        <f t="shared" si="56"/>
        <v>-1121.3</v>
      </c>
      <c r="AQ33" s="210">
        <f t="shared" si="56"/>
        <v>-60.911300000000011</v>
      </c>
      <c r="AR33" s="210"/>
      <c r="AS33" s="210">
        <f t="shared" si="56"/>
        <v>25.199999999999989</v>
      </c>
      <c r="AT33" s="210">
        <f t="shared" si="56"/>
        <v>-13.960520000000002</v>
      </c>
      <c r="AU33" s="210"/>
      <c r="AV33" s="210">
        <f t="shared" si="56"/>
        <v>0</v>
      </c>
      <c r="AW33" s="210">
        <f t="shared" si="56"/>
        <v>0</v>
      </c>
      <c r="AX33" s="210" t="e">
        <f t="shared" si="56"/>
        <v>#DIV/0!</v>
      </c>
      <c r="AY33" s="210">
        <f t="shared" si="56"/>
        <v>-560</v>
      </c>
      <c r="AZ33" s="210">
        <f t="shared" si="56"/>
        <v>-633.03202999999996</v>
      </c>
      <c r="BA33" s="210"/>
      <c r="BB33" s="210">
        <f t="shared" si="56"/>
        <v>0</v>
      </c>
      <c r="BC33" s="210">
        <f t="shared" si="56"/>
        <v>0</v>
      </c>
      <c r="BD33" s="210" t="e">
        <f t="shared" si="56"/>
        <v>#DIV/0!</v>
      </c>
      <c r="BE33" s="210">
        <f t="shared" si="56"/>
        <v>-206</v>
      </c>
      <c r="BF33" s="210">
        <f t="shared" si="56"/>
        <v>-591.20000000000005</v>
      </c>
      <c r="BG33" s="210">
        <f t="shared" si="56"/>
        <v>-100.88737201365188</v>
      </c>
      <c r="BH33" s="210">
        <f t="shared" si="56"/>
        <v>0</v>
      </c>
      <c r="BI33" s="210">
        <f t="shared" si="56"/>
        <v>0</v>
      </c>
      <c r="BJ33" s="210" t="e">
        <f t="shared" si="56"/>
        <v>#DIV/0!</v>
      </c>
      <c r="BK33" s="210">
        <f t="shared" si="56"/>
        <v>0</v>
      </c>
      <c r="BL33" s="210">
        <f t="shared" si="56"/>
        <v>0</v>
      </c>
      <c r="BM33" s="210" t="e">
        <f t="shared" si="56"/>
        <v>#DIV/0!</v>
      </c>
      <c r="BN33" s="210">
        <f t="shared" si="56"/>
        <v>0</v>
      </c>
      <c r="BO33" s="210">
        <f t="shared" si="56"/>
        <v>5.8241099999999992</v>
      </c>
      <c r="BP33" s="210"/>
      <c r="BQ33" s="210">
        <f t="shared" ref="BQ33:DZ33" si="57">BQ32-BQ31</f>
        <v>0</v>
      </c>
      <c r="BR33" s="210">
        <f t="shared" si="57"/>
        <v>79.603160000000003</v>
      </c>
      <c r="BS33" s="210"/>
      <c r="BT33" s="210">
        <f t="shared" si="57"/>
        <v>0</v>
      </c>
      <c r="BU33" s="210">
        <f t="shared" si="57"/>
        <v>0</v>
      </c>
      <c r="BV33" s="210" t="e">
        <f t="shared" si="57"/>
        <v>#DIV/0!</v>
      </c>
      <c r="BW33" s="210">
        <f t="shared" si="57"/>
        <v>0</v>
      </c>
      <c r="BX33" s="210">
        <f t="shared" si="57"/>
        <v>0</v>
      </c>
      <c r="BY33" s="210" t="e">
        <f t="shared" si="57"/>
        <v>#DIV/0!</v>
      </c>
      <c r="BZ33" s="210">
        <f t="shared" si="57"/>
        <v>-12330.418389999992</v>
      </c>
      <c r="CA33" s="210">
        <f t="shared" si="57"/>
        <v>-30747.830910000004</v>
      </c>
      <c r="CB33" s="210"/>
      <c r="CC33" s="210">
        <f t="shared" si="57"/>
        <v>-2525.2239999999947</v>
      </c>
      <c r="CD33" s="210">
        <f t="shared" si="57"/>
        <v>-16859.617000000002</v>
      </c>
      <c r="CE33" s="210"/>
      <c r="CF33" s="210">
        <f t="shared" si="57"/>
        <v>-2179.5749999999998</v>
      </c>
      <c r="CG33" s="210">
        <f t="shared" si="57"/>
        <v>-1931.5</v>
      </c>
      <c r="CH33" s="210"/>
      <c r="CI33" s="210">
        <f t="shared" si="57"/>
        <v>-8185.6283900000017</v>
      </c>
      <c r="CJ33" s="210">
        <f t="shared" si="57"/>
        <v>-7897.5525699999998</v>
      </c>
      <c r="CK33" s="210"/>
      <c r="CL33" s="210">
        <f t="shared" si="57"/>
        <v>3870.28</v>
      </c>
      <c r="CM33" s="210">
        <f t="shared" si="57"/>
        <v>-1253.7410000000002</v>
      </c>
      <c r="CN33" s="210"/>
      <c r="CO33" s="210">
        <f t="shared" si="57"/>
        <v>-120</v>
      </c>
      <c r="CP33" s="210">
        <f t="shared" si="57"/>
        <v>0</v>
      </c>
      <c r="CQ33" s="210"/>
      <c r="CR33" s="210">
        <f t="shared" si="57"/>
        <v>-3190.2709999999993</v>
      </c>
      <c r="CS33" s="210">
        <f t="shared" si="57"/>
        <v>-3172.3895799999996</v>
      </c>
      <c r="CT33" s="210"/>
      <c r="CU33" s="210">
        <f t="shared" si="57"/>
        <v>0</v>
      </c>
      <c r="CV33" s="210">
        <f t="shared" si="57"/>
        <v>366.96924000000001</v>
      </c>
      <c r="CW33" s="210" t="e">
        <f t="shared" si="57"/>
        <v>#DIV/0!</v>
      </c>
      <c r="CX33" s="210">
        <f t="shared" si="57"/>
        <v>0</v>
      </c>
      <c r="CY33" s="210">
        <f t="shared" si="57"/>
        <v>0</v>
      </c>
      <c r="CZ33" s="210" t="e">
        <f t="shared" si="57"/>
        <v>#DIV/0!</v>
      </c>
      <c r="DA33" s="210">
        <f t="shared" si="57"/>
        <v>0</v>
      </c>
      <c r="DB33" s="210">
        <f t="shared" si="57"/>
        <v>0</v>
      </c>
      <c r="DC33" s="210" t="e">
        <f t="shared" si="57"/>
        <v>#DIV/0!</v>
      </c>
      <c r="DD33" s="210">
        <f t="shared" si="57"/>
        <v>0</v>
      </c>
      <c r="DE33" s="210">
        <f t="shared" si="57"/>
        <v>0</v>
      </c>
      <c r="DF33" s="210">
        <f t="shared" si="57"/>
        <v>0</v>
      </c>
      <c r="DG33" s="210">
        <f t="shared" si="57"/>
        <v>-24317.326859999986</v>
      </c>
      <c r="DH33" s="210">
        <f t="shared" si="57"/>
        <v>-46485.794000000002</v>
      </c>
      <c r="DI33" s="210"/>
      <c r="DJ33" s="210">
        <f t="shared" si="57"/>
        <v>-3526.7755000000034</v>
      </c>
      <c r="DK33" s="210">
        <f t="shared" si="57"/>
        <v>-11376.952069999999</v>
      </c>
      <c r="DL33" s="210"/>
      <c r="DM33" s="210">
        <f t="shared" si="57"/>
        <v>-3202.0120000000024</v>
      </c>
      <c r="DN33" s="210">
        <f t="shared" si="57"/>
        <v>-11254.670610000001</v>
      </c>
      <c r="DO33" s="210"/>
      <c r="DP33" s="210">
        <f t="shared" si="57"/>
        <v>-168.8</v>
      </c>
      <c r="DQ33" s="210">
        <f t="shared" si="57"/>
        <v>0</v>
      </c>
      <c r="DR33" s="210">
        <f t="shared" si="57"/>
        <v>0</v>
      </c>
      <c r="DS33" s="210">
        <f t="shared" si="57"/>
        <v>-26.010000000000005</v>
      </c>
      <c r="DT33" s="210">
        <f t="shared" si="57"/>
        <v>0</v>
      </c>
      <c r="DU33" s="210">
        <f t="shared" si="57"/>
        <v>0</v>
      </c>
      <c r="DV33" s="210">
        <f t="shared" si="57"/>
        <v>-129.95349999999999</v>
      </c>
      <c r="DW33" s="210">
        <f t="shared" si="57"/>
        <v>-122.28146</v>
      </c>
      <c r="DX33" s="210"/>
      <c r="DY33" s="210">
        <f t="shared" si="57"/>
        <v>-99</v>
      </c>
      <c r="DZ33" s="210">
        <f t="shared" si="57"/>
        <v>-1008.9684999999998</v>
      </c>
      <c r="EA33" s="210"/>
      <c r="EB33" s="210">
        <f t="shared" ref="EB33:EX33" si="58">EB32-EB31</f>
        <v>-35.465499999999992</v>
      </c>
      <c r="EC33" s="210">
        <f t="shared" si="58"/>
        <v>-45.049610000000001</v>
      </c>
      <c r="ED33" s="210"/>
      <c r="EE33" s="210">
        <f t="shared" si="58"/>
        <v>-5497.65246999999</v>
      </c>
      <c r="EF33" s="210">
        <f t="shared" si="58"/>
        <v>-16503.324769999999</v>
      </c>
      <c r="EG33" s="210"/>
      <c r="EH33" s="210">
        <f t="shared" si="58"/>
        <v>-3375.0173899999991</v>
      </c>
      <c r="EI33" s="210">
        <f t="shared" si="58"/>
        <v>-5381.728430000001</v>
      </c>
      <c r="EJ33" s="210"/>
      <c r="EK33" s="210">
        <f t="shared" si="58"/>
        <v>-8555.7459999999992</v>
      </c>
      <c r="EL33" s="210">
        <f t="shared" si="58"/>
        <v>-12058.949619999999</v>
      </c>
      <c r="EM33" s="210"/>
      <c r="EN33" s="210">
        <f t="shared" si="58"/>
        <v>-10</v>
      </c>
      <c r="EO33" s="210">
        <f t="shared" si="58"/>
        <v>-10</v>
      </c>
      <c r="EP33" s="210"/>
      <c r="EQ33" s="210">
        <f t="shared" si="58"/>
        <v>-118.30199999999999</v>
      </c>
      <c r="ER33" s="210">
        <f t="shared" si="58"/>
        <v>-100.82000000000001</v>
      </c>
      <c r="ES33" s="210"/>
      <c r="ET33" s="210">
        <f t="shared" si="58"/>
        <v>0</v>
      </c>
      <c r="EU33" s="210">
        <f t="shared" si="58"/>
        <v>0</v>
      </c>
      <c r="EV33" s="210"/>
      <c r="EW33" s="210">
        <f t="shared" si="58"/>
        <v>5562.1164700000008</v>
      </c>
      <c r="EX33" s="210">
        <f t="shared" si="58"/>
        <v>-592.88325999999779</v>
      </c>
      <c r="EY33" s="210"/>
    </row>
    <row r="34" spans="3:155" ht="21.75" customHeight="1">
      <c r="C34" s="153">
        <v>105222.82939</v>
      </c>
      <c r="D34" s="224">
        <v>55122.991220000004</v>
      </c>
      <c r="F34" s="153">
        <v>37183.642</v>
      </c>
      <c r="G34" s="153">
        <v>19544.389309999999</v>
      </c>
      <c r="I34" s="213">
        <v>5106.8999999999996</v>
      </c>
      <c r="J34" s="212">
        <v>3189.83761</v>
      </c>
      <c r="L34" s="153">
        <v>3005.21</v>
      </c>
      <c r="M34" s="153">
        <v>2377.1674800000001</v>
      </c>
      <c r="O34" s="153">
        <v>32.24</v>
      </c>
      <c r="P34" s="153">
        <v>20.36788</v>
      </c>
      <c r="R34" s="153">
        <v>5019.3900000000003</v>
      </c>
      <c r="S34" s="153">
        <v>3603.7348299999999</v>
      </c>
      <c r="U34" s="153">
        <v>0</v>
      </c>
      <c r="V34" s="153">
        <v>-554.19476999999995</v>
      </c>
      <c r="X34" s="153">
        <v>380</v>
      </c>
      <c r="Y34" s="210">
        <v>409.61032</v>
      </c>
      <c r="AA34" s="153">
        <v>2833.4</v>
      </c>
      <c r="AB34" s="153">
        <v>850.13383999999996</v>
      </c>
      <c r="AD34" s="153">
        <v>17689.2</v>
      </c>
      <c r="AE34" s="153">
        <v>7979.81178</v>
      </c>
      <c r="AG34" s="153">
        <v>150.00200000000001</v>
      </c>
      <c r="AH34" s="153">
        <v>104.42821000000001</v>
      </c>
      <c r="AK34" s="153">
        <v>0</v>
      </c>
      <c r="AN34" s="210"/>
      <c r="AP34" s="153">
        <v>1521.3</v>
      </c>
      <c r="AQ34" s="153">
        <v>162.91130000000001</v>
      </c>
      <c r="AS34" s="153">
        <v>300</v>
      </c>
      <c r="AT34" s="153">
        <v>174.95706000000001</v>
      </c>
      <c r="AY34" s="153">
        <v>560</v>
      </c>
      <c r="AZ34" s="153">
        <v>633.03202999999996</v>
      </c>
      <c r="BE34" s="153">
        <v>586</v>
      </c>
      <c r="BF34" s="153">
        <v>591.20000000000005</v>
      </c>
      <c r="BN34" s="153">
        <v>0</v>
      </c>
      <c r="BO34" s="153">
        <v>8.7899999999999992E-3</v>
      </c>
      <c r="BR34" s="211">
        <v>-65.787610000000001</v>
      </c>
      <c r="BZ34" s="153">
        <v>68039.187390000006</v>
      </c>
      <c r="CA34" s="153">
        <v>35578.601909999998</v>
      </c>
      <c r="CC34" s="153">
        <v>28718.624</v>
      </c>
      <c r="CD34" s="153">
        <v>21225.200000000001</v>
      </c>
      <c r="CF34" s="153">
        <v>4979.5749999999998</v>
      </c>
      <c r="CG34" s="153">
        <v>1931.5</v>
      </c>
      <c r="CI34" s="211">
        <v>29173.917389999999</v>
      </c>
      <c r="CJ34" s="153">
        <v>8124.3405700000003</v>
      </c>
      <c r="CL34" s="153">
        <v>1856.8</v>
      </c>
      <c r="CM34" s="153">
        <v>1492.1410000000001</v>
      </c>
      <c r="CO34" s="153">
        <v>120</v>
      </c>
      <c r="CP34" s="153">
        <v>0</v>
      </c>
      <c r="CR34" s="153">
        <v>3190.2710000000002</v>
      </c>
      <c r="CS34" s="153">
        <v>3172.38958</v>
      </c>
      <c r="CU34" s="153">
        <v>0</v>
      </c>
      <c r="CV34" s="153">
        <v>-366.96924000000001</v>
      </c>
      <c r="DG34" s="213">
        <v>110784.94586000001</v>
      </c>
      <c r="DH34" s="213">
        <v>54530.107960000001</v>
      </c>
      <c r="DI34" s="213"/>
      <c r="DJ34" s="213">
        <v>22186.0615</v>
      </c>
      <c r="DK34" s="213">
        <v>13370.60628</v>
      </c>
      <c r="DL34" s="213"/>
      <c r="DM34" s="213">
        <v>21781.297999999999</v>
      </c>
      <c r="DN34" s="213">
        <v>13248.32482</v>
      </c>
      <c r="DO34" s="213"/>
      <c r="DP34" s="213">
        <v>168.8</v>
      </c>
      <c r="DQ34" s="213">
        <v>0</v>
      </c>
      <c r="DR34" s="213"/>
      <c r="DS34" s="213">
        <v>106.01</v>
      </c>
      <c r="DT34" s="213">
        <v>0</v>
      </c>
      <c r="DU34" s="213"/>
      <c r="DV34" s="213">
        <v>129.95349999999999</v>
      </c>
      <c r="DW34" s="213">
        <v>122.28146</v>
      </c>
      <c r="DX34" s="213"/>
      <c r="DY34" s="213">
        <v>1781.5</v>
      </c>
      <c r="DZ34" s="213">
        <v>1150.5051000000001</v>
      </c>
      <c r="EA34" s="213"/>
      <c r="EB34" s="213">
        <v>226.7655</v>
      </c>
      <c r="EC34" s="213">
        <v>53.549610000000001</v>
      </c>
      <c r="ED34" s="213"/>
      <c r="EE34" s="213">
        <v>34886.041469999996</v>
      </c>
      <c r="EF34" s="213">
        <v>17581.038140000001</v>
      </c>
      <c r="EG34" s="213"/>
      <c r="EH34" s="213">
        <v>18779.829389999999</v>
      </c>
      <c r="EI34" s="213">
        <v>6710.6686799999998</v>
      </c>
      <c r="EJ34" s="213"/>
      <c r="EK34" s="213">
        <v>32684.446</v>
      </c>
      <c r="EL34" s="213">
        <v>15548.120150000001</v>
      </c>
      <c r="EM34" s="213"/>
      <c r="EN34" s="213">
        <v>10</v>
      </c>
      <c r="EO34" s="213">
        <v>10</v>
      </c>
      <c r="EP34" s="213"/>
      <c r="EQ34" s="213">
        <v>230.30199999999999</v>
      </c>
      <c r="ER34" s="213">
        <v>105.62</v>
      </c>
      <c r="ES34" s="213"/>
      <c r="ET34" s="213">
        <v>0</v>
      </c>
      <c r="EU34" s="213">
        <v>0</v>
      </c>
      <c r="EV34" s="213"/>
      <c r="EW34" s="153">
        <v>-5562.1164699999999</v>
      </c>
      <c r="EX34" s="153">
        <v>592.88325999999995</v>
      </c>
    </row>
    <row r="35" spans="3:155" s="221" customFormat="1" ht="27.75" customHeight="1">
      <c r="C35" s="210">
        <f>C34-C31</f>
        <v>0</v>
      </c>
      <c r="D35" s="210">
        <f>D34-D31</f>
        <v>0</v>
      </c>
      <c r="E35" s="210"/>
      <c r="F35" s="210">
        <f t="shared" ref="F35:BO35" si="59">F34-F31</f>
        <v>0</v>
      </c>
      <c r="G35" s="210">
        <f>G34-G31</f>
        <v>0</v>
      </c>
      <c r="H35" s="210"/>
      <c r="I35" s="210">
        <f t="shared" si="59"/>
        <v>0</v>
      </c>
      <c r="J35" s="210">
        <f>J34-J31</f>
        <v>0</v>
      </c>
      <c r="K35" s="210"/>
      <c r="L35" s="210">
        <f t="shared" si="59"/>
        <v>0</v>
      </c>
      <c r="M35" s="210">
        <f t="shared" si="59"/>
        <v>0</v>
      </c>
      <c r="N35" s="210"/>
      <c r="O35" s="210">
        <f t="shared" si="59"/>
        <v>0</v>
      </c>
      <c r="P35" s="210">
        <f t="shared" si="59"/>
        <v>0</v>
      </c>
      <c r="Q35" s="210"/>
      <c r="R35" s="210">
        <f t="shared" si="59"/>
        <v>0</v>
      </c>
      <c r="S35" s="210">
        <f t="shared" si="59"/>
        <v>0</v>
      </c>
      <c r="T35" s="210"/>
      <c r="U35" s="210">
        <f t="shared" si="59"/>
        <v>0</v>
      </c>
      <c r="V35" s="210">
        <f t="shared" si="59"/>
        <v>0</v>
      </c>
      <c r="W35" s="210"/>
      <c r="X35" s="210">
        <f t="shared" si="59"/>
        <v>0</v>
      </c>
      <c r="Y35" s="210">
        <f t="shared" si="59"/>
        <v>0</v>
      </c>
      <c r="Z35" s="210"/>
      <c r="AA35" s="210">
        <f t="shared" si="59"/>
        <v>0</v>
      </c>
      <c r="AB35" s="210">
        <f t="shared" si="59"/>
        <v>0</v>
      </c>
      <c r="AC35" s="210"/>
      <c r="AD35" s="210">
        <f t="shared" si="59"/>
        <v>0</v>
      </c>
      <c r="AE35" s="210">
        <f t="shared" si="59"/>
        <v>0</v>
      </c>
      <c r="AF35" s="210"/>
      <c r="AG35" s="210">
        <f t="shared" si="59"/>
        <v>0</v>
      </c>
      <c r="AH35" s="210">
        <f t="shared" si="59"/>
        <v>0</v>
      </c>
      <c r="AI35" s="210"/>
      <c r="AJ35" s="210">
        <f t="shared" si="59"/>
        <v>0</v>
      </c>
      <c r="AK35" s="210">
        <f t="shared" si="59"/>
        <v>0</v>
      </c>
      <c r="AL35" s="210"/>
      <c r="AM35" s="210">
        <f t="shared" si="59"/>
        <v>0</v>
      </c>
      <c r="AN35" s="210">
        <f t="shared" si="59"/>
        <v>0</v>
      </c>
      <c r="AO35" s="210"/>
      <c r="AP35" s="210">
        <f t="shared" si="59"/>
        <v>0</v>
      </c>
      <c r="AQ35" s="210">
        <f t="shared" si="59"/>
        <v>0</v>
      </c>
      <c r="AR35" s="210"/>
      <c r="AS35" s="210">
        <f t="shared" si="59"/>
        <v>0</v>
      </c>
      <c r="AT35" s="210">
        <f t="shared" si="59"/>
        <v>-53.00345999999999</v>
      </c>
      <c r="AU35" s="210"/>
      <c r="AV35" s="210">
        <f t="shared" si="59"/>
        <v>0</v>
      </c>
      <c r="AW35" s="210">
        <f t="shared" si="59"/>
        <v>0</v>
      </c>
      <c r="AX35" s="210" t="e">
        <f t="shared" si="59"/>
        <v>#DIV/0!</v>
      </c>
      <c r="AY35" s="210">
        <f t="shared" si="59"/>
        <v>0</v>
      </c>
      <c r="AZ35" s="210">
        <f t="shared" si="59"/>
        <v>0</v>
      </c>
      <c r="BA35" s="210"/>
      <c r="BB35" s="210">
        <f t="shared" si="59"/>
        <v>0</v>
      </c>
      <c r="BC35" s="210">
        <f t="shared" si="59"/>
        <v>0</v>
      </c>
      <c r="BD35" s="210" t="e">
        <f t="shared" si="59"/>
        <v>#DIV/0!</v>
      </c>
      <c r="BE35" s="210">
        <f>BE34-BE31</f>
        <v>0</v>
      </c>
      <c r="BF35" s="210">
        <f t="shared" si="59"/>
        <v>0</v>
      </c>
      <c r="BG35" s="210"/>
      <c r="BH35" s="210">
        <f t="shared" si="59"/>
        <v>0</v>
      </c>
      <c r="BI35" s="210">
        <f t="shared" si="59"/>
        <v>0</v>
      </c>
      <c r="BJ35" s="210" t="e">
        <f t="shared" si="59"/>
        <v>#DIV/0!</v>
      </c>
      <c r="BK35" s="210">
        <f t="shared" si="59"/>
        <v>0</v>
      </c>
      <c r="BL35" s="210">
        <f t="shared" si="59"/>
        <v>0</v>
      </c>
      <c r="BM35" s="210" t="e">
        <f t="shared" si="59"/>
        <v>#DIV/0!</v>
      </c>
      <c r="BN35" s="210">
        <f t="shared" si="59"/>
        <v>0</v>
      </c>
      <c r="BO35" s="210">
        <f t="shared" si="59"/>
        <v>-14.167100000000001</v>
      </c>
      <c r="BP35" s="210"/>
      <c r="BQ35" s="210">
        <f t="shared" ref="BQ35:DZ35" si="60">BQ34-BQ31</f>
        <v>0</v>
      </c>
      <c r="BR35" s="210">
        <f t="shared" si="60"/>
        <v>0</v>
      </c>
      <c r="BS35" s="210"/>
      <c r="BT35" s="210">
        <f t="shared" si="60"/>
        <v>0</v>
      </c>
      <c r="BU35" s="210">
        <f t="shared" si="60"/>
        <v>0</v>
      </c>
      <c r="BV35" s="210" t="e">
        <f t="shared" si="60"/>
        <v>#DIV/0!</v>
      </c>
      <c r="BW35" s="210">
        <f t="shared" si="60"/>
        <v>0</v>
      </c>
      <c r="BX35" s="210">
        <f t="shared" si="60"/>
        <v>0</v>
      </c>
      <c r="BY35" s="210" t="e">
        <f t="shared" si="60"/>
        <v>#DIV/0!</v>
      </c>
      <c r="BZ35" s="210">
        <f t="shared" si="60"/>
        <v>0</v>
      </c>
      <c r="CA35" s="210">
        <f t="shared" si="60"/>
        <v>0</v>
      </c>
      <c r="CB35" s="210"/>
      <c r="CC35" s="210">
        <f>CC34-CC31</f>
        <v>0</v>
      </c>
      <c r="CD35" s="210">
        <f t="shared" si="60"/>
        <v>0</v>
      </c>
      <c r="CE35" s="210"/>
      <c r="CF35" s="210">
        <f t="shared" si="60"/>
        <v>0</v>
      </c>
      <c r="CG35" s="210">
        <f t="shared" si="60"/>
        <v>0</v>
      </c>
      <c r="CH35" s="210"/>
      <c r="CI35" s="210">
        <f t="shared" si="60"/>
        <v>0</v>
      </c>
      <c r="CJ35" s="210">
        <f t="shared" si="60"/>
        <v>0</v>
      </c>
      <c r="CK35" s="210"/>
      <c r="CL35" s="210">
        <f t="shared" si="60"/>
        <v>0</v>
      </c>
      <c r="CM35" s="210">
        <f t="shared" si="60"/>
        <v>0</v>
      </c>
      <c r="CN35" s="210"/>
      <c r="CO35" s="210">
        <f t="shared" si="60"/>
        <v>0</v>
      </c>
      <c r="CP35" s="210">
        <f t="shared" si="60"/>
        <v>0</v>
      </c>
      <c r="CQ35" s="210"/>
      <c r="CR35" s="210">
        <f t="shared" si="60"/>
        <v>0</v>
      </c>
      <c r="CS35" s="210">
        <f t="shared" si="60"/>
        <v>0</v>
      </c>
      <c r="CT35" s="210"/>
      <c r="CU35" s="210">
        <f t="shared" si="60"/>
        <v>0</v>
      </c>
      <c r="CV35" s="210">
        <f>-(CV34-CV31)</f>
        <v>0</v>
      </c>
      <c r="CW35" s="210" t="e">
        <f t="shared" si="60"/>
        <v>#DIV/0!</v>
      </c>
      <c r="CX35" s="210">
        <f t="shared" si="60"/>
        <v>0</v>
      </c>
      <c r="CY35" s="210">
        <f t="shared" si="60"/>
        <v>0</v>
      </c>
      <c r="CZ35" s="210" t="e">
        <f t="shared" si="60"/>
        <v>#DIV/0!</v>
      </c>
      <c r="DA35" s="210">
        <f t="shared" si="60"/>
        <v>0</v>
      </c>
      <c r="DB35" s="210">
        <f t="shared" si="60"/>
        <v>0</v>
      </c>
      <c r="DC35" s="210" t="e">
        <f t="shared" si="60"/>
        <v>#DIV/0!</v>
      </c>
      <c r="DD35" s="210">
        <f t="shared" si="60"/>
        <v>0</v>
      </c>
      <c r="DE35" s="210">
        <f t="shared" si="60"/>
        <v>0</v>
      </c>
      <c r="DF35" s="210"/>
      <c r="DG35" s="210">
        <f t="shared" si="60"/>
        <v>0</v>
      </c>
      <c r="DH35" s="210">
        <f t="shared" si="60"/>
        <v>0</v>
      </c>
      <c r="DI35" s="210"/>
      <c r="DJ35" s="210">
        <f t="shared" si="60"/>
        <v>0</v>
      </c>
      <c r="DK35" s="210">
        <f t="shared" si="60"/>
        <v>0</v>
      </c>
      <c r="DL35" s="210"/>
      <c r="DM35" s="210">
        <f>DM34-DM31</f>
        <v>0</v>
      </c>
      <c r="DN35" s="210">
        <f>DN34-DN31</f>
        <v>0</v>
      </c>
      <c r="DO35" s="210"/>
      <c r="DP35" s="210">
        <f t="shared" si="60"/>
        <v>0</v>
      </c>
      <c r="DQ35" s="210">
        <f t="shared" si="60"/>
        <v>0</v>
      </c>
      <c r="DR35" s="210"/>
      <c r="DS35" s="210">
        <f t="shared" si="60"/>
        <v>0</v>
      </c>
      <c r="DT35" s="210">
        <f t="shared" si="60"/>
        <v>0</v>
      </c>
      <c r="DU35" s="210"/>
      <c r="DV35" s="210">
        <f t="shared" si="60"/>
        <v>0</v>
      </c>
      <c r="DW35" s="210">
        <f t="shared" si="60"/>
        <v>0</v>
      </c>
      <c r="DX35" s="210"/>
      <c r="DY35" s="210">
        <f t="shared" si="60"/>
        <v>0</v>
      </c>
      <c r="DZ35" s="210">
        <f t="shared" si="60"/>
        <v>0</v>
      </c>
      <c r="EA35" s="210"/>
      <c r="EB35" s="210">
        <f>EB34-EB31</f>
        <v>0</v>
      </c>
      <c r="EC35" s="210">
        <f>EC34-EC31</f>
        <v>0</v>
      </c>
      <c r="ED35" s="210"/>
      <c r="EE35" s="210">
        <f>EE34-EE31</f>
        <v>0</v>
      </c>
      <c r="EF35" s="210">
        <f>EF34-EF31</f>
        <v>0</v>
      </c>
      <c r="EG35" s="210"/>
      <c r="EH35" s="210">
        <f>EH34-EH31</f>
        <v>0</v>
      </c>
      <c r="EI35" s="210">
        <f>EI34-EI31</f>
        <v>0</v>
      </c>
      <c r="EJ35" s="210"/>
      <c r="EK35" s="210">
        <f t="shared" ref="EK35:EX35" si="61">EK34-EK31</f>
        <v>0</v>
      </c>
      <c r="EL35" s="210">
        <f t="shared" si="61"/>
        <v>0</v>
      </c>
      <c r="EM35" s="210"/>
      <c r="EN35" s="210">
        <f t="shared" si="61"/>
        <v>0</v>
      </c>
      <c r="EO35" s="210">
        <f t="shared" si="61"/>
        <v>0</v>
      </c>
      <c r="EP35" s="210"/>
      <c r="EQ35" s="210">
        <f>EQ34-EQ31</f>
        <v>0</v>
      </c>
      <c r="ER35" s="210">
        <f t="shared" si="61"/>
        <v>0</v>
      </c>
      <c r="ES35" s="210"/>
      <c r="ET35" s="210">
        <f t="shared" si="61"/>
        <v>0</v>
      </c>
      <c r="EU35" s="210">
        <f t="shared" si="61"/>
        <v>0</v>
      </c>
      <c r="EV35" s="210"/>
      <c r="EW35" s="210">
        <f t="shared" si="61"/>
        <v>0</v>
      </c>
      <c r="EX35" s="210">
        <f t="shared" si="61"/>
        <v>2.1600499167107046E-12</v>
      </c>
    </row>
    <row r="36" spans="3:155"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0"/>
      <c r="BX36" s="210"/>
      <c r="BY36" s="210"/>
      <c r="BZ36" s="210"/>
      <c r="CA36" s="210"/>
      <c r="CB36" s="210"/>
      <c r="CC36" s="210"/>
      <c r="CD36" s="210"/>
      <c r="CE36" s="210"/>
      <c r="CF36" s="210"/>
      <c r="CG36" s="210"/>
      <c r="CH36" s="210"/>
      <c r="CI36" s="210"/>
      <c r="CJ36" s="210"/>
      <c r="CK36" s="210"/>
      <c r="CL36" s="210"/>
      <c r="CM36" s="210"/>
      <c r="CN36" s="210"/>
      <c r="CO36" s="210"/>
      <c r="CP36" s="210"/>
      <c r="CQ36" s="210"/>
      <c r="CR36" s="210"/>
      <c r="CS36" s="210"/>
      <c r="CT36" s="210"/>
      <c r="CU36" s="210"/>
      <c r="CV36" s="210"/>
      <c r="CW36" s="210"/>
      <c r="CX36" s="210"/>
      <c r="CY36" s="210"/>
      <c r="CZ36" s="210"/>
      <c r="DA36" s="210"/>
      <c r="DB36" s="210"/>
      <c r="DC36" s="210"/>
      <c r="DD36" s="210"/>
      <c r="DE36" s="210"/>
      <c r="DF36" s="210"/>
      <c r="DG36" s="210"/>
      <c r="DH36" s="210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  <c r="EF36" s="210"/>
      <c r="EG36" s="210"/>
      <c r="EH36" s="210"/>
      <c r="EI36" s="210"/>
      <c r="EJ36" s="210"/>
      <c r="EK36" s="210"/>
      <c r="EL36" s="210"/>
      <c r="EM36" s="210"/>
      <c r="EN36" s="210"/>
      <c r="EO36" s="210"/>
      <c r="EP36" s="210"/>
      <c r="EQ36" s="210"/>
      <c r="ER36" s="210"/>
      <c r="ES36" s="210"/>
      <c r="ET36" s="210"/>
      <c r="EU36" s="210"/>
      <c r="EV36" s="210"/>
      <c r="EW36" s="210"/>
      <c r="EX36" s="210"/>
      <c r="EY36" s="222"/>
    </row>
  </sheetData>
  <customSheetViews>
    <customSheetView guid="{A54C432C-6C68-4B53-A75C-446EB3A61B2B}" scale="75" showPageBreaks="1" printArea="1" hiddenRows="1" hiddenColumns="1" view="pageBreakPreview" topLeftCell="A10">
      <pane xSplit="2" ySplit="4" topLeftCell="C17" activePane="bottomRight" state="frozen"/>
      <selection pane="bottomRight" activeCell="DP15" sqref="DP15:DP29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"/>
    </customSheetView>
    <customSheetView guid="{B30CE22D-C12F-4E12-8BB9-3AAE0A6991CC}" scale="75" showPageBreaks="1" printArea="1" hiddenRows="1" hiddenColumns="1" view="pageBreakPreview" topLeftCell="A10">
      <pane xSplit="2" ySplit="4" topLeftCell="C14" activePane="bottomRight" state="frozen"/>
      <selection pane="bottomRight" activeCell="I6" sqref="I6:X6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2"/>
    </customSheetView>
    <customSheetView guid="{5BFCA170-DEAE-4D2C-98A0-1E68B427AC01}" scale="75" showPageBreaks="1" printArea="1" hiddenRows="1" hiddenColumns="1" view="pageBreakPreview" topLeftCell="A10">
      <pane xSplit="2" ySplit="4" topLeftCell="DV14" activePane="bottomRight" state="frozen"/>
      <selection pane="bottomRight" activeCell="EL31" sqref="EL31"/>
      <colBreaks count="6" manualBreakCount="6">
        <brk id="17" max="31" man="1"/>
        <brk id="35" max="31" man="1"/>
        <brk id="59" max="31" man="1"/>
        <brk id="92" max="31" man="1"/>
        <brk id="116" max="31" man="1"/>
        <brk id="134" max="31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5"/>
    </customSheetView>
  </customSheetViews>
  <mergeCells count="69"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CO9:CQ11"/>
    <mergeCell ref="CU9:CW11"/>
    <mergeCell ref="DD9:DF11"/>
    <mergeCell ref="EB9:ED11"/>
    <mergeCell ref="DM11:DO11"/>
    <mergeCell ref="DV11:DX11"/>
  </mergeCells>
  <phoneticPr fontId="15" type="noConversion"/>
  <pageMargins left="0.70866141732283472" right="0.19685039370078741" top="0.74803149606299213" bottom="0.74803149606299213" header="0.31496062992125984" footer="0.31496062992125984"/>
  <pageSetup paperSize="9" scale="46" fitToWidth="0" fitToHeight="0" orientation="landscape" r:id="rId6"/>
  <colBreaks count="6" manualBreakCount="6">
    <brk id="17" max="29" man="1"/>
    <brk id="35" max="29" man="1"/>
    <brk id="59" max="29" man="1"/>
    <brk id="92" max="30" man="1"/>
    <brk id="116" max="29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364</v>
      </c>
      <c r="AO1" t="s">
        <v>365</v>
      </c>
      <c r="AP1" t="s">
        <v>366</v>
      </c>
      <c r="AS1" t="s">
        <v>367</v>
      </c>
      <c r="AW1">
        <v>187.4</v>
      </c>
      <c r="AX1" t="s">
        <v>368</v>
      </c>
      <c r="AY1" t="s">
        <v>369</v>
      </c>
    </row>
    <row r="2" spans="32:51">
      <c r="AF2" t="s">
        <v>370</v>
      </c>
      <c r="AJ2" t="s">
        <v>371</v>
      </c>
    </row>
    <row r="3" spans="32:51">
      <c r="AF3" t="s">
        <v>373</v>
      </c>
      <c r="AH3" t="s">
        <v>372</v>
      </c>
      <c r="AJ3" t="s">
        <v>373</v>
      </c>
      <c r="AN3" t="s">
        <v>372</v>
      </c>
      <c r="AO3" t="s">
        <v>372</v>
      </c>
      <c r="AP3" t="s">
        <v>372</v>
      </c>
      <c r="AS3" t="s">
        <v>374</v>
      </c>
      <c r="AT3" t="s">
        <v>375</v>
      </c>
      <c r="AU3" t="s">
        <v>376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377</v>
      </c>
      <c r="AU4" t="s">
        <v>378</v>
      </c>
      <c r="AV4" t="s">
        <v>379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380</v>
      </c>
      <c r="AU5" t="s">
        <v>378</v>
      </c>
      <c r="AV5" t="s">
        <v>381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382</v>
      </c>
      <c r="AU6" t="s">
        <v>378</v>
      </c>
      <c r="AV6" t="s">
        <v>381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383</v>
      </c>
      <c r="AU7" t="s">
        <v>378</v>
      </c>
      <c r="AV7" t="s">
        <v>384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385</v>
      </c>
      <c r="AU8" t="s">
        <v>378</v>
      </c>
      <c r="AV8" t="s">
        <v>386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387</v>
      </c>
      <c r="AU9" t="s">
        <v>378</v>
      </c>
      <c r="AV9" t="s">
        <v>388</v>
      </c>
      <c r="AW9" t="s">
        <v>389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390</v>
      </c>
      <c r="AU10" t="s">
        <v>378</v>
      </c>
      <c r="AV10" t="s">
        <v>391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392</v>
      </c>
      <c r="AU11" t="s">
        <v>378</v>
      </c>
      <c r="AV11" t="s">
        <v>393</v>
      </c>
      <c r="AW11" t="s">
        <v>389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394</v>
      </c>
      <c r="AU12" t="s">
        <v>378</v>
      </c>
      <c r="AV12" t="s">
        <v>395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396</v>
      </c>
      <c r="AU13" t="s">
        <v>378</v>
      </c>
      <c r="AV13" t="s">
        <v>397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398</v>
      </c>
      <c r="AU14" t="s">
        <v>378</v>
      </c>
      <c r="AV14" t="s">
        <v>384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399</v>
      </c>
      <c r="AU15" t="s">
        <v>378</v>
      </c>
      <c r="AV15" t="s">
        <v>400</v>
      </c>
      <c r="AW15" t="s">
        <v>401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402</v>
      </c>
      <c r="AU16" t="s">
        <v>378</v>
      </c>
      <c r="AV16" t="s">
        <v>381</v>
      </c>
      <c r="AW16" t="s">
        <v>403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404</v>
      </c>
      <c r="AU17" t="s">
        <v>378</v>
      </c>
      <c r="AV17" t="s">
        <v>405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406</v>
      </c>
      <c r="AU18" t="s">
        <v>378</v>
      </c>
      <c r="AV18" t="s">
        <v>381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407</v>
      </c>
      <c r="AU19" t="s">
        <v>408</v>
      </c>
      <c r="AV19" t="s">
        <v>391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409</v>
      </c>
      <c r="AY20" t="s">
        <v>410</v>
      </c>
    </row>
    <row r="82" hidden="1"/>
    <row r="83" hidden="1"/>
    <row r="84" hidden="1"/>
  </sheetData>
  <customSheetViews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B30CE22D-C12F-4E12-8BB9-3AAE0A6991CC}" hiddenRows="1" state="hidden">
      <selection activeCell="B100" sqref="B100"/>
      <pageMargins left="0.7" right="0.7" top="0.75" bottom="0.75" header="0.3" footer="0.3"/>
      <pageSetup paperSize="9" orientation="portrait" verticalDpi="0" r:id="rId2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A54C432C-6C68-4B53-A75C-446EB3A61B2B}" state="hidden" topLeftCell="A16">
      <pageMargins left="0.7" right="0.7" top="0.75" bottom="0.75" header="0.3" footer="0.3"/>
    </customSheetView>
    <customSheetView guid="{B30CE22D-C12F-4E12-8BB9-3AAE0A6991CC}" state="hidden" topLeftCell="A16">
      <pageMargins left="0.7" right="0.7" top="0.75" bottom="0.75" header="0.3" footer="0.3"/>
    </customSheetView>
    <customSheetView guid="{5BFCA170-DEAE-4D2C-98A0-1E68B427AC01}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45"/>
  <sheetViews>
    <sheetView view="pageBreakPreview" topLeftCell="A103" zoomScale="60" workbookViewId="0">
      <selection activeCell="C71" sqref="C71:D72"/>
    </sheetView>
  </sheetViews>
  <sheetFormatPr defaultRowHeight="15.75"/>
  <cols>
    <col min="1" max="1" width="16.28515625" style="58" customWidth="1"/>
    <col min="2" max="2" width="57.5703125" style="59" customWidth="1"/>
    <col min="3" max="3" width="33.85546875" style="62" customWidth="1"/>
    <col min="4" max="4" width="28.28515625" style="62" customWidth="1"/>
    <col min="5" max="5" width="19" style="62" customWidth="1"/>
    <col min="6" max="6" width="22.42578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>
      <c r="A1" s="436" t="s">
        <v>0</v>
      </c>
      <c r="B1" s="436"/>
      <c r="C1" s="436"/>
      <c r="D1" s="436"/>
      <c r="E1" s="436"/>
      <c r="F1" s="436"/>
    </row>
    <row r="2" spans="1:6">
      <c r="A2" s="436" t="s">
        <v>415</v>
      </c>
      <c r="B2" s="436"/>
      <c r="C2" s="436"/>
      <c r="D2" s="436"/>
      <c r="E2" s="436"/>
      <c r="F2" s="436"/>
    </row>
    <row r="3" spans="1:6" ht="63">
      <c r="A3" s="2" t="s">
        <v>1</v>
      </c>
      <c r="B3" s="2" t="s">
        <v>2</v>
      </c>
      <c r="C3" s="72" t="s">
        <v>346</v>
      </c>
      <c r="D3" s="103" t="s">
        <v>412</v>
      </c>
      <c r="E3" s="72" t="s">
        <v>3</v>
      </c>
      <c r="F3" s="74" t="s">
        <v>4</v>
      </c>
    </row>
    <row r="4" spans="1:6" s="6" customFormat="1" ht="22.5">
      <c r="A4" s="3"/>
      <c r="B4" s="256" t="s">
        <v>5</v>
      </c>
      <c r="C4" s="297">
        <f>C5+C12+C16+C21+C23+C27+C7</f>
        <v>125924</v>
      </c>
      <c r="D4" s="297">
        <f>D5+D12+D16+D21+D23+D27+D7</f>
        <v>80447.429810000001</v>
      </c>
      <c r="E4" s="297">
        <f>SUM(D4/C4*100)</f>
        <v>63.885700748070263</v>
      </c>
      <c r="F4" s="297">
        <f>SUM(D4-C4)</f>
        <v>-45476.570189999999</v>
      </c>
    </row>
    <row r="5" spans="1:6" s="6" customFormat="1" ht="22.5">
      <c r="A5" s="68">
        <v>1010000000</v>
      </c>
      <c r="B5" s="256" t="s">
        <v>6</v>
      </c>
      <c r="C5" s="297">
        <f>C6</f>
        <v>104690</v>
      </c>
      <c r="D5" s="297">
        <f>D6</f>
        <v>65486.838640000002</v>
      </c>
      <c r="E5" s="297">
        <f t="shared" ref="E5:E81" si="0">SUM(D5/C5*100)</f>
        <v>62.553098328398129</v>
      </c>
      <c r="F5" s="297">
        <f t="shared" ref="F5:F81" si="1">SUM(D5-C5)</f>
        <v>-39203.161359999998</v>
      </c>
    </row>
    <row r="6" spans="1:6" ht="23.25">
      <c r="A6" s="7">
        <v>1010200001</v>
      </c>
      <c r="B6" s="257" t="s">
        <v>229</v>
      </c>
      <c r="C6" s="298">
        <v>104690</v>
      </c>
      <c r="D6" s="365">
        <v>65486.838640000002</v>
      </c>
      <c r="E6" s="298">
        <f t="shared" ref="E6:E11" si="2">SUM(D6/C6*100)</f>
        <v>62.553098328398129</v>
      </c>
      <c r="F6" s="298">
        <f t="shared" si="1"/>
        <v>-39203.161359999998</v>
      </c>
    </row>
    <row r="7" spans="1:6" ht="37.5">
      <c r="A7" s="68">
        <v>1030000000</v>
      </c>
      <c r="B7" s="258" t="s">
        <v>281</v>
      </c>
      <c r="C7" s="297">
        <f>C8+C10+C9</f>
        <v>4367.8600000000006</v>
      </c>
      <c r="D7" s="297">
        <f>D8+D10+D9+D11</f>
        <v>2953.0248800000004</v>
      </c>
      <c r="E7" s="298">
        <f t="shared" si="2"/>
        <v>67.608047876992401</v>
      </c>
      <c r="F7" s="298">
        <f t="shared" si="1"/>
        <v>-1414.8351200000002</v>
      </c>
    </row>
    <row r="8" spans="1:6" ht="23.25">
      <c r="A8" s="7">
        <v>1030223001</v>
      </c>
      <c r="B8" s="257" t="s">
        <v>283</v>
      </c>
      <c r="C8" s="298">
        <v>1410.394</v>
      </c>
      <c r="D8" s="365">
        <v>1288.7347400000001</v>
      </c>
      <c r="E8" s="298">
        <f t="shared" si="2"/>
        <v>91.374094047478934</v>
      </c>
      <c r="F8" s="298">
        <f>SUM(D8-C8)</f>
        <v>-121.6592599999999</v>
      </c>
    </row>
    <row r="9" spans="1:6" ht="23.25">
      <c r="A9" s="7">
        <v>1030224001</v>
      </c>
      <c r="B9" s="257" t="s">
        <v>289</v>
      </c>
      <c r="C9" s="298">
        <v>25.545999999999999</v>
      </c>
      <c r="D9" s="365">
        <v>11.042120000000001</v>
      </c>
      <c r="E9" s="298">
        <f t="shared" si="2"/>
        <v>43.22445784075785</v>
      </c>
      <c r="F9" s="298">
        <f>SUM(D9-C9)</f>
        <v>-14.503879999999999</v>
      </c>
    </row>
    <row r="10" spans="1:6" ht="23.25">
      <c r="A10" s="7">
        <v>1030225001</v>
      </c>
      <c r="B10" s="257" t="s">
        <v>282</v>
      </c>
      <c r="C10" s="298">
        <v>2931.92</v>
      </c>
      <c r="D10" s="365">
        <v>1953.69397</v>
      </c>
      <c r="E10" s="298">
        <f t="shared" si="2"/>
        <v>66.63530962645639</v>
      </c>
      <c r="F10" s="298">
        <f t="shared" si="1"/>
        <v>-978.22603000000004</v>
      </c>
    </row>
    <row r="11" spans="1:6" ht="23.25">
      <c r="A11" s="7">
        <v>1030226001</v>
      </c>
      <c r="B11" s="257" t="s">
        <v>291</v>
      </c>
      <c r="C11" s="298">
        <v>0</v>
      </c>
      <c r="D11" s="365">
        <v>-300.44594999999998</v>
      </c>
      <c r="E11" s="298" t="e">
        <f t="shared" si="2"/>
        <v>#DIV/0!</v>
      </c>
      <c r="F11" s="298">
        <f t="shared" si="1"/>
        <v>-300.44594999999998</v>
      </c>
    </row>
    <row r="12" spans="1:6" s="6" customFormat="1" ht="22.5">
      <c r="A12" s="68">
        <v>1050000000</v>
      </c>
      <c r="B12" s="256" t="s">
        <v>7</v>
      </c>
      <c r="C12" s="297">
        <f>SUM(C13:C15)</f>
        <v>12352</v>
      </c>
      <c r="D12" s="297">
        <f>SUM(D13:D15)</f>
        <v>9490.7284</v>
      </c>
      <c r="E12" s="297">
        <f t="shared" si="0"/>
        <v>76.835560233160621</v>
      </c>
      <c r="F12" s="297">
        <f t="shared" si="1"/>
        <v>-2861.2716</v>
      </c>
    </row>
    <row r="13" spans="1:6" ht="23.25">
      <c r="A13" s="7">
        <v>1050200000</v>
      </c>
      <c r="B13" s="259" t="s">
        <v>239</v>
      </c>
      <c r="C13" s="366">
        <v>11115</v>
      </c>
      <c r="D13" s="365">
        <v>8421.6352299999999</v>
      </c>
      <c r="E13" s="298">
        <f t="shared" si="0"/>
        <v>75.768198200629783</v>
      </c>
      <c r="F13" s="298">
        <f t="shared" si="1"/>
        <v>-2693.3647700000001</v>
      </c>
    </row>
    <row r="14" spans="1:6" ht="23.25" customHeight="1">
      <c r="A14" s="7">
        <v>1050300000</v>
      </c>
      <c r="B14" s="259" t="s">
        <v>230</v>
      </c>
      <c r="C14" s="366">
        <v>887</v>
      </c>
      <c r="D14" s="365">
        <v>955.75645999999995</v>
      </c>
      <c r="E14" s="298">
        <f t="shared" si="0"/>
        <v>107.75157384441938</v>
      </c>
      <c r="F14" s="298">
        <f t="shared" si="1"/>
        <v>68.756459999999947</v>
      </c>
    </row>
    <row r="15" spans="1:6" ht="37.5">
      <c r="A15" s="7">
        <v>1050400002</v>
      </c>
      <c r="B15" s="257" t="s">
        <v>266</v>
      </c>
      <c r="C15" s="366">
        <v>350</v>
      </c>
      <c r="D15" s="365">
        <v>113.33671</v>
      </c>
      <c r="E15" s="298">
        <f t="shared" si="0"/>
        <v>32.381917142857141</v>
      </c>
      <c r="F15" s="298">
        <f t="shared" si="1"/>
        <v>-236.66329000000002</v>
      </c>
    </row>
    <row r="16" spans="1:6" s="6" customFormat="1" ht="24" customHeight="1">
      <c r="A16" s="68">
        <v>1060000000</v>
      </c>
      <c r="B16" s="256" t="s">
        <v>136</v>
      </c>
      <c r="C16" s="297">
        <f>SUM(C17:C20)</f>
        <v>1915</v>
      </c>
      <c r="D16" s="297">
        <f>SUM(D17:D20)</f>
        <v>697.14878999999996</v>
      </c>
      <c r="E16" s="297">
        <f t="shared" si="0"/>
        <v>36.404636553524803</v>
      </c>
      <c r="F16" s="297">
        <f t="shared" si="1"/>
        <v>-1217.85121</v>
      </c>
    </row>
    <row r="17" spans="1:6" s="6" customFormat="1" ht="18" hidden="1" customHeight="1">
      <c r="A17" s="7">
        <v>1060100000</v>
      </c>
      <c r="B17" s="259" t="s">
        <v>9</v>
      </c>
      <c r="C17" s="298"/>
      <c r="D17" s="365"/>
      <c r="E17" s="297" t="e">
        <f t="shared" si="0"/>
        <v>#DIV/0!</v>
      </c>
      <c r="F17" s="297">
        <f t="shared" si="1"/>
        <v>0</v>
      </c>
    </row>
    <row r="18" spans="1:6" s="6" customFormat="1" ht="17.25" hidden="1" customHeight="1">
      <c r="A18" s="7">
        <v>1060200000</v>
      </c>
      <c r="B18" s="259" t="s">
        <v>123</v>
      </c>
      <c r="C18" s="298"/>
      <c r="D18" s="365"/>
      <c r="E18" s="297" t="e">
        <f t="shared" si="0"/>
        <v>#DIV/0!</v>
      </c>
      <c r="F18" s="297">
        <f t="shared" si="1"/>
        <v>0</v>
      </c>
    </row>
    <row r="19" spans="1:6" s="6" customFormat="1" ht="21.75" customHeight="1">
      <c r="A19" s="7">
        <v>1060400000</v>
      </c>
      <c r="B19" s="259" t="s">
        <v>280</v>
      </c>
      <c r="C19" s="298">
        <v>1915</v>
      </c>
      <c r="D19" s="365">
        <v>697.14878999999996</v>
      </c>
      <c r="E19" s="298">
        <f t="shared" si="0"/>
        <v>36.404636553524803</v>
      </c>
      <c r="F19" s="298">
        <f t="shared" si="1"/>
        <v>-1217.85121</v>
      </c>
    </row>
    <row r="20" spans="1:6" ht="15.75" hidden="1" customHeight="1">
      <c r="A20" s="7">
        <v>1060600000</v>
      </c>
      <c r="B20" s="259" t="s">
        <v>8</v>
      </c>
      <c r="C20" s="298"/>
      <c r="D20" s="365"/>
      <c r="E20" s="298" t="e">
        <f t="shared" si="0"/>
        <v>#DIV/0!</v>
      </c>
      <c r="F20" s="298">
        <f t="shared" si="1"/>
        <v>0</v>
      </c>
    </row>
    <row r="21" spans="1:6" s="6" customFormat="1" ht="42" customHeight="1">
      <c r="A21" s="68">
        <v>1070000000</v>
      </c>
      <c r="B21" s="258" t="s">
        <v>10</v>
      </c>
      <c r="C21" s="297">
        <f>SUM(C22)</f>
        <v>399.14</v>
      </c>
      <c r="D21" s="297">
        <f>SUM(D22)</f>
        <v>9.9229999999999999E-2</v>
      </c>
      <c r="E21" s="297">
        <f t="shared" si="0"/>
        <v>2.4860951044746202E-2</v>
      </c>
      <c r="F21" s="297">
        <f t="shared" si="1"/>
        <v>-399.04077000000001</v>
      </c>
    </row>
    <row r="22" spans="1:6" ht="41.25" customHeight="1">
      <c r="A22" s="7">
        <v>1070102001</v>
      </c>
      <c r="B22" s="257" t="s">
        <v>240</v>
      </c>
      <c r="C22" s="298">
        <v>399.14</v>
      </c>
      <c r="D22" s="365">
        <v>9.9229999999999999E-2</v>
      </c>
      <c r="E22" s="298">
        <f t="shared" si="0"/>
        <v>2.4860951044746202E-2</v>
      </c>
      <c r="F22" s="298">
        <f t="shared" si="1"/>
        <v>-399.04077000000001</v>
      </c>
    </row>
    <row r="23" spans="1:6" s="6" customFormat="1" ht="22.5">
      <c r="A23" s="3">
        <v>1080000000</v>
      </c>
      <c r="B23" s="256" t="s">
        <v>11</v>
      </c>
      <c r="C23" s="297">
        <f>C24+C25+C26</f>
        <v>2200</v>
      </c>
      <c r="D23" s="297">
        <f>D24+D25+D26</f>
        <v>1819.58987</v>
      </c>
      <c r="E23" s="297">
        <f t="shared" si="0"/>
        <v>82.708630454545457</v>
      </c>
      <c r="F23" s="297">
        <f t="shared" si="1"/>
        <v>-380.41012999999998</v>
      </c>
    </row>
    <row r="24" spans="1:6" ht="36.75" customHeight="1">
      <c r="A24" s="7">
        <v>1080300001</v>
      </c>
      <c r="B24" s="257" t="s">
        <v>241</v>
      </c>
      <c r="C24" s="298">
        <v>1600</v>
      </c>
      <c r="D24" s="365">
        <v>1383.3982000000001</v>
      </c>
      <c r="E24" s="298">
        <f t="shared" si="0"/>
        <v>86.462387500000006</v>
      </c>
      <c r="F24" s="298">
        <f t="shared" si="1"/>
        <v>-216.60179999999991</v>
      </c>
    </row>
    <row r="25" spans="1:6" ht="33.75" hidden="1" customHeight="1">
      <c r="A25" s="7">
        <v>1080600001</v>
      </c>
      <c r="B25" s="257" t="s">
        <v>228</v>
      </c>
      <c r="C25" s="298">
        <v>0</v>
      </c>
      <c r="D25" s="365">
        <v>0</v>
      </c>
      <c r="E25" s="298" t="e">
        <f>SUM(D25/C25*100)</f>
        <v>#DIV/0!</v>
      </c>
      <c r="F25" s="298">
        <f t="shared" si="1"/>
        <v>0</v>
      </c>
    </row>
    <row r="26" spans="1:6" ht="69.75" customHeight="1">
      <c r="A26" s="7">
        <v>1080714001</v>
      </c>
      <c r="B26" s="257" t="s">
        <v>227</v>
      </c>
      <c r="C26" s="298">
        <v>600</v>
      </c>
      <c r="D26" s="365">
        <v>436.19166999999999</v>
      </c>
      <c r="E26" s="298">
        <f t="shared" si="0"/>
        <v>72.698611666666665</v>
      </c>
      <c r="F26" s="298">
        <f t="shared" si="1"/>
        <v>-163.80833000000001</v>
      </c>
    </row>
    <row r="27" spans="1:6" s="15" customFormat="1" ht="0.75" hidden="1" customHeight="1">
      <c r="A27" s="68">
        <v>1090000000</v>
      </c>
      <c r="B27" s="258" t="s">
        <v>231</v>
      </c>
      <c r="C27" s="297">
        <f>C28+C29+C30+C31</f>
        <v>0</v>
      </c>
      <c r="D27" s="297">
        <f>D28+D29+D30+D31</f>
        <v>0</v>
      </c>
      <c r="E27" s="298" t="e">
        <f t="shared" si="0"/>
        <v>#DIV/0!</v>
      </c>
      <c r="F27" s="297">
        <f t="shared" si="1"/>
        <v>0</v>
      </c>
    </row>
    <row r="28" spans="1:6" s="15" customFormat="1" ht="17.25" hidden="1" customHeight="1">
      <c r="A28" s="7">
        <v>1090100000</v>
      </c>
      <c r="B28" s="257" t="s">
        <v>125</v>
      </c>
      <c r="C28" s="298">
        <v>0</v>
      </c>
      <c r="D28" s="365">
        <v>0</v>
      </c>
      <c r="E28" s="298" t="e">
        <f t="shared" si="0"/>
        <v>#DIV/0!</v>
      </c>
      <c r="F28" s="298">
        <f t="shared" si="1"/>
        <v>0</v>
      </c>
    </row>
    <row r="29" spans="1:6" s="15" customFormat="1" ht="17.25" hidden="1" customHeight="1">
      <c r="A29" s="7">
        <v>1090400000</v>
      </c>
      <c r="B29" s="257" t="s">
        <v>126</v>
      </c>
      <c r="C29" s="298">
        <v>0</v>
      </c>
      <c r="D29" s="365">
        <v>0</v>
      </c>
      <c r="E29" s="298" t="e">
        <f t="shared" si="0"/>
        <v>#DIV/0!</v>
      </c>
      <c r="F29" s="298">
        <f t="shared" si="1"/>
        <v>0</v>
      </c>
    </row>
    <row r="30" spans="1:6" s="15" customFormat="1" ht="15.75" hidden="1" customHeight="1">
      <c r="A30" s="7">
        <v>1090600000</v>
      </c>
      <c r="B30" s="257" t="s">
        <v>127</v>
      </c>
      <c r="C30" s="298">
        <v>0</v>
      </c>
      <c r="D30" s="365">
        <v>0</v>
      </c>
      <c r="E30" s="298" t="e">
        <f t="shared" si="0"/>
        <v>#DIV/0!</v>
      </c>
      <c r="F30" s="298">
        <f t="shared" si="1"/>
        <v>0</v>
      </c>
    </row>
    <row r="31" spans="1:6" s="15" customFormat="1" ht="42" hidden="1" customHeight="1">
      <c r="A31" s="7">
        <v>1090700000</v>
      </c>
      <c r="B31" s="257" t="s">
        <v>128</v>
      </c>
      <c r="C31" s="298">
        <v>0</v>
      </c>
      <c r="D31" s="365">
        <v>0</v>
      </c>
      <c r="E31" s="298" t="e">
        <f t="shared" si="0"/>
        <v>#DIV/0!</v>
      </c>
      <c r="F31" s="298">
        <f t="shared" si="1"/>
        <v>0</v>
      </c>
    </row>
    <row r="32" spans="1:6" s="6" customFormat="1" ht="33.75" customHeight="1">
      <c r="A32" s="3"/>
      <c r="B32" s="256" t="s">
        <v>13</v>
      </c>
      <c r="C32" s="297">
        <f>C33+C41+C43+C46+C49+C51+C68</f>
        <v>26680.1</v>
      </c>
      <c r="D32" s="297">
        <f>D33+D41+D43+D46+D49+D51+D68</f>
        <v>17540.527699999999</v>
      </c>
      <c r="E32" s="297">
        <f t="shared" si="0"/>
        <v>65.743860405320817</v>
      </c>
      <c r="F32" s="297">
        <f t="shared" si="1"/>
        <v>-9139.5722999999998</v>
      </c>
    </row>
    <row r="33" spans="1:6" s="6" customFormat="1" ht="60.75" customHeight="1">
      <c r="A33" s="3">
        <v>1110000000</v>
      </c>
      <c r="B33" s="258" t="s">
        <v>129</v>
      </c>
      <c r="C33" s="297">
        <f>C35+C36+C37+C39+C38+C34+C40</f>
        <v>9536.2999999999993</v>
      </c>
      <c r="D33" s="297">
        <f>D35+D36+D37+D39+D38+D34+D40</f>
        <v>7344.8527399999994</v>
      </c>
      <c r="E33" s="297">
        <f t="shared" si="0"/>
        <v>77.019942115914972</v>
      </c>
      <c r="F33" s="297">
        <f t="shared" si="1"/>
        <v>-2191.4472599999999</v>
      </c>
    </row>
    <row r="34" spans="1:6" s="6" customFormat="1" ht="34.5" customHeight="1">
      <c r="A34" s="7">
        <v>1110105005</v>
      </c>
      <c r="B34" s="257" t="s">
        <v>320</v>
      </c>
      <c r="C34" s="298">
        <v>10</v>
      </c>
      <c r="D34" s="298">
        <v>16.89</v>
      </c>
      <c r="E34" s="298">
        <f t="shared" si="0"/>
        <v>168.9</v>
      </c>
      <c r="F34" s="298">
        <f t="shared" si="1"/>
        <v>6.8900000000000006</v>
      </c>
    </row>
    <row r="35" spans="1:6" ht="27.75" hidden="1" customHeight="1">
      <c r="A35" s="7">
        <v>1110305005</v>
      </c>
      <c r="B35" s="259" t="s">
        <v>242</v>
      </c>
      <c r="C35" s="298">
        <v>0</v>
      </c>
      <c r="D35" s="365">
        <v>0</v>
      </c>
      <c r="E35" s="298" t="e">
        <f t="shared" si="0"/>
        <v>#DIV/0!</v>
      </c>
      <c r="F35" s="298">
        <f t="shared" si="1"/>
        <v>0</v>
      </c>
    </row>
    <row r="36" spans="1:6" ht="23.25">
      <c r="A36" s="16">
        <v>1110501101</v>
      </c>
      <c r="B36" s="260" t="s">
        <v>226</v>
      </c>
      <c r="C36" s="366">
        <v>8736.2999999999993</v>
      </c>
      <c r="D36" s="365">
        <v>6684.4186099999997</v>
      </c>
      <c r="E36" s="298">
        <f t="shared" si="0"/>
        <v>76.513153279992679</v>
      </c>
      <c r="F36" s="298">
        <f t="shared" si="1"/>
        <v>-2051.8813899999996</v>
      </c>
    </row>
    <row r="37" spans="1:6" ht="21.75" customHeight="1">
      <c r="A37" s="7">
        <v>1110503505</v>
      </c>
      <c r="B37" s="259" t="s">
        <v>225</v>
      </c>
      <c r="C37" s="366">
        <v>400</v>
      </c>
      <c r="D37" s="365">
        <v>260.84667000000002</v>
      </c>
      <c r="E37" s="298">
        <f t="shared" si="0"/>
        <v>65.211667500000004</v>
      </c>
      <c r="F37" s="298">
        <f t="shared" si="1"/>
        <v>-139.15332999999998</v>
      </c>
    </row>
    <row r="38" spans="1:6" ht="0.75" hidden="1" customHeight="1">
      <c r="A38" s="7">
        <v>1110502000</v>
      </c>
      <c r="B38" s="257" t="s">
        <v>277</v>
      </c>
      <c r="C38" s="367">
        <v>0</v>
      </c>
      <c r="D38" s="365">
        <v>0</v>
      </c>
      <c r="E38" s="298" t="e">
        <f t="shared" si="0"/>
        <v>#DIV/0!</v>
      </c>
      <c r="F38" s="298">
        <f t="shared" si="1"/>
        <v>0</v>
      </c>
    </row>
    <row r="39" spans="1:6" s="15" customFormat="1" ht="23.25">
      <c r="A39" s="7">
        <v>1110701505</v>
      </c>
      <c r="B39" s="259" t="s">
        <v>243</v>
      </c>
      <c r="C39" s="366">
        <v>20</v>
      </c>
      <c r="D39" s="365">
        <v>17.364999999999998</v>
      </c>
      <c r="E39" s="298">
        <f t="shared" si="0"/>
        <v>86.825000000000003</v>
      </c>
      <c r="F39" s="298">
        <f t="shared" si="1"/>
        <v>-2.6350000000000016</v>
      </c>
    </row>
    <row r="40" spans="1:6" s="15" customFormat="1" ht="23.25">
      <c r="A40" s="7">
        <v>1110904505</v>
      </c>
      <c r="B40" s="259" t="s">
        <v>334</v>
      </c>
      <c r="C40" s="366">
        <v>370</v>
      </c>
      <c r="D40" s="365">
        <v>365.33246000000003</v>
      </c>
      <c r="E40" s="298">
        <f t="shared" si="0"/>
        <v>98.738502702702718</v>
      </c>
      <c r="F40" s="298">
        <f t="shared" si="1"/>
        <v>-4.667539999999974</v>
      </c>
    </row>
    <row r="41" spans="1:6" s="15" customFormat="1" ht="37.5">
      <c r="A41" s="68">
        <v>1120000000</v>
      </c>
      <c r="B41" s="258" t="s">
        <v>130</v>
      </c>
      <c r="C41" s="368">
        <f>C42</f>
        <v>490</v>
      </c>
      <c r="D41" s="368">
        <f>D42</f>
        <v>581.26819999999998</v>
      </c>
      <c r="E41" s="297">
        <f t="shared" si="0"/>
        <v>118.62616326530613</v>
      </c>
      <c r="F41" s="297">
        <f t="shared" si="1"/>
        <v>91.268199999999979</v>
      </c>
    </row>
    <row r="42" spans="1:6" s="15" customFormat="1" ht="37.5">
      <c r="A42" s="7">
        <v>1120100001</v>
      </c>
      <c r="B42" s="257" t="s">
        <v>244</v>
      </c>
      <c r="C42" s="298">
        <v>490</v>
      </c>
      <c r="D42" s="365">
        <v>581.26819999999998</v>
      </c>
      <c r="E42" s="298">
        <f t="shared" si="0"/>
        <v>118.62616326530613</v>
      </c>
      <c r="F42" s="298">
        <f t="shared" si="1"/>
        <v>91.268199999999979</v>
      </c>
    </row>
    <row r="43" spans="1:6" s="255" customFormat="1" ht="21.75" customHeight="1">
      <c r="A43" s="325">
        <v>1130000000</v>
      </c>
      <c r="B43" s="261" t="s">
        <v>131</v>
      </c>
      <c r="C43" s="297">
        <f>C44+C45</f>
        <v>459</v>
      </c>
      <c r="D43" s="297">
        <f>D44+D45</f>
        <v>113.39815</v>
      </c>
      <c r="E43" s="297">
        <f t="shared" si="0"/>
        <v>24.705479302832245</v>
      </c>
      <c r="F43" s="297">
        <f t="shared" si="1"/>
        <v>-345.60185000000001</v>
      </c>
    </row>
    <row r="44" spans="1:6" s="15" customFormat="1" ht="36" customHeight="1">
      <c r="A44" s="7">
        <v>1130200000</v>
      </c>
      <c r="B44" s="257" t="s">
        <v>330</v>
      </c>
      <c r="C44" s="298">
        <v>459</v>
      </c>
      <c r="D44" s="298">
        <v>113.39815</v>
      </c>
      <c r="E44" s="298">
        <f>SUM(D44/C44*100)</f>
        <v>24.705479302832245</v>
      </c>
      <c r="F44" s="298">
        <f>SUM(D44-C44)</f>
        <v>-345.60185000000001</v>
      </c>
    </row>
    <row r="45" spans="1:6" ht="25.5" customHeight="1">
      <c r="A45" s="7">
        <v>1130305005</v>
      </c>
      <c r="B45" s="257" t="s">
        <v>224</v>
      </c>
      <c r="C45" s="298">
        <v>0</v>
      </c>
      <c r="D45" s="365">
        <v>0</v>
      </c>
      <c r="E45" s="298"/>
      <c r="F45" s="298">
        <f t="shared" si="1"/>
        <v>0</v>
      </c>
    </row>
    <row r="46" spans="1:6" ht="20.25" customHeight="1">
      <c r="A46" s="109">
        <v>1140000000</v>
      </c>
      <c r="B46" s="262" t="s">
        <v>132</v>
      </c>
      <c r="C46" s="297">
        <f>C47+C48</f>
        <v>6682.8</v>
      </c>
      <c r="D46" s="297">
        <f>D47+D48</f>
        <v>1451.6496999999999</v>
      </c>
      <c r="E46" s="297">
        <f t="shared" si="0"/>
        <v>21.722177829652239</v>
      </c>
      <c r="F46" s="297">
        <f t="shared" si="1"/>
        <v>-5231.1503000000002</v>
      </c>
    </row>
    <row r="47" spans="1:6" ht="23.25">
      <c r="A47" s="16">
        <v>1140200000</v>
      </c>
      <c r="B47" s="263" t="s">
        <v>222</v>
      </c>
      <c r="C47" s="298">
        <v>500</v>
      </c>
      <c r="D47" s="365">
        <v>9</v>
      </c>
      <c r="E47" s="298">
        <f t="shared" si="0"/>
        <v>1.7999999999999998</v>
      </c>
      <c r="F47" s="298">
        <f t="shared" si="1"/>
        <v>-491</v>
      </c>
    </row>
    <row r="48" spans="1:6" ht="24" customHeight="1">
      <c r="A48" s="7">
        <v>1140600000</v>
      </c>
      <c r="B48" s="257" t="s">
        <v>223</v>
      </c>
      <c r="C48" s="298">
        <v>6182.8</v>
      </c>
      <c r="D48" s="365">
        <v>1442.6496999999999</v>
      </c>
      <c r="E48" s="298">
        <f t="shared" si="0"/>
        <v>23.333274568156821</v>
      </c>
      <c r="F48" s="298">
        <f t="shared" si="1"/>
        <v>-4740.1503000000002</v>
      </c>
    </row>
    <row r="49" spans="1:8" ht="37.5" hidden="1">
      <c r="A49" s="3">
        <v>1150000000</v>
      </c>
      <c r="B49" s="258" t="s">
        <v>235</v>
      </c>
      <c r="C49" s="297">
        <f>C50</f>
        <v>0</v>
      </c>
      <c r="D49" s="297">
        <f>D50</f>
        <v>0</v>
      </c>
      <c r="E49" s="297" t="e">
        <f t="shared" si="0"/>
        <v>#DIV/0!</v>
      </c>
      <c r="F49" s="297">
        <f t="shared" si="1"/>
        <v>0</v>
      </c>
    </row>
    <row r="50" spans="1:8" ht="56.25" hidden="1">
      <c r="A50" s="7">
        <v>1150205005</v>
      </c>
      <c r="B50" s="257" t="s">
        <v>236</v>
      </c>
      <c r="C50" s="298">
        <v>0</v>
      </c>
      <c r="D50" s="365">
        <v>0</v>
      </c>
      <c r="E50" s="298" t="e">
        <f t="shared" si="0"/>
        <v>#DIV/0!</v>
      </c>
      <c r="F50" s="298">
        <f t="shared" si="1"/>
        <v>0</v>
      </c>
    </row>
    <row r="51" spans="1:8" ht="37.5">
      <c r="A51" s="3">
        <v>1160000000</v>
      </c>
      <c r="B51" s="258" t="s">
        <v>134</v>
      </c>
      <c r="C51" s="297">
        <f>C52+C53+C54+C55+C56+C57+C58+C59+C60+C61+C62+C63+C64+C65+C66+C67</f>
        <v>9512</v>
      </c>
      <c r="D51" s="297">
        <f>D52+D53+D54+D55+D56+D57+D58+D59+D60+D61+D62+D63+D64+D65+D66+D67</f>
        <v>8041.1589099999992</v>
      </c>
      <c r="E51" s="297">
        <f>SUM(D51/C51*100)</f>
        <v>84.536994428090821</v>
      </c>
      <c r="F51" s="297">
        <f t="shared" si="1"/>
        <v>-1470.8410900000008</v>
      </c>
      <c r="H51" s="152"/>
    </row>
    <row r="52" spans="1:8" ht="23.25">
      <c r="A52" s="7">
        <v>1160301001</v>
      </c>
      <c r="B52" s="257" t="s">
        <v>245</v>
      </c>
      <c r="C52" s="298">
        <v>12</v>
      </c>
      <c r="D52" s="369">
        <v>7.319</v>
      </c>
      <c r="E52" s="298">
        <f>SUM(D52/C52*100)</f>
        <v>60.991666666666667</v>
      </c>
      <c r="F52" s="298">
        <f t="shared" si="1"/>
        <v>-4.681</v>
      </c>
    </row>
    <row r="53" spans="1:8" ht="21" customHeight="1">
      <c r="A53" s="7">
        <v>1160303001</v>
      </c>
      <c r="B53" s="257" t="s">
        <v>246</v>
      </c>
      <c r="C53" s="298">
        <v>8</v>
      </c>
      <c r="D53" s="370">
        <v>4.5444500000000003</v>
      </c>
      <c r="E53" s="298">
        <f t="shared" si="0"/>
        <v>56.805625000000006</v>
      </c>
      <c r="F53" s="298">
        <f t="shared" si="1"/>
        <v>-3.4555499999999997</v>
      </c>
    </row>
    <row r="54" spans="1:8" ht="23.25" customHeight="1">
      <c r="A54" s="7">
        <v>1160600000</v>
      </c>
      <c r="B54" s="257" t="s">
        <v>247</v>
      </c>
      <c r="C54" s="298">
        <v>82</v>
      </c>
      <c r="D54" s="370">
        <v>0</v>
      </c>
      <c r="E54" s="298">
        <f t="shared" si="0"/>
        <v>0</v>
      </c>
      <c r="F54" s="298">
        <f t="shared" si="1"/>
        <v>-82</v>
      </c>
    </row>
    <row r="55" spans="1:8" s="15" customFormat="1" ht="48" customHeight="1">
      <c r="A55" s="7">
        <v>1160800001</v>
      </c>
      <c r="B55" s="257" t="s">
        <v>248</v>
      </c>
      <c r="C55" s="298">
        <v>220</v>
      </c>
      <c r="D55" s="370">
        <v>160</v>
      </c>
      <c r="E55" s="298">
        <f t="shared" si="0"/>
        <v>72.727272727272734</v>
      </c>
      <c r="F55" s="298">
        <f t="shared" si="1"/>
        <v>-60</v>
      </c>
    </row>
    <row r="56" spans="1:8" ht="35.25" customHeight="1">
      <c r="A56" s="7">
        <v>1160802001</v>
      </c>
      <c r="B56" s="257" t="s">
        <v>342</v>
      </c>
      <c r="C56" s="298">
        <v>35</v>
      </c>
      <c r="D56" s="365">
        <v>0</v>
      </c>
      <c r="E56" s="298">
        <f t="shared" si="0"/>
        <v>0</v>
      </c>
      <c r="F56" s="298">
        <f t="shared" si="1"/>
        <v>-35</v>
      </c>
    </row>
    <row r="57" spans="1:8" ht="35.25" customHeight="1">
      <c r="A57" s="7">
        <v>1162105005</v>
      </c>
      <c r="B57" s="257" t="s">
        <v>16</v>
      </c>
      <c r="C57" s="298">
        <v>245</v>
      </c>
      <c r="D57" s="365">
        <v>147.9</v>
      </c>
      <c r="E57" s="298">
        <f t="shared" si="0"/>
        <v>60.367346938775512</v>
      </c>
      <c r="F57" s="298">
        <f t="shared" si="1"/>
        <v>-97.1</v>
      </c>
    </row>
    <row r="58" spans="1:8" ht="35.25" customHeight="1">
      <c r="A58" s="16">
        <v>1162503001</v>
      </c>
      <c r="B58" s="263" t="s">
        <v>333</v>
      </c>
      <c r="C58" s="298">
        <v>140</v>
      </c>
      <c r="D58" s="365">
        <v>0</v>
      </c>
      <c r="E58" s="298">
        <f t="shared" si="0"/>
        <v>0</v>
      </c>
      <c r="F58" s="298">
        <f t="shared" si="1"/>
        <v>-140</v>
      </c>
    </row>
    <row r="59" spans="1:8" ht="21.75" customHeight="1">
      <c r="A59" s="16">
        <v>1162505001</v>
      </c>
      <c r="B59" s="263" t="s">
        <v>345</v>
      </c>
      <c r="C59" s="298">
        <v>0</v>
      </c>
      <c r="D59" s="365">
        <v>20</v>
      </c>
      <c r="E59" s="298" t="e">
        <f t="shared" si="0"/>
        <v>#DIV/0!</v>
      </c>
      <c r="F59" s="298">
        <f t="shared" si="1"/>
        <v>20</v>
      </c>
    </row>
    <row r="60" spans="1:8" ht="20.25" customHeight="1">
      <c r="A60" s="16">
        <v>1162506001</v>
      </c>
      <c r="B60" s="263" t="s">
        <v>269</v>
      </c>
      <c r="C60" s="298">
        <v>445</v>
      </c>
      <c r="D60" s="365">
        <v>60.060459999999999</v>
      </c>
      <c r="E60" s="298">
        <f t="shared" si="0"/>
        <v>13.496732584269663</v>
      </c>
      <c r="F60" s="298">
        <f t="shared" si="1"/>
        <v>-384.93954000000002</v>
      </c>
    </row>
    <row r="61" spans="1:8" ht="0.75" hidden="1" customHeight="1">
      <c r="A61" s="7">
        <v>1162700001</v>
      </c>
      <c r="B61" s="257" t="s">
        <v>249</v>
      </c>
      <c r="C61" s="298">
        <v>0</v>
      </c>
      <c r="D61" s="365">
        <v>0</v>
      </c>
      <c r="E61" s="298" t="e">
        <f t="shared" si="0"/>
        <v>#DIV/0!</v>
      </c>
      <c r="F61" s="298">
        <f t="shared" si="1"/>
        <v>0</v>
      </c>
    </row>
    <row r="62" spans="1:8" ht="37.5" customHeight="1">
      <c r="A62" s="7">
        <v>1162800001</v>
      </c>
      <c r="B62" s="257" t="s">
        <v>238</v>
      </c>
      <c r="C62" s="298">
        <v>370</v>
      </c>
      <c r="D62" s="365">
        <v>299.01344999999998</v>
      </c>
      <c r="E62" s="298">
        <f>SUM(D62/C62*100)</f>
        <v>80.814445945945948</v>
      </c>
      <c r="F62" s="298">
        <f>SUM(D62-C62)</f>
        <v>-70.986550000000022</v>
      </c>
    </row>
    <row r="63" spans="1:8" ht="36" customHeight="1">
      <c r="A63" s="7">
        <v>1163003001</v>
      </c>
      <c r="B63" s="257" t="s">
        <v>270</v>
      </c>
      <c r="C63" s="298">
        <v>25</v>
      </c>
      <c r="D63" s="365">
        <v>167</v>
      </c>
      <c r="E63" s="298">
        <f>SUM(D63/C63*100)</f>
        <v>668</v>
      </c>
      <c r="F63" s="298">
        <f>SUM(D63-C63)</f>
        <v>142</v>
      </c>
    </row>
    <row r="64" spans="1:8" ht="56.25">
      <c r="A64" s="7">
        <v>1164300001</v>
      </c>
      <c r="B64" s="264" t="s">
        <v>262</v>
      </c>
      <c r="C64" s="298">
        <v>300</v>
      </c>
      <c r="D64" s="365">
        <v>211.22174000000001</v>
      </c>
      <c r="E64" s="298">
        <f t="shared" si="0"/>
        <v>70.407246666666666</v>
      </c>
      <c r="F64" s="298">
        <f t="shared" si="1"/>
        <v>-88.778259999999989</v>
      </c>
    </row>
    <row r="65" spans="1:8" ht="73.5" customHeight="1">
      <c r="A65" s="7">
        <v>1163305005</v>
      </c>
      <c r="B65" s="257" t="s">
        <v>17</v>
      </c>
      <c r="C65" s="298">
        <v>5035</v>
      </c>
      <c r="D65" s="365">
        <v>5120.5715399999999</v>
      </c>
      <c r="E65" s="298">
        <f t="shared" si="0"/>
        <v>101.69953406156903</v>
      </c>
      <c r="F65" s="298">
        <f t="shared" si="1"/>
        <v>85.571539999999914</v>
      </c>
    </row>
    <row r="66" spans="1:8" ht="23.25">
      <c r="A66" s="7">
        <v>1163500000</v>
      </c>
      <c r="B66" s="257" t="s">
        <v>331</v>
      </c>
      <c r="C66" s="298">
        <v>0</v>
      </c>
      <c r="D66" s="365">
        <v>0</v>
      </c>
      <c r="E66" s="298" t="e">
        <f t="shared" si="0"/>
        <v>#DIV/0!</v>
      </c>
      <c r="F66" s="298">
        <f t="shared" si="1"/>
        <v>0</v>
      </c>
    </row>
    <row r="67" spans="1:8" ht="35.25" customHeight="1">
      <c r="A67" s="7">
        <v>1169000000</v>
      </c>
      <c r="B67" s="257" t="s">
        <v>237</v>
      </c>
      <c r="C67" s="298">
        <v>2595</v>
      </c>
      <c r="D67" s="365">
        <v>1843.52827</v>
      </c>
      <c r="E67" s="298">
        <f t="shared" si="0"/>
        <v>71.041551830443154</v>
      </c>
      <c r="F67" s="298">
        <f t="shared" si="1"/>
        <v>-751.47172999999998</v>
      </c>
    </row>
    <row r="68" spans="1:8" ht="25.5" customHeight="1">
      <c r="A68" s="3">
        <v>1170000000</v>
      </c>
      <c r="B68" s="258" t="s">
        <v>135</v>
      </c>
      <c r="C68" s="297">
        <f>C69+C70</f>
        <v>0</v>
      </c>
      <c r="D68" s="297">
        <f>D69+D70</f>
        <v>8.1999999999999993</v>
      </c>
      <c r="E68" s="298" t="e">
        <f t="shared" si="0"/>
        <v>#DIV/0!</v>
      </c>
      <c r="F68" s="297">
        <f t="shared" si="1"/>
        <v>8.1999999999999993</v>
      </c>
    </row>
    <row r="69" spans="1:8" ht="23.25">
      <c r="A69" s="7">
        <v>1170105005</v>
      </c>
      <c r="B69" s="257" t="s">
        <v>18</v>
      </c>
      <c r="C69" s="298">
        <v>0</v>
      </c>
      <c r="D69" s="298">
        <v>8.1999999999999993</v>
      </c>
      <c r="E69" s="298" t="e">
        <f t="shared" si="0"/>
        <v>#DIV/0!</v>
      </c>
      <c r="F69" s="298">
        <f t="shared" si="1"/>
        <v>8.1999999999999993</v>
      </c>
    </row>
    <row r="70" spans="1:8" ht="23.25">
      <c r="A70" s="7">
        <v>1170505005</v>
      </c>
      <c r="B70" s="259" t="s">
        <v>221</v>
      </c>
      <c r="C70" s="298">
        <v>0</v>
      </c>
      <c r="D70" s="365">
        <v>0</v>
      </c>
      <c r="E70" s="298" t="e">
        <f t="shared" si="0"/>
        <v>#DIV/0!</v>
      </c>
      <c r="F70" s="298">
        <f t="shared" si="1"/>
        <v>0</v>
      </c>
    </row>
    <row r="71" spans="1:8" s="6" customFormat="1" ht="22.5">
      <c r="A71" s="3">
        <v>1000000000</v>
      </c>
      <c r="B71" s="256" t="s">
        <v>19</v>
      </c>
      <c r="C71" s="371">
        <f>SUM(C4,C32)</f>
        <v>152604.1</v>
      </c>
      <c r="D71" s="371">
        <f>SUM(D4,D32)</f>
        <v>97987.957510000007</v>
      </c>
      <c r="E71" s="297">
        <f>SUM(D71/C71*100)</f>
        <v>64.210566760657144</v>
      </c>
      <c r="F71" s="297">
        <f>SUM(D71-C71)</f>
        <v>-54616.142489999998</v>
      </c>
      <c r="G71" s="94"/>
      <c r="H71" s="94"/>
    </row>
    <row r="72" spans="1:8" s="6" customFormat="1" ht="30" customHeight="1">
      <c r="A72" s="3">
        <v>2000000000</v>
      </c>
      <c r="B72" s="256" t="s">
        <v>20</v>
      </c>
      <c r="C72" s="297">
        <f>C73+C76+C77+C78+C80+C75+C79</f>
        <v>591472.02116</v>
      </c>
      <c r="D72" s="297">
        <f>D73+D76+D77+D78+D80+D75+D79</f>
        <v>352842.54897</v>
      </c>
      <c r="E72" s="297">
        <f t="shared" si="0"/>
        <v>59.654985586300803</v>
      </c>
      <c r="F72" s="297">
        <f t="shared" si="1"/>
        <v>-238629.47219</v>
      </c>
      <c r="G72" s="94"/>
      <c r="H72" s="94"/>
    </row>
    <row r="73" spans="1:8" ht="21.75" customHeight="1">
      <c r="A73" s="16">
        <v>2021000000</v>
      </c>
      <c r="B73" s="260" t="s">
        <v>21</v>
      </c>
      <c r="C73" s="366">
        <v>12497.1</v>
      </c>
      <c r="D73" s="372">
        <v>6618.4</v>
      </c>
      <c r="E73" s="298">
        <f t="shared" si="0"/>
        <v>52.959486600891402</v>
      </c>
      <c r="F73" s="298">
        <f t="shared" si="1"/>
        <v>-5878.7000000000007</v>
      </c>
    </row>
    <row r="74" spans="1:8" ht="32.25" hidden="1" customHeight="1">
      <c r="A74" s="16">
        <v>2020100905</v>
      </c>
      <c r="B74" s="263" t="s">
        <v>276</v>
      </c>
      <c r="C74" s="366">
        <v>0</v>
      </c>
      <c r="D74" s="372">
        <v>0</v>
      </c>
      <c r="E74" s="298" t="e">
        <f t="shared" si="0"/>
        <v>#DIV/0!</v>
      </c>
      <c r="F74" s="298">
        <f t="shared" si="1"/>
        <v>0</v>
      </c>
    </row>
    <row r="75" spans="1:8" ht="21.75" customHeight="1">
      <c r="A75" s="16">
        <v>2020100310</v>
      </c>
      <c r="B75" s="260" t="s">
        <v>232</v>
      </c>
      <c r="C75" s="366">
        <v>17580</v>
      </c>
      <c r="D75" s="372">
        <v>11720</v>
      </c>
      <c r="E75" s="298">
        <f t="shared" si="0"/>
        <v>66.666666666666657</v>
      </c>
      <c r="F75" s="298">
        <f t="shared" si="1"/>
        <v>-5860</v>
      </c>
    </row>
    <row r="76" spans="1:8" ht="23.25">
      <c r="A76" s="16">
        <v>2022000000</v>
      </c>
      <c r="B76" s="260" t="s">
        <v>22</v>
      </c>
      <c r="C76" s="366">
        <v>211329.31232999999</v>
      </c>
      <c r="D76" s="365">
        <v>105125.73656</v>
      </c>
      <c r="E76" s="298">
        <f t="shared" si="0"/>
        <v>49.744985871075734</v>
      </c>
      <c r="F76" s="298">
        <f t="shared" si="1"/>
        <v>-106203.57576999998</v>
      </c>
    </row>
    <row r="77" spans="1:8" ht="23.25">
      <c r="A77" s="16">
        <v>2023000000</v>
      </c>
      <c r="B77" s="260" t="s">
        <v>23</v>
      </c>
      <c r="C77" s="366">
        <v>329567.17882999999</v>
      </c>
      <c r="D77" s="373">
        <v>216723.55282000001</v>
      </c>
      <c r="E77" s="298">
        <f t="shared" si="0"/>
        <v>65.760053409867041</v>
      </c>
      <c r="F77" s="298">
        <f t="shared" si="1"/>
        <v>-112843.62600999998</v>
      </c>
    </row>
    <row r="78" spans="1:8" ht="19.5" customHeight="1">
      <c r="A78" s="16">
        <v>2024000000</v>
      </c>
      <c r="B78" s="263" t="s">
        <v>24</v>
      </c>
      <c r="C78" s="366">
        <v>20502.650000000001</v>
      </c>
      <c r="D78" s="374">
        <v>12656.912</v>
      </c>
      <c r="E78" s="298">
        <f t="shared" si="0"/>
        <v>61.733054019846215</v>
      </c>
      <c r="F78" s="298">
        <f t="shared" si="1"/>
        <v>-7845.7380000000012</v>
      </c>
    </row>
    <row r="79" spans="1:8" ht="23.25">
      <c r="A79" s="16">
        <v>2180500005</v>
      </c>
      <c r="B79" s="263" t="s">
        <v>325</v>
      </c>
      <c r="C79" s="366">
        <v>0</v>
      </c>
      <c r="D79" s="374">
        <v>366.96924000000001</v>
      </c>
      <c r="E79" s="298" t="e">
        <f t="shared" si="0"/>
        <v>#DIV/0!</v>
      </c>
      <c r="F79" s="298">
        <f t="shared" si="1"/>
        <v>366.96924000000001</v>
      </c>
    </row>
    <row r="80" spans="1:8" ht="22.5" customHeight="1">
      <c r="A80" s="7">
        <v>2196001005</v>
      </c>
      <c r="B80" s="259" t="s">
        <v>26</v>
      </c>
      <c r="C80" s="365">
        <v>-4.22</v>
      </c>
      <c r="D80" s="365">
        <v>-369.02165000000002</v>
      </c>
      <c r="E80" s="298">
        <f t="shared" si="0"/>
        <v>8744.5888625592434</v>
      </c>
      <c r="F80" s="298">
        <f>SUM(D80-C80)</f>
        <v>-364.80165</v>
      </c>
    </row>
    <row r="81" spans="1:8" s="6" customFormat="1" ht="56.25" hidden="1">
      <c r="A81" s="3">
        <v>3000000000</v>
      </c>
      <c r="B81" s="258" t="s">
        <v>27</v>
      </c>
      <c r="C81" s="368">
        <v>0</v>
      </c>
      <c r="D81" s="375">
        <v>0</v>
      </c>
      <c r="E81" s="298" t="e">
        <f t="shared" si="0"/>
        <v>#DIV/0!</v>
      </c>
      <c r="F81" s="297">
        <f t="shared" si="1"/>
        <v>0</v>
      </c>
    </row>
    <row r="82" spans="1:8" s="6" customFormat="1" ht="22.5" customHeight="1">
      <c r="A82" s="3"/>
      <c r="B82" s="256" t="s">
        <v>28</v>
      </c>
      <c r="C82" s="376">
        <f>C71+C72</f>
        <v>744076.12115999998</v>
      </c>
      <c r="D82" s="376">
        <f>D71+D72</f>
        <v>450830.50647999998</v>
      </c>
      <c r="E82" s="298">
        <f>SUM(D82/C82*100)</f>
        <v>60.589299086384351</v>
      </c>
      <c r="F82" s="297">
        <f>SUM(D83-C82)</f>
        <v>-741482.51850999997</v>
      </c>
      <c r="G82" s="326"/>
      <c r="H82" s="94"/>
    </row>
    <row r="83" spans="1:8" s="6" customFormat="1" ht="22.5">
      <c r="A83" s="3"/>
      <c r="B83" s="265" t="s">
        <v>321</v>
      </c>
      <c r="C83" s="377">
        <f>C82-C142</f>
        <v>-9930.6300000000047</v>
      </c>
      <c r="D83" s="297">
        <f>D82-D142</f>
        <v>2593.6026500000153</v>
      </c>
      <c r="E83" s="299"/>
      <c r="F83" s="299"/>
      <c r="G83" s="94"/>
      <c r="H83" s="94"/>
    </row>
    <row r="84" spans="1:8" ht="23.25">
      <c r="A84" s="23"/>
      <c r="B84" s="24"/>
      <c r="C84" s="378"/>
      <c r="D84" s="378"/>
      <c r="E84" s="300"/>
      <c r="F84" s="300"/>
    </row>
    <row r="85" spans="1:8" ht="63">
      <c r="A85" s="28" t="s">
        <v>1</v>
      </c>
      <c r="B85" s="28" t="s">
        <v>29</v>
      </c>
      <c r="C85" s="301" t="s">
        <v>346</v>
      </c>
      <c r="D85" s="379" t="s">
        <v>414</v>
      </c>
      <c r="E85" s="301" t="s">
        <v>3</v>
      </c>
      <c r="F85" s="302" t="s">
        <v>4</v>
      </c>
    </row>
    <row r="86" spans="1:8" ht="22.5">
      <c r="A86" s="29">
        <v>1</v>
      </c>
      <c r="B86" s="28">
        <v>2</v>
      </c>
      <c r="C86" s="303">
        <v>3</v>
      </c>
      <c r="D86" s="303">
        <v>4</v>
      </c>
      <c r="E86" s="303">
        <v>5</v>
      </c>
      <c r="F86" s="303">
        <v>6</v>
      </c>
    </row>
    <row r="87" spans="1:8" s="6" customFormat="1" ht="22.5">
      <c r="A87" s="30" t="s">
        <v>30</v>
      </c>
      <c r="B87" s="266" t="s">
        <v>31</v>
      </c>
      <c r="C87" s="299">
        <f>SUM(C88:C94)</f>
        <v>38788.901119999995</v>
      </c>
      <c r="D87" s="299">
        <f>SUM(D88:D94)</f>
        <v>23272.675190000002</v>
      </c>
      <c r="E87" s="304">
        <f>SUM(D87/C87*100)</f>
        <v>59.998284349438165</v>
      </c>
      <c r="F87" s="304">
        <f>SUM(D87-C87)</f>
        <v>-15516.225929999993</v>
      </c>
    </row>
    <row r="88" spans="1:8" s="6" customFormat="1" ht="37.5">
      <c r="A88" s="35" t="s">
        <v>32</v>
      </c>
      <c r="B88" s="267" t="s">
        <v>33</v>
      </c>
      <c r="C88" s="380">
        <v>50</v>
      </c>
      <c r="D88" s="380">
        <v>6.7743000000000002</v>
      </c>
      <c r="E88" s="304">
        <f>SUM(D88/C88*100)</f>
        <v>13.5486</v>
      </c>
      <c r="F88" s="304">
        <f>SUM(D88-C88)</f>
        <v>-43.225700000000003</v>
      </c>
    </row>
    <row r="89" spans="1:8" ht="21.75" customHeight="1">
      <c r="A89" s="35" t="s">
        <v>34</v>
      </c>
      <c r="B89" s="268" t="s">
        <v>35</v>
      </c>
      <c r="C89" s="380">
        <v>22153.892</v>
      </c>
      <c r="D89" s="380">
        <v>14133.732480000001</v>
      </c>
      <c r="E89" s="305">
        <f t="shared" ref="E89:E142" si="3">SUM(D89/C89*100)</f>
        <v>63.797965973653746</v>
      </c>
      <c r="F89" s="305">
        <f t="shared" ref="F89:F142" si="4">SUM(D89-C89)</f>
        <v>-8020.1595199999992</v>
      </c>
    </row>
    <row r="90" spans="1:8" ht="19.5" customHeight="1">
      <c r="A90" s="35" t="s">
        <v>36</v>
      </c>
      <c r="B90" s="268" t="s">
        <v>37</v>
      </c>
      <c r="C90" s="380">
        <v>126.8</v>
      </c>
      <c r="D90" s="380">
        <v>0</v>
      </c>
      <c r="E90" s="305">
        <f t="shared" si="3"/>
        <v>0</v>
      </c>
      <c r="F90" s="305">
        <f t="shared" si="4"/>
        <v>-126.8</v>
      </c>
    </row>
    <row r="91" spans="1:8" ht="38.25" customHeight="1">
      <c r="A91" s="35" t="s">
        <v>38</v>
      </c>
      <c r="B91" s="268" t="s">
        <v>39</v>
      </c>
      <c r="C91" s="381">
        <v>5346.16</v>
      </c>
      <c r="D91" s="381">
        <v>3509.20183</v>
      </c>
      <c r="E91" s="305">
        <f t="shared" si="3"/>
        <v>65.63967090397594</v>
      </c>
      <c r="F91" s="305">
        <f t="shared" si="4"/>
        <v>-1836.9581699999999</v>
      </c>
    </row>
    <row r="92" spans="1:8" ht="18.75" customHeight="1">
      <c r="A92" s="35" t="s">
        <v>40</v>
      </c>
      <c r="B92" s="268" t="s">
        <v>41</v>
      </c>
      <c r="C92" s="380">
        <v>90.55</v>
      </c>
      <c r="D92" s="380">
        <v>5</v>
      </c>
      <c r="E92" s="305">
        <f t="shared" si="3"/>
        <v>5.5218111540585308</v>
      </c>
      <c r="F92" s="305">
        <f t="shared" si="4"/>
        <v>-85.55</v>
      </c>
    </row>
    <row r="93" spans="1:8" ht="24.75" customHeight="1">
      <c r="A93" s="35" t="s">
        <v>42</v>
      </c>
      <c r="B93" s="268" t="s">
        <v>43</v>
      </c>
      <c r="C93" s="381">
        <v>490.29899999999998</v>
      </c>
      <c r="D93" s="381">
        <v>0</v>
      </c>
      <c r="E93" s="305">
        <f t="shared" si="3"/>
        <v>0</v>
      </c>
      <c r="F93" s="305">
        <f t="shared" si="4"/>
        <v>-490.29899999999998</v>
      </c>
    </row>
    <row r="94" spans="1:8" ht="24" customHeight="1">
      <c r="A94" s="35" t="s">
        <v>44</v>
      </c>
      <c r="B94" s="268" t="s">
        <v>45</v>
      </c>
      <c r="C94" s="380">
        <v>10531.20012</v>
      </c>
      <c r="D94" s="380">
        <v>5617.9665800000002</v>
      </c>
      <c r="E94" s="305">
        <f t="shared" si="3"/>
        <v>53.345929390619162</v>
      </c>
      <c r="F94" s="305">
        <f t="shared" si="4"/>
        <v>-4913.2335399999993</v>
      </c>
    </row>
    <row r="95" spans="1:8" s="6" customFormat="1" ht="22.5">
      <c r="A95" s="41" t="s">
        <v>46</v>
      </c>
      <c r="B95" s="269" t="s">
        <v>47</v>
      </c>
      <c r="C95" s="299">
        <f>C96</f>
        <v>1781.5</v>
      </c>
      <c r="D95" s="299">
        <f>D96</f>
        <v>1481.77</v>
      </c>
      <c r="E95" s="304">
        <f t="shared" si="3"/>
        <v>83.175413976985695</v>
      </c>
      <c r="F95" s="304">
        <f t="shared" si="4"/>
        <v>-299.73</v>
      </c>
    </row>
    <row r="96" spans="1:8" ht="23.25">
      <c r="A96" s="43" t="s">
        <v>48</v>
      </c>
      <c r="B96" s="270" t="s">
        <v>49</v>
      </c>
      <c r="C96" s="380">
        <v>1781.5</v>
      </c>
      <c r="D96" s="380">
        <v>1481.77</v>
      </c>
      <c r="E96" s="305">
        <f t="shared" si="3"/>
        <v>83.175413976985695</v>
      </c>
      <c r="F96" s="305">
        <f t="shared" si="4"/>
        <v>-299.73</v>
      </c>
    </row>
    <row r="97" spans="1:7" s="6" customFormat="1" ht="21" customHeight="1">
      <c r="A97" s="30" t="s">
        <v>50</v>
      </c>
      <c r="B97" s="266" t="s">
        <v>51</v>
      </c>
      <c r="C97" s="299">
        <f>SUM(C99:C102)</f>
        <v>4702.1330000000007</v>
      </c>
      <c r="D97" s="299">
        <f>SUM(D99:D101)</f>
        <v>2989.4277200000001</v>
      </c>
      <c r="E97" s="304">
        <f t="shared" si="3"/>
        <v>63.575992427266513</v>
      </c>
      <c r="F97" s="304">
        <f t="shared" si="4"/>
        <v>-1712.7052800000006</v>
      </c>
    </row>
    <row r="98" spans="1:7" ht="23.25" hidden="1">
      <c r="A98" s="35" t="s">
        <v>52</v>
      </c>
      <c r="B98" s="268" t="s">
        <v>53</v>
      </c>
      <c r="C98" s="380"/>
      <c r="D98" s="380"/>
      <c r="E98" s="305" t="e">
        <f t="shared" si="3"/>
        <v>#DIV/0!</v>
      </c>
      <c r="F98" s="305">
        <f t="shared" si="4"/>
        <v>0</v>
      </c>
    </row>
    <row r="99" spans="1:7" ht="23.25">
      <c r="A99" s="45" t="s">
        <v>54</v>
      </c>
      <c r="B99" s="268" t="s">
        <v>327</v>
      </c>
      <c r="C99" s="380">
        <v>1582.6</v>
      </c>
      <c r="D99" s="380">
        <v>941.09313999999995</v>
      </c>
      <c r="E99" s="305">
        <f t="shared" si="3"/>
        <v>59.46500315935802</v>
      </c>
      <c r="F99" s="305">
        <f t="shared" si="4"/>
        <v>-641.50685999999996</v>
      </c>
    </row>
    <row r="100" spans="1:7" ht="36.75" customHeight="1">
      <c r="A100" s="46" t="s">
        <v>56</v>
      </c>
      <c r="B100" s="271" t="s">
        <v>57</v>
      </c>
      <c r="C100" s="380">
        <v>3025.4830000000002</v>
      </c>
      <c r="D100" s="380">
        <v>2048.3345800000002</v>
      </c>
      <c r="E100" s="305">
        <f t="shared" si="3"/>
        <v>67.702729779013808</v>
      </c>
      <c r="F100" s="305">
        <f t="shared" si="4"/>
        <v>-977.14841999999999</v>
      </c>
    </row>
    <row r="101" spans="1:7" ht="21" customHeight="1">
      <c r="A101" s="46" t="s">
        <v>219</v>
      </c>
      <c r="B101" s="271" t="s">
        <v>220</v>
      </c>
      <c r="C101" s="380">
        <v>0</v>
      </c>
      <c r="D101" s="380">
        <v>0</v>
      </c>
      <c r="E101" s="305" t="e">
        <f t="shared" si="3"/>
        <v>#DIV/0!</v>
      </c>
      <c r="F101" s="305">
        <f t="shared" si="4"/>
        <v>0</v>
      </c>
    </row>
    <row r="102" spans="1:7" ht="34.5" customHeight="1">
      <c r="A102" s="46" t="s">
        <v>360</v>
      </c>
      <c r="B102" s="271" t="s">
        <v>361</v>
      </c>
      <c r="C102" s="382">
        <v>94.05</v>
      </c>
      <c r="D102" s="380">
        <v>0</v>
      </c>
      <c r="E102" s="305">
        <f t="shared" si="3"/>
        <v>0</v>
      </c>
      <c r="F102" s="305">
        <f t="shared" si="4"/>
        <v>-94.05</v>
      </c>
    </row>
    <row r="103" spans="1:7" s="6" customFormat="1" ht="25.5" customHeight="1">
      <c r="A103" s="30" t="s">
        <v>58</v>
      </c>
      <c r="B103" s="266" t="s">
        <v>59</v>
      </c>
      <c r="C103" s="383">
        <f>SUM(C105:C107)</f>
        <v>163466.815</v>
      </c>
      <c r="D103" s="383">
        <f>SUM(D105:D107)</f>
        <v>95876.811900000001</v>
      </c>
      <c r="E103" s="304">
        <f t="shared" si="3"/>
        <v>58.652156341334482</v>
      </c>
      <c r="F103" s="304">
        <f t="shared" si="4"/>
        <v>-67590.003100000002</v>
      </c>
    </row>
    <row r="104" spans="1:7" ht="0.75" hidden="1" customHeight="1">
      <c r="A104" s="35" t="s">
        <v>60</v>
      </c>
      <c r="B104" s="268" t="s">
        <v>61</v>
      </c>
      <c r="C104" s="384">
        <v>0</v>
      </c>
      <c r="D104" s="380">
        <v>0</v>
      </c>
      <c r="E104" s="305" t="e">
        <f t="shared" si="3"/>
        <v>#DIV/0!</v>
      </c>
      <c r="F104" s="305">
        <f t="shared" si="4"/>
        <v>0</v>
      </c>
    </row>
    <row r="105" spans="1:7" s="6" customFormat="1" ht="20.25" customHeight="1">
      <c r="A105" s="35" t="s">
        <v>60</v>
      </c>
      <c r="B105" s="268" t="s">
        <v>324</v>
      </c>
      <c r="C105" s="384">
        <v>112.1</v>
      </c>
      <c r="D105" s="380">
        <v>34.670999999999999</v>
      </c>
      <c r="E105" s="305">
        <f t="shared" si="3"/>
        <v>30.928635147190008</v>
      </c>
      <c r="F105" s="305">
        <f t="shared" si="4"/>
        <v>-77.429000000000002</v>
      </c>
      <c r="G105" s="50"/>
    </row>
    <row r="106" spans="1:7" ht="26.25" customHeight="1">
      <c r="A106" s="35" t="s">
        <v>64</v>
      </c>
      <c r="B106" s="268" t="s">
        <v>65</v>
      </c>
      <c r="C106" s="384">
        <v>162254.399</v>
      </c>
      <c r="D106" s="380">
        <v>94854.405700000003</v>
      </c>
      <c r="E106" s="305">
        <f t="shared" si="3"/>
        <v>58.460298324484874</v>
      </c>
      <c r="F106" s="305">
        <f t="shared" si="4"/>
        <v>-67399.993300000002</v>
      </c>
    </row>
    <row r="107" spans="1:7" ht="38.25">
      <c r="A107" s="35" t="s">
        <v>66</v>
      </c>
      <c r="B107" s="268" t="s">
        <v>67</v>
      </c>
      <c r="C107" s="384">
        <v>1100.316</v>
      </c>
      <c r="D107" s="380">
        <v>987.73519999999996</v>
      </c>
      <c r="E107" s="305">
        <f t="shared" si="3"/>
        <v>89.768321100483845</v>
      </c>
      <c r="F107" s="305">
        <f t="shared" si="4"/>
        <v>-112.58080000000007</v>
      </c>
    </row>
    <row r="108" spans="1:7" s="6" customFormat="1" ht="37.5">
      <c r="A108" s="30" t="s">
        <v>68</v>
      </c>
      <c r="B108" s="266" t="s">
        <v>69</v>
      </c>
      <c r="C108" s="299">
        <f>SUM(C109:C111)</f>
        <v>9561.2921499999993</v>
      </c>
      <c r="D108" s="299">
        <f>SUM(D109:D111)</f>
        <v>293.70533999999998</v>
      </c>
      <c r="E108" s="304">
        <f t="shared" si="3"/>
        <v>3.071816396699059</v>
      </c>
      <c r="F108" s="304">
        <f t="shared" si="4"/>
        <v>-9267.5868099999989</v>
      </c>
    </row>
    <row r="109" spans="1:7" ht="23.25">
      <c r="A109" s="35" t="s">
        <v>70</v>
      </c>
      <c r="B109" s="272" t="s">
        <v>71</v>
      </c>
      <c r="C109" s="380">
        <v>1577.10176</v>
      </c>
      <c r="D109" s="380">
        <v>291.20533999999998</v>
      </c>
      <c r="E109" s="305">
        <f t="shared" si="3"/>
        <v>18.464587852593606</v>
      </c>
      <c r="F109" s="305">
        <f t="shared" si="4"/>
        <v>-1285.89642</v>
      </c>
    </row>
    <row r="110" spans="1:7" ht="23.25" customHeight="1">
      <c r="A110" s="35" t="s">
        <v>72</v>
      </c>
      <c r="B110" s="272" t="s">
        <v>73</v>
      </c>
      <c r="C110" s="380">
        <v>7984.1903899999998</v>
      </c>
      <c r="D110" s="380">
        <v>2.5</v>
      </c>
      <c r="E110" s="305">
        <f t="shared" si="3"/>
        <v>3.1311878573576951E-2</v>
      </c>
      <c r="F110" s="305">
        <f t="shared" si="4"/>
        <v>-7981.6903899999998</v>
      </c>
    </row>
    <row r="111" spans="1:7" ht="19.5" customHeight="1">
      <c r="A111" s="35" t="s">
        <v>74</v>
      </c>
      <c r="B111" s="268" t="s">
        <v>75</v>
      </c>
      <c r="C111" s="380">
        <v>0</v>
      </c>
      <c r="D111" s="380">
        <v>0</v>
      </c>
      <c r="E111" s="305" t="e">
        <f t="shared" si="3"/>
        <v>#DIV/0!</v>
      </c>
      <c r="F111" s="305">
        <f t="shared" si="4"/>
        <v>0</v>
      </c>
    </row>
    <row r="112" spans="1:7" s="6" customFormat="1" ht="22.5">
      <c r="A112" s="30" t="s">
        <v>76</v>
      </c>
      <c r="B112" s="273" t="s">
        <v>77</v>
      </c>
      <c r="C112" s="383">
        <f>SUM(C113)</f>
        <v>51</v>
      </c>
      <c r="D112" s="383">
        <f>SUM(D113)</f>
        <v>51</v>
      </c>
      <c r="E112" s="304">
        <f t="shared" si="3"/>
        <v>100</v>
      </c>
      <c r="F112" s="304">
        <f t="shared" si="4"/>
        <v>0</v>
      </c>
    </row>
    <row r="113" spans="1:7" ht="38.25">
      <c r="A113" s="35" t="s">
        <v>78</v>
      </c>
      <c r="B113" s="272" t="s">
        <v>79</v>
      </c>
      <c r="C113" s="305">
        <v>51</v>
      </c>
      <c r="D113" s="381">
        <v>51</v>
      </c>
      <c r="E113" s="305">
        <f t="shared" si="3"/>
        <v>100</v>
      </c>
      <c r="F113" s="305">
        <f t="shared" si="4"/>
        <v>0</v>
      </c>
    </row>
    <row r="114" spans="1:7" s="6" customFormat="1" ht="22.5">
      <c r="A114" s="30" t="s">
        <v>80</v>
      </c>
      <c r="B114" s="273" t="s">
        <v>81</v>
      </c>
      <c r="C114" s="383">
        <f>SUM(C115:C119)</f>
        <v>414679.25238999998</v>
      </c>
      <c r="D114" s="383">
        <f>D115+D116+D118+D119+D117</f>
        <v>256639.08021999997</v>
      </c>
      <c r="E114" s="304">
        <f t="shared" si="3"/>
        <v>61.888575022951606</v>
      </c>
      <c r="F114" s="304">
        <f t="shared" si="4"/>
        <v>-158040.17217000001</v>
      </c>
    </row>
    <row r="115" spans="1:7" ht="23.25">
      <c r="A115" s="35" t="s">
        <v>82</v>
      </c>
      <c r="B115" s="272" t="s">
        <v>258</v>
      </c>
      <c r="C115" s="384">
        <v>94366.231979999997</v>
      </c>
      <c r="D115" s="380">
        <v>59290.944159999999</v>
      </c>
      <c r="E115" s="305">
        <f t="shared" si="3"/>
        <v>62.830678851907685</v>
      </c>
      <c r="F115" s="305">
        <f t="shared" si="4"/>
        <v>-35075.287819999998</v>
      </c>
    </row>
    <row r="116" spans="1:7" ht="23.25">
      <c r="A116" s="35" t="s">
        <v>83</v>
      </c>
      <c r="B116" s="272" t="s">
        <v>259</v>
      </c>
      <c r="C116" s="384">
        <v>288396.30241</v>
      </c>
      <c r="D116" s="380">
        <v>176006.05437999999</v>
      </c>
      <c r="E116" s="305">
        <f t="shared" si="3"/>
        <v>61.029234046759775</v>
      </c>
      <c r="F116" s="305">
        <f t="shared" si="4"/>
        <v>-112390.24803000002</v>
      </c>
    </row>
    <row r="117" spans="1:7" ht="23.25">
      <c r="A117" s="35" t="s">
        <v>335</v>
      </c>
      <c r="B117" s="272" t="s">
        <v>336</v>
      </c>
      <c r="C117" s="384">
        <v>18536.2</v>
      </c>
      <c r="D117" s="380">
        <v>11374.884</v>
      </c>
      <c r="E117" s="305">
        <f t="shared" si="3"/>
        <v>61.365781551774369</v>
      </c>
      <c r="F117" s="305">
        <f t="shared" si="4"/>
        <v>-7161.3160000000007</v>
      </c>
    </row>
    <row r="118" spans="1:7" ht="23.25">
      <c r="A118" s="35" t="s">
        <v>84</v>
      </c>
      <c r="B118" s="272" t="s">
        <v>260</v>
      </c>
      <c r="C118" s="384">
        <v>5226.518</v>
      </c>
      <c r="D118" s="380">
        <v>4751.2239200000004</v>
      </c>
      <c r="E118" s="305">
        <f t="shared" si="3"/>
        <v>90.906104599658903</v>
      </c>
      <c r="F118" s="305">
        <f t="shared" si="4"/>
        <v>-475.29407999999967</v>
      </c>
    </row>
    <row r="119" spans="1:7" ht="23.25">
      <c r="A119" s="35" t="s">
        <v>85</v>
      </c>
      <c r="B119" s="272" t="s">
        <v>261</v>
      </c>
      <c r="C119" s="384">
        <v>8154</v>
      </c>
      <c r="D119" s="380">
        <v>5215.9737599999999</v>
      </c>
      <c r="E119" s="305">
        <f t="shared" si="3"/>
        <v>63.968282560706399</v>
      </c>
      <c r="F119" s="305">
        <f t="shared" si="4"/>
        <v>-2938.0262400000001</v>
      </c>
    </row>
    <row r="120" spans="1:7" s="6" customFormat="1" ht="22.5">
      <c r="A120" s="30" t="s">
        <v>86</v>
      </c>
      <c r="B120" s="266" t="s">
        <v>87</v>
      </c>
      <c r="C120" s="299">
        <f>SUM(C121:C122)</f>
        <v>48880.600429999999</v>
      </c>
      <c r="D120" s="299">
        <f>SUM(D121:D122)</f>
        <v>29104.85526</v>
      </c>
      <c r="E120" s="304">
        <f t="shared" si="3"/>
        <v>59.542753165808449</v>
      </c>
      <c r="F120" s="304">
        <f t="shared" si="4"/>
        <v>-19775.745169999998</v>
      </c>
    </row>
    <row r="121" spans="1:7" ht="23.25">
      <c r="A121" s="35" t="s">
        <v>88</v>
      </c>
      <c r="B121" s="268" t="s">
        <v>234</v>
      </c>
      <c r="C121" s="380">
        <v>47800.600429999999</v>
      </c>
      <c r="D121" s="380">
        <v>28338.831819999999</v>
      </c>
      <c r="E121" s="305">
        <f t="shared" si="3"/>
        <v>59.285514334699329</v>
      </c>
      <c r="F121" s="305">
        <f t="shared" si="4"/>
        <v>-19461.768609999999</v>
      </c>
    </row>
    <row r="122" spans="1:7" ht="38.25">
      <c r="A122" s="35" t="s">
        <v>273</v>
      </c>
      <c r="B122" s="268" t="s">
        <v>274</v>
      </c>
      <c r="C122" s="380">
        <v>1080</v>
      </c>
      <c r="D122" s="380">
        <v>766.02344000000005</v>
      </c>
      <c r="E122" s="305">
        <f t="shared" si="3"/>
        <v>70.928096296296303</v>
      </c>
      <c r="F122" s="305">
        <f t="shared" si="4"/>
        <v>-313.97655999999995</v>
      </c>
    </row>
    <row r="123" spans="1:7" s="6" customFormat="1" ht="22.5">
      <c r="A123" s="52">
        <v>1000</v>
      </c>
      <c r="B123" s="266" t="s">
        <v>89</v>
      </c>
      <c r="C123" s="299">
        <f>SUM(C124:C127)</f>
        <v>31600.215459999996</v>
      </c>
      <c r="D123" s="385">
        <f>D124+D125+D126+D127</f>
        <v>10896.3483</v>
      </c>
      <c r="E123" s="304">
        <f t="shared" si="3"/>
        <v>34.481879763740068</v>
      </c>
      <c r="F123" s="304">
        <f t="shared" si="4"/>
        <v>-20703.867159999994</v>
      </c>
      <c r="G123" s="94"/>
    </row>
    <row r="124" spans="1:7" ht="23.25">
      <c r="A124" s="53">
        <v>1001</v>
      </c>
      <c r="B124" s="274" t="s">
        <v>90</v>
      </c>
      <c r="C124" s="380">
        <v>20</v>
      </c>
      <c r="D124" s="380">
        <v>19.967669999999998</v>
      </c>
      <c r="E124" s="305">
        <f t="shared" si="3"/>
        <v>99.838349999999991</v>
      </c>
      <c r="F124" s="305">
        <f t="shared" si="4"/>
        <v>-3.2330000000001746E-2</v>
      </c>
    </row>
    <row r="125" spans="1:7" ht="23.25">
      <c r="A125" s="53">
        <v>1003</v>
      </c>
      <c r="B125" s="274" t="s">
        <v>91</v>
      </c>
      <c r="C125" s="380">
        <v>26410.543389999999</v>
      </c>
      <c r="D125" s="380">
        <v>9339.2626199999995</v>
      </c>
      <c r="E125" s="305">
        <f t="shared" si="3"/>
        <v>35.361872272329649</v>
      </c>
      <c r="F125" s="305">
        <f t="shared" si="4"/>
        <v>-17071.280769999998</v>
      </c>
    </row>
    <row r="126" spans="1:7" ht="23.25">
      <c r="A126" s="53">
        <v>1004</v>
      </c>
      <c r="B126" s="274" t="s">
        <v>92</v>
      </c>
      <c r="C126" s="380">
        <v>4817.8770699999995</v>
      </c>
      <c r="D126" s="386">
        <v>1458.0827999999999</v>
      </c>
      <c r="E126" s="305">
        <f t="shared" si="3"/>
        <v>30.264010036271017</v>
      </c>
      <c r="F126" s="305">
        <f t="shared" si="4"/>
        <v>-3359.7942699999994</v>
      </c>
    </row>
    <row r="127" spans="1:7" ht="24.75" customHeight="1">
      <c r="A127" s="35" t="s">
        <v>93</v>
      </c>
      <c r="B127" s="268" t="s">
        <v>94</v>
      </c>
      <c r="C127" s="380">
        <v>351.79500000000002</v>
      </c>
      <c r="D127" s="380">
        <v>79.035210000000006</v>
      </c>
      <c r="E127" s="305">
        <f t="shared" si="3"/>
        <v>22.466268707628025</v>
      </c>
      <c r="F127" s="305">
        <f t="shared" si="4"/>
        <v>-272.75979000000001</v>
      </c>
    </row>
    <row r="128" spans="1:7" ht="23.25">
      <c r="A128" s="30" t="s">
        <v>95</v>
      </c>
      <c r="B128" s="266" t="s">
        <v>96</v>
      </c>
      <c r="C128" s="299">
        <f>C129+C130</f>
        <v>5760.3426099999997</v>
      </c>
      <c r="D128" s="299">
        <f>D129+D130</f>
        <v>4063.3499000000002</v>
      </c>
      <c r="E128" s="305">
        <f t="shared" si="3"/>
        <v>70.540073309979746</v>
      </c>
      <c r="F128" s="299">
        <f>F129+F130+F131+F132+F133</f>
        <v>-1696.9927099999998</v>
      </c>
    </row>
    <row r="129" spans="1:7" ht="23.25">
      <c r="A129" s="35" t="s">
        <v>97</v>
      </c>
      <c r="B129" s="268" t="s">
        <v>98</v>
      </c>
      <c r="C129" s="380">
        <v>400</v>
      </c>
      <c r="D129" s="380">
        <v>210.86789999999999</v>
      </c>
      <c r="E129" s="305">
        <f t="shared" si="3"/>
        <v>52.716974999999998</v>
      </c>
      <c r="F129" s="305">
        <f t="shared" ref="F129:F137" si="5">SUM(D129-C129)</f>
        <v>-189.13210000000001</v>
      </c>
    </row>
    <row r="130" spans="1:7" ht="20.25" customHeight="1">
      <c r="A130" s="35" t="s">
        <v>99</v>
      </c>
      <c r="B130" s="268" t="s">
        <v>100</v>
      </c>
      <c r="C130" s="380">
        <v>5360.3426099999997</v>
      </c>
      <c r="D130" s="380">
        <v>3852.482</v>
      </c>
      <c r="E130" s="305">
        <f t="shared" si="3"/>
        <v>71.870070260303748</v>
      </c>
      <c r="F130" s="305">
        <f t="shared" si="5"/>
        <v>-1507.8606099999997</v>
      </c>
    </row>
    <row r="131" spans="1:7" ht="15.75" hidden="1" customHeight="1">
      <c r="A131" s="35" t="s">
        <v>101</v>
      </c>
      <c r="B131" s="268" t="s">
        <v>102</v>
      </c>
      <c r="C131" s="380">
        <f>SUM(C121:C122)</f>
        <v>48880.600429999999</v>
      </c>
      <c r="D131" s="380"/>
      <c r="E131" s="305">
        <f t="shared" si="3"/>
        <v>0</v>
      </c>
      <c r="F131" s="305"/>
    </row>
    <row r="132" spans="1:7" ht="15.75" hidden="1" customHeight="1">
      <c r="A132" s="35" t="s">
        <v>103</v>
      </c>
      <c r="B132" s="268" t="s">
        <v>104</v>
      </c>
      <c r="C132" s="380"/>
      <c r="D132" s="380"/>
      <c r="E132" s="305" t="e">
        <f t="shared" si="3"/>
        <v>#DIV/0!</v>
      </c>
      <c r="F132" s="305"/>
    </row>
    <row r="133" spans="1:7" ht="15.75" hidden="1" customHeight="1">
      <c r="A133" s="35" t="s">
        <v>105</v>
      </c>
      <c r="B133" s="268" t="s">
        <v>106</v>
      </c>
      <c r="C133" s="380"/>
      <c r="D133" s="380"/>
      <c r="E133" s="305" t="e">
        <f t="shared" si="3"/>
        <v>#DIV/0!</v>
      </c>
      <c r="F133" s="305"/>
    </row>
    <row r="134" spans="1:7" ht="20.25" customHeight="1">
      <c r="A134" s="30" t="s">
        <v>107</v>
      </c>
      <c r="B134" s="266" t="s">
        <v>108</v>
      </c>
      <c r="C134" s="299">
        <f>C135</f>
        <v>80</v>
      </c>
      <c r="D134" s="387">
        <f>D135</f>
        <v>0.65</v>
      </c>
      <c r="E134" s="305">
        <f>SUM(D134/C134*100)</f>
        <v>0.8125</v>
      </c>
      <c r="F134" s="305">
        <f t="shared" si="5"/>
        <v>-79.349999999999994</v>
      </c>
    </row>
    <row r="135" spans="1:7" ht="22.5" customHeight="1">
      <c r="A135" s="35" t="s">
        <v>109</v>
      </c>
      <c r="B135" s="268" t="s">
        <v>110</v>
      </c>
      <c r="C135" s="380">
        <v>80</v>
      </c>
      <c r="D135" s="380">
        <v>0.65</v>
      </c>
      <c r="E135" s="305">
        <f t="shared" si="3"/>
        <v>0.8125</v>
      </c>
      <c r="F135" s="305">
        <f t="shared" si="5"/>
        <v>-79.349999999999994</v>
      </c>
    </row>
    <row r="136" spans="1:7" ht="19.5" hidden="1" customHeight="1">
      <c r="A136" s="30" t="s">
        <v>111</v>
      </c>
      <c r="B136" s="269" t="s">
        <v>112</v>
      </c>
      <c r="C136" s="388">
        <f>C137</f>
        <v>0</v>
      </c>
      <c r="D136" s="388">
        <v>0</v>
      </c>
      <c r="E136" s="305" t="e">
        <f t="shared" si="3"/>
        <v>#DIV/0!</v>
      </c>
      <c r="F136" s="304">
        <f t="shared" si="5"/>
        <v>0</v>
      </c>
    </row>
    <row r="137" spans="1:7" ht="37.5" hidden="1" customHeight="1">
      <c r="A137" s="35" t="s">
        <v>113</v>
      </c>
      <c r="B137" s="270" t="s">
        <v>114</v>
      </c>
      <c r="C137" s="381">
        <v>0</v>
      </c>
      <c r="D137" s="381">
        <v>0</v>
      </c>
      <c r="E137" s="304"/>
      <c r="F137" s="305">
        <f t="shared" si="5"/>
        <v>0</v>
      </c>
    </row>
    <row r="138" spans="1:7" s="6" customFormat="1" ht="19.5" customHeight="1">
      <c r="A138" s="52">
        <v>1400</v>
      </c>
      <c r="B138" s="275" t="s">
        <v>115</v>
      </c>
      <c r="C138" s="383">
        <f>C139+C140+C141</f>
        <v>34654.699000000001</v>
      </c>
      <c r="D138" s="383">
        <f>D139+D140+D141</f>
        <v>23567.23</v>
      </c>
      <c r="E138" s="304">
        <f t="shared" si="3"/>
        <v>68.005871296126386</v>
      </c>
      <c r="F138" s="304">
        <f t="shared" si="4"/>
        <v>-11087.469000000001</v>
      </c>
    </row>
    <row r="139" spans="1:7" ht="40.5" customHeight="1">
      <c r="A139" s="53">
        <v>1401</v>
      </c>
      <c r="B139" s="274" t="s">
        <v>116</v>
      </c>
      <c r="C139" s="384">
        <v>28169.9</v>
      </c>
      <c r="D139" s="380">
        <v>21225.200000000001</v>
      </c>
      <c r="E139" s="305">
        <f t="shared" si="3"/>
        <v>75.347090334008996</v>
      </c>
      <c r="F139" s="305">
        <f t="shared" si="4"/>
        <v>-6944.7000000000007</v>
      </c>
    </row>
    <row r="140" spans="1:7" ht="24.75" customHeight="1">
      <c r="A140" s="53">
        <v>1402</v>
      </c>
      <c r="B140" s="274" t="s">
        <v>117</v>
      </c>
      <c r="C140" s="384">
        <v>5528.299</v>
      </c>
      <c r="D140" s="380">
        <v>1931.5</v>
      </c>
      <c r="E140" s="305">
        <f t="shared" si="3"/>
        <v>34.938414148728206</v>
      </c>
      <c r="F140" s="305">
        <f t="shared" si="4"/>
        <v>-3596.799</v>
      </c>
    </row>
    <row r="141" spans="1:7" ht="27" customHeight="1">
      <c r="A141" s="53">
        <v>1403</v>
      </c>
      <c r="B141" s="274" t="s">
        <v>118</v>
      </c>
      <c r="C141" s="384">
        <v>956.5</v>
      </c>
      <c r="D141" s="380">
        <v>410.53</v>
      </c>
      <c r="E141" s="305">
        <f t="shared" si="3"/>
        <v>42.920020909566126</v>
      </c>
      <c r="F141" s="305">
        <f t="shared" si="4"/>
        <v>-545.97</v>
      </c>
    </row>
    <row r="142" spans="1:7" s="6" customFormat="1" ht="22.5">
      <c r="A142" s="52"/>
      <c r="B142" s="276" t="s">
        <v>119</v>
      </c>
      <c r="C142" s="376">
        <f>C87+C95+C97+C103+C108+C112+C114+C120+C123+C128+C134+C136+C138</f>
        <v>754006.75115999999</v>
      </c>
      <c r="D142" s="376">
        <f>D87+D95+D97+D103+D108+D112+D114+D120+D123+D128+D134+D136+D138</f>
        <v>448236.90382999997</v>
      </c>
      <c r="E142" s="304">
        <f t="shared" si="3"/>
        <v>59.447332950323187</v>
      </c>
      <c r="F142" s="304">
        <f t="shared" si="4"/>
        <v>-305769.84733000002</v>
      </c>
      <c r="G142" s="94"/>
    </row>
    <row r="143" spans="1:7">
      <c r="C143" s="389"/>
      <c r="D143" s="390"/>
    </row>
    <row r="144" spans="1:7" s="65" customFormat="1" ht="12.75">
      <c r="A144" s="63" t="s">
        <v>120</v>
      </c>
      <c r="B144" s="63"/>
      <c r="C144" s="134"/>
      <c r="D144" s="134"/>
    </row>
    <row r="145" spans="1:4" s="65" customFormat="1" ht="12.75">
      <c r="A145" s="66" t="s">
        <v>121</v>
      </c>
      <c r="B145" s="66"/>
      <c r="C145" s="134" t="s">
        <v>122</v>
      </c>
      <c r="D145" s="134"/>
    </row>
  </sheetData>
  <customSheetViews>
    <customSheetView guid="{A54C432C-6C68-4B53-A75C-446EB3A61B2B}" scale="60" showPageBreaks="1" hiddenRows="1" view="pageBreakPreview" topLeftCell="A103">
      <selection activeCell="C71" sqref="C71:D72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"/>
      <headerFooter alignWithMargins="0"/>
    </customSheetView>
    <customSheetView guid="{B30CE22D-C12F-4E12-8BB9-3AAE0A6991CC}" scale="60" showPageBreaks="1" hiddenRows="1" view="pageBreakPreview">
      <selection activeCell="A3" sqref="A3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2"/>
      <headerFooter alignWithMargins="0"/>
    </customSheetView>
    <customSheetView guid="{5BFCA170-DEAE-4D2C-98A0-1E68B427AC01}" scale="67" showPageBreaks="1" hiddenRows="1" view="pageBreakPreview" topLeftCell="A121">
      <selection activeCell="D86" sqref="D86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3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4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5"/>
      <headerFooter alignWithMargins="0"/>
    </customSheetView>
  </customSheetViews>
  <mergeCells count="2">
    <mergeCell ref="A1:F1"/>
    <mergeCell ref="A2:F2"/>
  </mergeCells>
  <phoneticPr fontId="0" type="noConversion"/>
  <pageMargins left="0.59055118110236227" right="0.55118110236220474" top="0.15748031496062992" bottom="0.15748031496062992" header="0.15748031496062992" footer="0.27559055118110237"/>
  <pageSetup paperSize="9" scale="39" orientation="portrait" r:id="rId6"/>
  <headerFooter alignWithMargins="0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141"/>
  <sheetViews>
    <sheetView view="pageBreakPreview" topLeftCell="A54" zoomScale="70" zoomScaleNormal="100" zoomScaleSheetLayoutView="70" workbookViewId="0">
      <selection activeCell="C93" sqref="C93:D93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436" t="s">
        <v>416</v>
      </c>
      <c r="B1" s="436"/>
      <c r="C1" s="436"/>
      <c r="D1" s="436"/>
      <c r="E1" s="436"/>
      <c r="F1" s="436"/>
    </row>
    <row r="2" spans="1:6">
      <c r="A2" s="436"/>
      <c r="B2" s="436"/>
      <c r="C2" s="436"/>
      <c r="D2" s="436"/>
      <c r="E2" s="436"/>
      <c r="F2" s="43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C5+C7+C12+C14+C17+C20</f>
        <v>536.89</v>
      </c>
      <c r="D4" s="5">
        <f>D5+D12+D14+D17+D20+D7</f>
        <v>300.65947000000006</v>
      </c>
      <c r="E4" s="5">
        <f>SUM(D4/C4*100)</f>
        <v>56.000199295945173</v>
      </c>
      <c r="F4" s="5">
        <f>SUM(D4-C4)</f>
        <v>-236.23052999999993</v>
      </c>
    </row>
    <row r="5" spans="1:6" s="6" customFormat="1">
      <c r="A5" s="68">
        <v>1010000000</v>
      </c>
      <c r="B5" s="67" t="s">
        <v>6</v>
      </c>
      <c r="C5" s="5">
        <f>C6</f>
        <v>59</v>
      </c>
      <c r="D5" s="5">
        <f>D6</f>
        <v>41.475700000000003</v>
      </c>
      <c r="E5" s="5">
        <f t="shared" ref="E5:E47" si="0">SUM(D5/C5*100)</f>
        <v>70.297796610169499</v>
      </c>
      <c r="F5" s="5">
        <f t="shared" ref="F5:F47" si="1">SUM(D5-C5)</f>
        <v>-17.524299999999997</v>
      </c>
    </row>
    <row r="6" spans="1:6">
      <c r="A6" s="7">
        <v>1010200001</v>
      </c>
      <c r="B6" s="8" t="s">
        <v>229</v>
      </c>
      <c r="C6" s="9">
        <v>59</v>
      </c>
      <c r="D6" s="10">
        <v>41.475700000000003</v>
      </c>
      <c r="E6" s="9">
        <f t="shared" ref="E6:E11" si="2">SUM(D6/C6*100)</f>
        <v>70.297796610169499</v>
      </c>
      <c r="F6" s="9">
        <f t="shared" si="1"/>
        <v>-17.524299999999997</v>
      </c>
    </row>
    <row r="7" spans="1:6" ht="31.5">
      <c r="A7" s="3">
        <v>1030000000</v>
      </c>
      <c r="B7" s="13" t="s">
        <v>281</v>
      </c>
      <c r="C7" s="5">
        <f>C8+C10+C9</f>
        <v>219.89</v>
      </c>
      <c r="D7" s="5">
        <f>D8+D10+D9+D11</f>
        <v>148.66157000000001</v>
      </c>
      <c r="E7" s="9">
        <f t="shared" si="2"/>
        <v>67.607244531356585</v>
      </c>
      <c r="F7" s="9">
        <f t="shared" si="1"/>
        <v>-71.228429999999975</v>
      </c>
    </row>
    <row r="8" spans="1:6">
      <c r="A8" s="7">
        <v>1030223001</v>
      </c>
      <c r="B8" s="8" t="s">
        <v>283</v>
      </c>
      <c r="C8" s="9">
        <v>82.02</v>
      </c>
      <c r="D8" s="10">
        <v>64.877650000000003</v>
      </c>
      <c r="E8" s="9">
        <f t="shared" si="2"/>
        <v>79.099792733479646</v>
      </c>
      <c r="F8" s="9">
        <f t="shared" si="1"/>
        <v>-17.142349999999993</v>
      </c>
    </row>
    <row r="9" spans="1:6">
      <c r="A9" s="7">
        <v>1030224001</v>
      </c>
      <c r="B9" s="8" t="s">
        <v>287</v>
      </c>
      <c r="C9" s="9">
        <v>0.88</v>
      </c>
      <c r="D9" s="10">
        <v>0.55586999999999998</v>
      </c>
      <c r="E9" s="9">
        <f t="shared" si="2"/>
        <v>63.167045454545459</v>
      </c>
      <c r="F9" s="9">
        <f t="shared" si="1"/>
        <v>-0.32413000000000003</v>
      </c>
    </row>
    <row r="10" spans="1:6">
      <c r="A10" s="7">
        <v>1030225001</v>
      </c>
      <c r="B10" s="8" t="s">
        <v>282</v>
      </c>
      <c r="C10" s="9">
        <v>136.99</v>
      </c>
      <c r="D10" s="10">
        <v>98.353139999999996</v>
      </c>
      <c r="E10" s="9">
        <f t="shared" si="2"/>
        <v>71.795853711949775</v>
      </c>
      <c r="F10" s="9">
        <f t="shared" si="1"/>
        <v>-38.636860000000013</v>
      </c>
    </row>
    <row r="11" spans="1:6">
      <c r="A11" s="7">
        <v>1030226001</v>
      </c>
      <c r="B11" s="8" t="s">
        <v>288</v>
      </c>
      <c r="C11" s="9">
        <v>0</v>
      </c>
      <c r="D11" s="10">
        <v>-15.12509</v>
      </c>
      <c r="E11" s="9" t="e">
        <f t="shared" si="2"/>
        <v>#DIV/0!</v>
      </c>
      <c r="F11" s="9">
        <f t="shared" si="1"/>
        <v>-15.12509</v>
      </c>
    </row>
    <row r="12" spans="1:6" s="6" customFormat="1">
      <c r="A12" s="68">
        <v>1050000000</v>
      </c>
      <c r="B12" s="67" t="s">
        <v>7</v>
      </c>
      <c r="C12" s="5">
        <f>C13</f>
        <v>5</v>
      </c>
      <c r="D12" s="5">
        <f>D13</f>
        <v>0</v>
      </c>
      <c r="E12" s="5">
        <f t="shared" si="0"/>
        <v>0</v>
      </c>
      <c r="F12" s="5">
        <f t="shared" si="1"/>
        <v>-5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</v>
      </c>
      <c r="E13" s="9">
        <f t="shared" si="0"/>
        <v>0</v>
      </c>
      <c r="F13" s="9">
        <f t="shared" si="1"/>
        <v>-5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250</v>
      </c>
      <c r="D14" s="5">
        <f>D15+D16</f>
        <v>106.82220000000001</v>
      </c>
      <c r="E14" s="5">
        <f t="shared" si="0"/>
        <v>42.728880000000004</v>
      </c>
      <c r="F14" s="5">
        <f t="shared" si="1"/>
        <v>-143.17779999999999</v>
      </c>
    </row>
    <row r="15" spans="1:6" s="6" customFormat="1" ht="15.75" customHeight="1">
      <c r="A15" s="7">
        <v>1060100000</v>
      </c>
      <c r="B15" s="11" t="s">
        <v>9</v>
      </c>
      <c r="C15" s="9">
        <v>40</v>
      </c>
      <c r="D15" s="10">
        <v>12.642569999999999</v>
      </c>
      <c r="E15" s="9">
        <f t="shared" si="0"/>
        <v>31.606424999999998</v>
      </c>
      <c r="F15" s="9">
        <f>SUM(D15-C15)</f>
        <v>-27.357430000000001</v>
      </c>
    </row>
    <row r="16" spans="1:6" ht="15" customHeight="1">
      <c r="A16" s="7">
        <v>1060600000</v>
      </c>
      <c r="B16" s="11" t="s">
        <v>8</v>
      </c>
      <c r="C16" s="9">
        <v>210</v>
      </c>
      <c r="D16" s="10">
        <v>94.179630000000003</v>
      </c>
      <c r="E16" s="9">
        <f t="shared" si="0"/>
        <v>44.847442857142859</v>
      </c>
      <c r="F16" s="9">
        <f t="shared" si="1"/>
        <v>-115.82037</v>
      </c>
    </row>
    <row r="17" spans="1:6" s="6" customFormat="1" ht="15" customHeight="1">
      <c r="A17" s="3">
        <v>1080000000</v>
      </c>
      <c r="B17" s="4" t="s">
        <v>11</v>
      </c>
      <c r="C17" s="5">
        <f>C18</f>
        <v>3</v>
      </c>
      <c r="D17" s="5">
        <f>D18</f>
        <v>3.7</v>
      </c>
      <c r="E17" s="9">
        <f t="shared" si="0"/>
        <v>123.33333333333334</v>
      </c>
      <c r="F17" s="5">
        <f t="shared" si="1"/>
        <v>0.70000000000000018</v>
      </c>
    </row>
    <row r="18" spans="1:6" ht="18.75" customHeight="1">
      <c r="A18" s="7">
        <v>1080402001</v>
      </c>
      <c r="B18" s="8" t="s">
        <v>228</v>
      </c>
      <c r="C18" s="9">
        <v>3</v>
      </c>
      <c r="D18" s="10">
        <v>3.7</v>
      </c>
      <c r="E18" s="9">
        <f t="shared" si="0"/>
        <v>123.33333333333334</v>
      </c>
      <c r="F18" s="9">
        <f t="shared" si="1"/>
        <v>0.70000000000000018</v>
      </c>
    </row>
    <row r="19" spans="1:6" ht="15" hidden="1" customHeight="1">
      <c r="A19" s="7">
        <v>1080714001</v>
      </c>
      <c r="B19" s="8" t="s">
        <v>227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231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C26+C31+C34+C29</f>
        <v>56</v>
      </c>
      <c r="D25" s="5">
        <f>D26+D31+D34+D29</f>
        <v>42.150399999999998</v>
      </c>
      <c r="E25" s="5">
        <f t="shared" si="0"/>
        <v>75.268571428571434</v>
      </c>
      <c r="F25" s="5">
        <f t="shared" si="1"/>
        <v>-13.849600000000002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56</v>
      </c>
      <c r="D26" s="5">
        <f>D27+D28</f>
        <v>0</v>
      </c>
      <c r="E26" s="5">
        <f t="shared" si="0"/>
        <v>0</v>
      </c>
      <c r="F26" s="5">
        <f t="shared" si="1"/>
        <v>-56</v>
      </c>
    </row>
    <row r="27" spans="1:6" ht="20.25" customHeight="1">
      <c r="A27" s="16">
        <v>1110502000</v>
      </c>
      <c r="B27" s="17" t="s">
        <v>226</v>
      </c>
      <c r="C27" s="12">
        <v>56</v>
      </c>
      <c r="D27" s="10">
        <v>0</v>
      </c>
      <c r="E27" s="9">
        <f t="shared" si="0"/>
        <v>0</v>
      </c>
      <c r="F27" s="9">
        <f t="shared" si="1"/>
        <v>-56</v>
      </c>
    </row>
    <row r="28" spans="1:6" hidden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7.25" hidden="1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9" t="e">
        <f t="shared" si="0"/>
        <v>#DIV/0!</v>
      </c>
      <c r="F29" s="5">
        <f t="shared" si="1"/>
        <v>0</v>
      </c>
    </row>
    <row r="30" spans="1:6" ht="17.25" hidden="1" customHeight="1">
      <c r="A30" s="7">
        <v>1130200000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9.5" hidden="1" customHeight="1">
      <c r="A31" s="70">
        <v>1140000000</v>
      </c>
      <c r="B31" s="71" t="s">
        <v>132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0.25" hidden="1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30.7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135</v>
      </c>
      <c r="C34" s="5">
        <v>0</v>
      </c>
      <c r="D34" s="5">
        <f>D35+D36</f>
        <v>42.150399999999998</v>
      </c>
      <c r="E34" s="9" t="e">
        <f t="shared" si="0"/>
        <v>#DIV/0!</v>
      </c>
      <c r="F34" s="5">
        <f t="shared" si="1"/>
        <v>42.150399999999998</v>
      </c>
    </row>
    <row r="35" spans="1:11" ht="18.75" customHeight="1">
      <c r="A35" s="7">
        <v>1170105005</v>
      </c>
      <c r="B35" s="8" t="s">
        <v>18</v>
      </c>
      <c r="C35" s="9">
        <v>0</v>
      </c>
      <c r="D35" s="9">
        <v>42.150399999999998</v>
      </c>
      <c r="E35" s="9" t="e">
        <f t="shared" si="0"/>
        <v>#DIV/0!</v>
      </c>
      <c r="F35" s="9">
        <f t="shared" si="1"/>
        <v>42.150399999999998</v>
      </c>
    </row>
    <row r="36" spans="1:11" ht="0.75" hidden="1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19</v>
      </c>
      <c r="C37" s="127">
        <f>C25+C4</f>
        <v>592.89</v>
      </c>
      <c r="D37" s="127">
        <f>SUM(D4,D25)</f>
        <v>342.80987000000005</v>
      </c>
      <c r="E37" s="5">
        <f t="shared" si="0"/>
        <v>57.820147076186146</v>
      </c>
      <c r="F37" s="5">
        <f t="shared" si="1"/>
        <v>-250.08012999999994</v>
      </c>
    </row>
    <row r="38" spans="1:11" s="6" customFormat="1">
      <c r="A38" s="3">
        <v>2000000000</v>
      </c>
      <c r="B38" s="4" t="s">
        <v>20</v>
      </c>
      <c r="C38" s="281">
        <f>C39+C40+C41+C42+C43+C44</f>
        <v>2672.2220000000002</v>
      </c>
      <c r="D38" s="281">
        <f>D39+D40+D41+D42+D43+D45</f>
        <v>2077.62041</v>
      </c>
      <c r="E38" s="5">
        <f t="shared" si="0"/>
        <v>77.748795197405002</v>
      </c>
      <c r="F38" s="5">
        <f t="shared" si="1"/>
        <v>-594.60159000000021</v>
      </c>
      <c r="G38" s="19"/>
    </row>
    <row r="39" spans="1:11">
      <c r="A39" s="16">
        <v>2021000000</v>
      </c>
      <c r="B39" s="17" t="s">
        <v>21</v>
      </c>
      <c r="C39" s="337">
        <v>1200.0540000000001</v>
      </c>
      <c r="D39" s="20">
        <v>870.10199999999998</v>
      </c>
      <c r="E39" s="9">
        <f t="shared" si="0"/>
        <v>72.5052372643231</v>
      </c>
      <c r="F39" s="9">
        <f t="shared" si="1"/>
        <v>-329.95200000000011</v>
      </c>
    </row>
    <row r="40" spans="1:11">
      <c r="A40" s="16">
        <v>2021500200</v>
      </c>
      <c r="B40" s="17" t="s">
        <v>232</v>
      </c>
      <c r="C40" s="334">
        <v>746.60500000000002</v>
      </c>
      <c r="D40" s="20">
        <v>585</v>
      </c>
      <c r="E40" s="9">
        <f>SUM(D40/C40*100)</f>
        <v>78.354685543225671</v>
      </c>
      <c r="F40" s="9">
        <f>SUM(D40-C40)</f>
        <v>-161.60500000000002</v>
      </c>
    </row>
    <row r="41" spans="1:11">
      <c r="A41" s="16">
        <v>2022000000</v>
      </c>
      <c r="B41" s="17" t="s">
        <v>22</v>
      </c>
      <c r="C41" s="334">
        <v>512.58699999999999</v>
      </c>
      <c r="D41" s="10">
        <v>432.38</v>
      </c>
      <c r="E41" s="9">
        <f t="shared" si="0"/>
        <v>84.352509915389973</v>
      </c>
      <c r="F41" s="9">
        <f t="shared" si="1"/>
        <v>-80.206999999999994</v>
      </c>
    </row>
    <row r="42" spans="1:11" ht="19.5" customHeight="1">
      <c r="A42" s="16">
        <v>2023000000</v>
      </c>
      <c r="B42" s="17" t="s">
        <v>23</v>
      </c>
      <c r="C42" s="334">
        <f>2.38+70.596</f>
        <v>72.975999999999999</v>
      </c>
      <c r="D42" s="252">
        <v>59.305999999999997</v>
      </c>
      <c r="E42" s="9">
        <f t="shared" si="0"/>
        <v>81.267814075860556</v>
      </c>
      <c r="F42" s="9">
        <f t="shared" si="1"/>
        <v>-13.670000000000002</v>
      </c>
    </row>
    <row r="43" spans="1:11">
      <c r="A43" s="7">
        <v>2070500010</v>
      </c>
      <c r="B43" s="17" t="s">
        <v>359</v>
      </c>
      <c r="C43" s="334">
        <v>140</v>
      </c>
      <c r="D43" s="253">
        <v>133</v>
      </c>
      <c r="E43" s="9">
        <f t="shared" si="0"/>
        <v>95</v>
      </c>
      <c r="F43" s="9">
        <f t="shared" si="1"/>
        <v>-7</v>
      </c>
    </row>
    <row r="44" spans="1:11" ht="15.75" customHeight="1">
      <c r="A44" s="16">
        <v>2022999910</v>
      </c>
      <c r="B44" s="18" t="s">
        <v>352</v>
      </c>
      <c r="C44" s="334">
        <v>0</v>
      </c>
      <c r="D44" s="253">
        <v>0</v>
      </c>
      <c r="E44" s="9" t="e">
        <f t="shared" si="0"/>
        <v>#DIV/0!</v>
      </c>
      <c r="F44" s="9">
        <f t="shared" si="1"/>
        <v>0</v>
      </c>
    </row>
    <row r="45" spans="1:11" ht="17.25" customHeight="1">
      <c r="A45" s="7">
        <v>2190000010</v>
      </c>
      <c r="B45" s="11" t="s">
        <v>26</v>
      </c>
      <c r="C45" s="343">
        <v>0</v>
      </c>
      <c r="D45" s="331">
        <v>-2.1675900000000001</v>
      </c>
      <c r="E45" s="5" t="e">
        <f t="shared" si="0"/>
        <v>#DIV/0!</v>
      </c>
      <c r="F45" s="5">
        <f>SUM(D45-C45)</f>
        <v>-2.1675900000000001</v>
      </c>
    </row>
    <row r="46" spans="1:11" s="6" customFormat="1" ht="31.5" hidden="1" customHeight="1">
      <c r="A46" s="3">
        <v>3000000000</v>
      </c>
      <c r="B46" s="13" t="s">
        <v>27</v>
      </c>
      <c r="C46" s="344">
        <v>0</v>
      </c>
      <c r="D46" s="345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3"/>
      <c r="B47" s="4" t="s">
        <v>28</v>
      </c>
      <c r="C47" s="93">
        <f>C37+C38</f>
        <v>3265.1120000000001</v>
      </c>
      <c r="D47" s="441">
        <f>D37+D38</f>
        <v>2420.43028</v>
      </c>
      <c r="E47" s="5">
        <f t="shared" si="0"/>
        <v>74.13008435851512</v>
      </c>
      <c r="F47" s="5">
        <f t="shared" si="1"/>
        <v>-844.68172000000004</v>
      </c>
      <c r="G47" s="296"/>
      <c r="H47" s="296"/>
      <c r="K47" s="130"/>
    </row>
    <row r="48" spans="1:11" s="6" customFormat="1">
      <c r="A48" s="3"/>
      <c r="B48" s="21" t="s">
        <v>322</v>
      </c>
      <c r="C48" s="93">
        <f>C47-C93</f>
        <v>-23.635540000000219</v>
      </c>
      <c r="D48" s="93">
        <f>D47-D93</f>
        <v>41.785640000000058</v>
      </c>
      <c r="E48" s="22"/>
      <c r="F48" s="22"/>
    </row>
    <row r="49" spans="1:6">
      <c r="A49" s="23"/>
      <c r="B49" s="24"/>
      <c r="C49" s="251"/>
      <c r="D49" s="251"/>
      <c r="E49" s="26"/>
      <c r="F49" s="92"/>
    </row>
    <row r="50" spans="1:6" ht="50.25" customHeight="1">
      <c r="A50" s="28" t="s">
        <v>1</v>
      </c>
      <c r="B50" s="28" t="s">
        <v>29</v>
      </c>
      <c r="C50" s="244" t="s">
        <v>346</v>
      </c>
      <c r="D50" s="245" t="s">
        <v>412</v>
      </c>
      <c r="E50" s="72" t="s">
        <v>3</v>
      </c>
      <c r="F50" s="74" t="s">
        <v>4</v>
      </c>
    </row>
    <row r="51" spans="1:6">
      <c r="A51" s="88">
        <v>1</v>
      </c>
      <c r="B51" s="87">
        <v>2</v>
      </c>
      <c r="C51" s="87">
        <v>3</v>
      </c>
      <c r="D51" s="87">
        <v>4</v>
      </c>
      <c r="E51" s="87">
        <v>5</v>
      </c>
      <c r="F51" s="87">
        <v>6</v>
      </c>
    </row>
    <row r="52" spans="1:6" s="6" customFormat="1" ht="30.75" customHeight="1">
      <c r="A52" s="30" t="s">
        <v>30</v>
      </c>
      <c r="B52" s="31" t="s">
        <v>31</v>
      </c>
      <c r="C52" s="32">
        <f>C54+C57+C58+C59</f>
        <v>1072.2360000000001</v>
      </c>
      <c r="D52" s="32">
        <f>D54+D57+D58+D59</f>
        <v>685.08637999999996</v>
      </c>
      <c r="E52" s="34">
        <f>SUM(D52/C52*100)</f>
        <v>63.893245516845163</v>
      </c>
      <c r="F52" s="34">
        <f>SUM(D52-C52)</f>
        <v>-387.14962000000014</v>
      </c>
    </row>
    <row r="53" spans="1:6" s="6" customFormat="1" ht="31.5" hidden="1">
      <c r="A53" s="35" t="s">
        <v>32</v>
      </c>
      <c r="B53" s="36" t="s">
        <v>33</v>
      </c>
      <c r="C53" s="37"/>
      <c r="D53" s="37"/>
      <c r="E53" s="38"/>
      <c r="F53" s="38"/>
    </row>
    <row r="54" spans="1:6" ht="16.5" customHeight="1">
      <c r="A54" s="35" t="s">
        <v>34</v>
      </c>
      <c r="B54" s="39" t="s">
        <v>35</v>
      </c>
      <c r="C54" s="37">
        <v>1064.854</v>
      </c>
      <c r="D54" s="37">
        <v>682.70488</v>
      </c>
      <c r="E54" s="38">
        <f>SUM(D54/C54*100)</f>
        <v>64.112533737019348</v>
      </c>
      <c r="F54" s="38">
        <f t="shared" ref="F54:F93" si="3">SUM(D54-C54)</f>
        <v>-382.14912000000004</v>
      </c>
    </row>
    <row r="55" spans="1:6" ht="0.75" hidden="1" customHeight="1">
      <c r="A55" s="35" t="s">
        <v>36</v>
      </c>
      <c r="B55" s="39" t="s">
        <v>37</v>
      </c>
      <c r="C55" s="37"/>
      <c r="D55" s="37"/>
      <c r="E55" s="38"/>
      <c r="F55" s="38">
        <f t="shared" si="3"/>
        <v>0</v>
      </c>
    </row>
    <row r="56" spans="1:6" ht="15.75" hidden="1" customHeight="1">
      <c r="A56" s="35" t="s">
        <v>38</v>
      </c>
      <c r="B56" s="39" t="s">
        <v>39</v>
      </c>
      <c r="C56" s="37"/>
      <c r="D56" s="37"/>
      <c r="E56" s="38" t="e">
        <f t="shared" ref="E56:E93" si="4">SUM(D56/C56*100)</f>
        <v>#DIV/0!</v>
      </c>
      <c r="F56" s="38">
        <f t="shared" si="3"/>
        <v>0</v>
      </c>
    </row>
    <row r="57" spans="1:6" ht="14.25" hidden="1" customHeight="1">
      <c r="A57" s="35" t="s">
        <v>40</v>
      </c>
      <c r="B57" s="39" t="s">
        <v>41</v>
      </c>
      <c r="C57" s="37">
        <v>0</v>
      </c>
      <c r="D57" s="37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42</v>
      </c>
      <c r="B58" s="39" t="s">
        <v>43</v>
      </c>
      <c r="C58" s="40">
        <v>5</v>
      </c>
      <c r="D58" s="40">
        <v>0</v>
      </c>
      <c r="E58" s="38">
        <f t="shared" si="4"/>
        <v>0</v>
      </c>
      <c r="F58" s="38">
        <f t="shared" si="3"/>
        <v>-5</v>
      </c>
    </row>
    <row r="59" spans="1:6" ht="17.25" customHeight="1">
      <c r="A59" s="35" t="s">
        <v>44</v>
      </c>
      <c r="B59" s="39" t="s">
        <v>45</v>
      </c>
      <c r="C59" s="37">
        <v>2.3820000000000001</v>
      </c>
      <c r="D59" s="37">
        <v>2.3815</v>
      </c>
      <c r="E59" s="38">
        <f t="shared" si="4"/>
        <v>99.979009235936175</v>
      </c>
      <c r="F59" s="38">
        <f t="shared" si="3"/>
        <v>-5.0000000000016698E-4</v>
      </c>
    </row>
    <row r="60" spans="1:6" s="6" customFormat="1">
      <c r="A60" s="41" t="s">
        <v>46</v>
      </c>
      <c r="B60" s="42" t="s">
        <v>47</v>
      </c>
      <c r="C60" s="32">
        <f>C61</f>
        <v>70.596000000000004</v>
      </c>
      <c r="D60" s="32">
        <f>D61</f>
        <v>48.521500000000003</v>
      </c>
      <c r="E60" s="34">
        <f t="shared" si="4"/>
        <v>68.73123123123122</v>
      </c>
      <c r="F60" s="34">
        <f t="shared" si="3"/>
        <v>-22.0745</v>
      </c>
    </row>
    <row r="61" spans="1:6">
      <c r="A61" s="43" t="s">
        <v>48</v>
      </c>
      <c r="B61" s="44" t="s">
        <v>49</v>
      </c>
      <c r="C61" s="37">
        <v>70.596000000000004</v>
      </c>
      <c r="D61" s="37">
        <v>48.521500000000003</v>
      </c>
      <c r="E61" s="38">
        <f t="shared" si="4"/>
        <v>68.73123123123122</v>
      </c>
      <c r="F61" s="38">
        <f t="shared" si="3"/>
        <v>-22.0745</v>
      </c>
    </row>
    <row r="62" spans="1:6" s="6" customFormat="1" ht="16.5" customHeight="1">
      <c r="A62" s="30" t="s">
        <v>50</v>
      </c>
      <c r="B62" s="31" t="s">
        <v>51</v>
      </c>
      <c r="C62" s="32">
        <f>C65+C66</f>
        <v>3.9</v>
      </c>
      <c r="D62" s="32">
        <f>D65+D66</f>
        <v>2.80287</v>
      </c>
      <c r="E62" s="34">
        <f t="shared" si="4"/>
        <v>71.868461538461531</v>
      </c>
      <c r="F62" s="34">
        <f t="shared" si="3"/>
        <v>-1.0971299999999999</v>
      </c>
    </row>
    <row r="63" spans="1:6" ht="13.5" hidden="1" customHeight="1">
      <c r="A63" s="35" t="s">
        <v>52</v>
      </c>
      <c r="B63" s="39" t="s">
        <v>53</v>
      </c>
      <c r="C63" s="37"/>
      <c r="D63" s="37"/>
      <c r="E63" s="34" t="e">
        <f t="shared" si="4"/>
        <v>#DIV/0!</v>
      </c>
      <c r="F63" s="34">
        <f t="shared" si="3"/>
        <v>0</v>
      </c>
    </row>
    <row r="64" spans="1:6" hidden="1">
      <c r="A64" s="45" t="s">
        <v>54</v>
      </c>
      <c r="B64" s="39" t="s">
        <v>55</v>
      </c>
      <c r="C64" s="37"/>
      <c r="D64" s="37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56</v>
      </c>
      <c r="B65" s="47" t="s">
        <v>57</v>
      </c>
      <c r="C65" s="37">
        <v>2.9</v>
      </c>
      <c r="D65" s="37">
        <v>2.80287</v>
      </c>
      <c r="E65" s="34">
        <f t="shared" si="4"/>
        <v>96.650689655172414</v>
      </c>
      <c r="F65" s="34">
        <f t="shared" si="3"/>
        <v>-9.7129999999999939E-2</v>
      </c>
    </row>
    <row r="66" spans="1:7" ht="15.75" customHeight="1">
      <c r="A66" s="46" t="s">
        <v>219</v>
      </c>
      <c r="B66" s="47" t="s">
        <v>220</v>
      </c>
      <c r="C66" s="37">
        <v>1</v>
      </c>
      <c r="D66" s="37">
        <v>0</v>
      </c>
      <c r="E66" s="38">
        <f t="shared" si="4"/>
        <v>0</v>
      </c>
      <c r="F66" s="38">
        <f t="shared" si="3"/>
        <v>-1</v>
      </c>
    </row>
    <row r="67" spans="1:7" s="6" customFormat="1">
      <c r="A67" s="30" t="s">
        <v>58</v>
      </c>
      <c r="B67" s="31" t="s">
        <v>59</v>
      </c>
      <c r="C67" s="48">
        <f>C70+C71+C68+C69</f>
        <v>1015.40454</v>
      </c>
      <c r="D67" s="48">
        <f>D70+D71+D68</f>
        <v>720.63467000000003</v>
      </c>
      <c r="E67" s="34">
        <f t="shared" si="4"/>
        <v>70.9702036589279</v>
      </c>
      <c r="F67" s="34">
        <f t="shared" si="3"/>
        <v>-294.76986999999997</v>
      </c>
    </row>
    <row r="68" spans="1:7" ht="16.5" customHeight="1">
      <c r="A68" s="35" t="s">
        <v>60</v>
      </c>
      <c r="B68" s="39" t="s">
        <v>61</v>
      </c>
      <c r="C68" s="49">
        <v>6.93</v>
      </c>
      <c r="D68" s="37">
        <v>0</v>
      </c>
      <c r="E68" s="38">
        <f t="shared" si="4"/>
        <v>0</v>
      </c>
      <c r="F68" s="38">
        <f t="shared" si="3"/>
        <v>-6.93</v>
      </c>
    </row>
    <row r="69" spans="1:7" s="6" customFormat="1">
      <c r="A69" s="35" t="s">
        <v>62</v>
      </c>
      <c r="B69" s="39" t="s">
        <v>63</v>
      </c>
      <c r="C69" s="49">
        <v>65.105000000000004</v>
      </c>
      <c r="D69" s="37">
        <v>0</v>
      </c>
      <c r="E69" s="38">
        <f t="shared" si="4"/>
        <v>0</v>
      </c>
      <c r="F69" s="38">
        <f t="shared" si="3"/>
        <v>-65.105000000000004</v>
      </c>
      <c r="G69" s="50"/>
    </row>
    <row r="70" spans="1:7" ht="15.75" customHeight="1">
      <c r="A70" s="35" t="s">
        <v>64</v>
      </c>
      <c r="B70" s="39" t="s">
        <v>65</v>
      </c>
      <c r="C70" s="49">
        <v>923.41254000000004</v>
      </c>
      <c r="D70" s="37">
        <v>720.63467000000003</v>
      </c>
      <c r="E70" s="38">
        <f t="shared" si="4"/>
        <v>78.040381604520988</v>
      </c>
      <c r="F70" s="38">
        <f t="shared" si="3"/>
        <v>-202.77787000000001</v>
      </c>
    </row>
    <row r="71" spans="1:7">
      <c r="A71" s="35" t="s">
        <v>66</v>
      </c>
      <c r="B71" s="39" t="s">
        <v>67</v>
      </c>
      <c r="C71" s="49">
        <v>19.957000000000001</v>
      </c>
      <c r="D71" s="37">
        <v>0</v>
      </c>
      <c r="E71" s="38">
        <f t="shared" si="4"/>
        <v>0</v>
      </c>
      <c r="F71" s="38">
        <f t="shared" si="3"/>
        <v>-19.957000000000001</v>
      </c>
    </row>
    <row r="72" spans="1:7" s="6" customFormat="1" ht="18" customHeight="1">
      <c r="A72" s="30" t="s">
        <v>68</v>
      </c>
      <c r="B72" s="31" t="s">
        <v>69</v>
      </c>
      <c r="C72" s="32">
        <f>C75</f>
        <v>256.11099999999999</v>
      </c>
      <c r="D72" s="32">
        <f>D75</f>
        <v>172.11322000000001</v>
      </c>
      <c r="E72" s="34">
        <f t="shared" si="4"/>
        <v>67.202587940385229</v>
      </c>
      <c r="F72" s="34">
        <f t="shared" si="3"/>
        <v>-83.997779999999977</v>
      </c>
    </row>
    <row r="73" spans="1:7" ht="0.75" hidden="1" customHeight="1">
      <c r="A73" s="35" t="s">
        <v>70</v>
      </c>
      <c r="B73" s="51" t="s">
        <v>71</v>
      </c>
      <c r="C73" s="37"/>
      <c r="D73" s="37"/>
      <c r="E73" s="38" t="e">
        <f t="shared" si="4"/>
        <v>#DIV/0!</v>
      </c>
      <c r="F73" s="38">
        <f t="shared" si="3"/>
        <v>0</v>
      </c>
    </row>
    <row r="74" spans="1:7" hidden="1">
      <c r="A74" s="35" t="s">
        <v>72</v>
      </c>
      <c r="B74" s="51" t="s">
        <v>73</v>
      </c>
      <c r="C74" s="37"/>
      <c r="D74" s="37"/>
      <c r="E74" s="38" t="e">
        <f t="shared" si="4"/>
        <v>#DIV/0!</v>
      </c>
      <c r="F74" s="38">
        <f t="shared" si="3"/>
        <v>0</v>
      </c>
    </row>
    <row r="75" spans="1:7" ht="16.5" customHeight="1">
      <c r="A75" s="35" t="s">
        <v>74</v>
      </c>
      <c r="B75" s="39" t="s">
        <v>75</v>
      </c>
      <c r="C75" s="37">
        <v>256.11099999999999</v>
      </c>
      <c r="D75" s="37">
        <v>172.11322000000001</v>
      </c>
      <c r="E75" s="38">
        <f t="shared" si="4"/>
        <v>67.202587940385229</v>
      </c>
      <c r="F75" s="38">
        <f t="shared" si="3"/>
        <v>-83.997779999999977</v>
      </c>
    </row>
    <row r="76" spans="1:7" s="6" customFormat="1">
      <c r="A76" s="30" t="s">
        <v>86</v>
      </c>
      <c r="B76" s="31" t="s">
        <v>87</v>
      </c>
      <c r="C76" s="32">
        <f>C77</f>
        <v>865.5</v>
      </c>
      <c r="D76" s="32">
        <f>D77</f>
        <v>749.48599999999999</v>
      </c>
      <c r="E76" s="34">
        <f t="shared" si="4"/>
        <v>86.595725014442522</v>
      </c>
      <c r="F76" s="34">
        <f t="shared" si="3"/>
        <v>-116.01400000000001</v>
      </c>
    </row>
    <row r="77" spans="1:7" ht="17.25" customHeight="1">
      <c r="A77" s="35" t="s">
        <v>88</v>
      </c>
      <c r="B77" s="39" t="s">
        <v>234</v>
      </c>
      <c r="C77" s="37">
        <v>865.5</v>
      </c>
      <c r="D77" s="37">
        <v>749.48599999999999</v>
      </c>
      <c r="E77" s="38">
        <f t="shared" si="4"/>
        <v>86.595725014442522</v>
      </c>
      <c r="F77" s="38">
        <f t="shared" si="3"/>
        <v>-116.01400000000001</v>
      </c>
    </row>
    <row r="78" spans="1:7" s="6" customFormat="1" ht="0.75" hidden="1" customHeight="1">
      <c r="A78" s="52">
        <v>1000</v>
      </c>
      <c r="B78" s="31" t="s">
        <v>89</v>
      </c>
      <c r="C78" s="32"/>
      <c r="D78" s="32"/>
      <c r="E78" s="34" t="e">
        <f t="shared" si="4"/>
        <v>#DIV/0!</v>
      </c>
      <c r="F78" s="34">
        <f t="shared" si="3"/>
        <v>0</v>
      </c>
    </row>
    <row r="79" spans="1:7" ht="16.5" hidden="1" customHeight="1">
      <c r="A79" s="53">
        <v>1001</v>
      </c>
      <c r="B79" s="54" t="s">
        <v>90</v>
      </c>
      <c r="C79" s="37"/>
      <c r="D79" s="37"/>
      <c r="E79" s="38" t="e">
        <f t="shared" si="4"/>
        <v>#DIV/0!</v>
      </c>
      <c r="F79" s="38">
        <f t="shared" si="3"/>
        <v>0</v>
      </c>
    </row>
    <row r="80" spans="1:7" ht="15.75" hidden="1" customHeight="1">
      <c r="A80" s="53">
        <v>1003</v>
      </c>
      <c r="B80" s="54" t="s">
        <v>91</v>
      </c>
      <c r="C80" s="37"/>
      <c r="D80" s="37"/>
      <c r="E80" s="38" t="e">
        <f t="shared" si="4"/>
        <v>#DIV/0!</v>
      </c>
      <c r="F80" s="38">
        <f t="shared" si="3"/>
        <v>0</v>
      </c>
    </row>
    <row r="81" spans="1:7" ht="16.5" hidden="1" customHeight="1">
      <c r="A81" s="53">
        <v>1004</v>
      </c>
      <c r="B81" s="54" t="s">
        <v>92</v>
      </c>
      <c r="C81" s="37"/>
      <c r="D81" s="55"/>
      <c r="E81" s="38" t="e">
        <f t="shared" si="4"/>
        <v>#DIV/0!</v>
      </c>
      <c r="F81" s="38">
        <f t="shared" si="3"/>
        <v>0</v>
      </c>
    </row>
    <row r="82" spans="1:7" ht="0.75" hidden="1" customHeight="1">
      <c r="A82" s="35" t="s">
        <v>93</v>
      </c>
      <c r="B82" s="39" t="s">
        <v>94</v>
      </c>
      <c r="C82" s="37"/>
      <c r="D82" s="37"/>
      <c r="E82" s="38"/>
      <c r="F82" s="38">
        <f t="shared" si="3"/>
        <v>0</v>
      </c>
    </row>
    <row r="83" spans="1:7">
      <c r="A83" s="30" t="s">
        <v>95</v>
      </c>
      <c r="B83" s="31" t="s">
        <v>96</v>
      </c>
      <c r="C83" s="32">
        <f>C84</f>
        <v>5</v>
      </c>
      <c r="D83" s="32">
        <f>D84</f>
        <v>0</v>
      </c>
      <c r="E83" s="38">
        <f t="shared" si="4"/>
        <v>0</v>
      </c>
      <c r="F83" s="22">
        <f>F84+F85+F86+F87+F88</f>
        <v>-5</v>
      </c>
    </row>
    <row r="84" spans="1:7" ht="17.25" customHeight="1">
      <c r="A84" s="35" t="s">
        <v>97</v>
      </c>
      <c r="B84" s="39" t="s">
        <v>98</v>
      </c>
      <c r="C84" s="37">
        <v>5</v>
      </c>
      <c r="D84" s="37">
        <v>0</v>
      </c>
      <c r="E84" s="38">
        <v>0</v>
      </c>
      <c r="F84" s="38">
        <f>SUM(D84-C84)</f>
        <v>-5</v>
      </c>
    </row>
    <row r="85" spans="1:7" ht="15.75" hidden="1" customHeight="1">
      <c r="A85" s="35" t="s">
        <v>99</v>
      </c>
      <c r="B85" s="39" t="s">
        <v>100</v>
      </c>
      <c r="C85" s="37"/>
      <c r="D85" s="37"/>
      <c r="E85" s="38" t="e">
        <f t="shared" si="4"/>
        <v>#DIV/0!</v>
      </c>
      <c r="F85" s="38">
        <f>SUM(D85-C85)</f>
        <v>0</v>
      </c>
    </row>
    <row r="86" spans="1:7" ht="15.75" hidden="1" customHeight="1">
      <c r="A86" s="35" t="s">
        <v>101</v>
      </c>
      <c r="B86" s="39" t="s">
        <v>102</v>
      </c>
      <c r="C86" s="37"/>
      <c r="D86" s="37"/>
      <c r="E86" s="38" t="e">
        <f t="shared" si="4"/>
        <v>#DIV/0!</v>
      </c>
      <c r="F86" s="38"/>
    </row>
    <row r="87" spans="1:7" ht="15.75" hidden="1" customHeight="1">
      <c r="A87" s="35" t="s">
        <v>103</v>
      </c>
      <c r="B87" s="39" t="s">
        <v>104</v>
      </c>
      <c r="C87" s="37"/>
      <c r="D87" s="37"/>
      <c r="E87" s="38" t="e">
        <f t="shared" si="4"/>
        <v>#DIV/0!</v>
      </c>
      <c r="F87" s="38"/>
    </row>
    <row r="88" spans="1:7" ht="15.75" hidden="1" customHeight="1">
      <c r="A88" s="35" t="s">
        <v>105</v>
      </c>
      <c r="B88" s="39" t="s">
        <v>106</v>
      </c>
      <c r="C88" s="37"/>
      <c r="D88" s="37"/>
      <c r="E88" s="38" t="e">
        <f t="shared" si="4"/>
        <v>#DIV/0!</v>
      </c>
      <c r="F88" s="38"/>
    </row>
    <row r="89" spans="1:7" s="6" customFormat="1" hidden="1">
      <c r="A89" s="52">
        <v>1400</v>
      </c>
      <c r="B89" s="56" t="s">
        <v>115</v>
      </c>
      <c r="C89" s="48">
        <v>0</v>
      </c>
      <c r="D89" s="48">
        <f>SUM(D90:D92)</f>
        <v>0</v>
      </c>
      <c r="E89" s="34" t="e">
        <f t="shared" si="4"/>
        <v>#DIV/0!</v>
      </c>
      <c r="F89" s="34">
        <f t="shared" si="3"/>
        <v>0</v>
      </c>
    </row>
    <row r="90" spans="1:7" hidden="1">
      <c r="A90" s="53">
        <v>1401</v>
      </c>
      <c r="B90" s="54" t="s">
        <v>116</v>
      </c>
      <c r="C90" s="49"/>
      <c r="D90" s="37"/>
      <c r="E90" s="38" t="e">
        <f t="shared" si="4"/>
        <v>#DIV/0!</v>
      </c>
      <c r="F90" s="38">
        <f t="shared" si="3"/>
        <v>0</v>
      </c>
    </row>
    <row r="91" spans="1:7" ht="15" hidden="1" customHeight="1">
      <c r="A91" s="53">
        <v>1402</v>
      </c>
      <c r="B91" s="54" t="s">
        <v>117</v>
      </c>
      <c r="C91" s="49"/>
      <c r="D91" s="37"/>
      <c r="E91" s="38" t="e">
        <f t="shared" si="4"/>
        <v>#DIV/0!</v>
      </c>
      <c r="F91" s="38">
        <f t="shared" si="3"/>
        <v>0</v>
      </c>
    </row>
    <row r="92" spans="1:7" hidden="1">
      <c r="A92" s="53">
        <v>1403</v>
      </c>
      <c r="B92" s="54" t="s">
        <v>118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7" s="6" customFormat="1">
      <c r="A93" s="52"/>
      <c r="B93" s="57" t="s">
        <v>119</v>
      </c>
      <c r="C93" s="442">
        <f>C52+C60+C62+C67+C72+C76+C83</f>
        <v>3288.7475400000003</v>
      </c>
      <c r="D93" s="442">
        <f>D52+D60+D62+D67+D72+D76+D78+D83+D89</f>
        <v>2378.64464</v>
      </c>
      <c r="E93" s="128">
        <f t="shared" si="4"/>
        <v>72.326763032713657</v>
      </c>
      <c r="F93" s="34">
        <f t="shared" si="3"/>
        <v>-910.10290000000032</v>
      </c>
      <c r="G93" s="296"/>
    </row>
    <row r="94" spans="1:7">
      <c r="C94" s="126"/>
      <c r="D94" s="101"/>
    </row>
    <row r="95" spans="1:7" s="65" customFormat="1" ht="16.5" customHeight="1">
      <c r="A95" s="63" t="s">
        <v>120</v>
      </c>
      <c r="B95" s="63"/>
      <c r="C95" s="250"/>
      <c r="D95" s="250"/>
    </row>
    <row r="96" spans="1:7" s="65" customFormat="1" ht="20.25" customHeight="1">
      <c r="A96" s="66" t="s">
        <v>121</v>
      </c>
      <c r="B96" s="66"/>
      <c r="C96" s="65" t="s">
        <v>122</v>
      </c>
    </row>
    <row r="97" ht="13.5" customHeight="1"/>
    <row r="99" ht="5.25" customHeight="1"/>
    <row r="141" hidden="1"/>
  </sheetData>
  <customSheetViews>
    <customSheetView guid="{A54C432C-6C68-4B53-A75C-446EB3A61B2B}" scale="70" showPageBreaks="1" hiddenRows="1" view="pageBreakPreview" topLeftCell="A54">
      <selection activeCell="C93" sqref="C93:D93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B30CE22D-C12F-4E12-8BB9-3AAE0A6991CC}" scale="70" showPageBreaks="1" hiddenRows="1" view="pageBreakPreview" topLeftCell="A45">
      <selection activeCell="G94" sqref="G94"/>
      <pageMargins left="0.74803149606299213" right="0.74803149606299213" top="0.19685039370078741" bottom="0.15748031496062992" header="0.51181102362204722" footer="0.23622047244094491"/>
      <pageSetup paperSize="9" scale="60" orientation="portrait" r:id="rId2"/>
      <headerFooter alignWithMargins="0"/>
    </customSheetView>
    <customSheetView guid="{5BFCA170-DEAE-4D2C-98A0-1E68B427AC01}" showPageBreaks="1" hiddenRows="1">
      <selection activeCell="B100" sqref="B100"/>
      <pageMargins left="0.75" right="0.75" top="0.18" bottom="0.17" header="0.5" footer="0.25"/>
      <pageSetup paperSize="9" scale="63" orientation="portrait" r:id="rId3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4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5"/>
      <headerFooter alignWithMargins="0"/>
    </customSheetView>
  </customSheetViews>
  <mergeCells count="2">
    <mergeCell ref="A1:F1"/>
    <mergeCell ref="A2:F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portrait" r:id="rId6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41"/>
  <sheetViews>
    <sheetView view="pageBreakPreview" topLeftCell="A70" zoomScale="70" zoomScaleNormal="100" zoomScaleSheetLayoutView="70" workbookViewId="0">
      <selection activeCell="C52" activeCellId="1" sqref="C100:D100 C52:D53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436" t="s">
        <v>418</v>
      </c>
      <c r="B1" s="436"/>
      <c r="C1" s="436"/>
      <c r="D1" s="436"/>
      <c r="E1" s="436"/>
      <c r="F1" s="436"/>
    </row>
    <row r="2" spans="1:6">
      <c r="A2" s="436"/>
      <c r="B2" s="436"/>
      <c r="C2" s="436"/>
      <c r="D2" s="436"/>
      <c r="E2" s="436"/>
      <c r="F2" s="436"/>
    </row>
    <row r="3" spans="1:6" ht="63">
      <c r="A3" s="2" t="s">
        <v>1</v>
      </c>
      <c r="B3" s="2" t="s">
        <v>2</v>
      </c>
      <c r="C3" s="135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2639.2200000000003</v>
      </c>
      <c r="D4" s="5">
        <f>D5+D12+D14+D17+D7</f>
        <v>1275.7003999999999</v>
      </c>
      <c r="E4" s="5">
        <f>SUM(D4/C4*100)</f>
        <v>48.336266017990162</v>
      </c>
      <c r="F4" s="5">
        <f>SUM(D4-C4)</f>
        <v>-1363.5196000000003</v>
      </c>
    </row>
    <row r="5" spans="1:6" s="6" customFormat="1">
      <c r="A5" s="68">
        <v>1010000000</v>
      </c>
      <c r="B5" s="67" t="s">
        <v>6</v>
      </c>
      <c r="C5" s="5">
        <f>C6</f>
        <v>482.9</v>
      </c>
      <c r="D5" s="5">
        <v>267.31795</v>
      </c>
      <c r="E5" s="5">
        <f t="shared" ref="E5:E52" si="0">SUM(D5/C5*100)</f>
        <v>55.356792296541727</v>
      </c>
      <c r="F5" s="5">
        <f t="shared" ref="F5:F52" si="1">SUM(D5-C5)</f>
        <v>-215.58204999999998</v>
      </c>
    </row>
    <row r="6" spans="1:6">
      <c r="A6" s="7">
        <v>1010200001</v>
      </c>
      <c r="B6" s="8" t="s">
        <v>229</v>
      </c>
      <c r="C6" s="9">
        <v>482.9</v>
      </c>
      <c r="D6" s="10">
        <v>267.31795</v>
      </c>
      <c r="E6" s="9">
        <f t="shared" ref="E6:E11" si="2">SUM(D6/C6*100)</f>
        <v>55.356792296541727</v>
      </c>
      <c r="F6" s="9">
        <f t="shared" si="1"/>
        <v>-215.58204999999998</v>
      </c>
    </row>
    <row r="7" spans="1:6" ht="31.5">
      <c r="A7" s="3">
        <v>1030000000</v>
      </c>
      <c r="B7" s="13" t="s">
        <v>281</v>
      </c>
      <c r="C7" s="5">
        <f>C8+C10+C9</f>
        <v>559.32000000000005</v>
      </c>
      <c r="D7" s="5">
        <f>D8+D10+D9+D11</f>
        <v>378.14880999999997</v>
      </c>
      <c r="E7" s="5">
        <f t="shared" si="2"/>
        <v>67.608669455767711</v>
      </c>
      <c r="F7" s="5">
        <f t="shared" si="1"/>
        <v>-181.17119000000008</v>
      </c>
    </row>
    <row r="8" spans="1:6">
      <c r="A8" s="7">
        <v>1030223001</v>
      </c>
      <c r="B8" s="8" t="s">
        <v>283</v>
      </c>
      <c r="C8" s="9">
        <v>208.63</v>
      </c>
      <c r="D8" s="10">
        <v>165.02858000000001</v>
      </c>
      <c r="E8" s="9">
        <f t="shared" si="2"/>
        <v>79.101078464266877</v>
      </c>
      <c r="F8" s="9">
        <f t="shared" si="1"/>
        <v>-43.60141999999999</v>
      </c>
    </row>
    <row r="9" spans="1:6">
      <c r="A9" s="7">
        <v>1030224001</v>
      </c>
      <c r="B9" s="8" t="s">
        <v>289</v>
      </c>
      <c r="C9" s="9">
        <v>2.2000000000000002</v>
      </c>
      <c r="D9" s="10">
        <v>1.41401</v>
      </c>
      <c r="E9" s="9">
        <f t="shared" si="2"/>
        <v>64.273181818181811</v>
      </c>
      <c r="F9" s="9">
        <f t="shared" si="1"/>
        <v>-0.78599000000000019</v>
      </c>
    </row>
    <row r="10" spans="1:6">
      <c r="A10" s="7">
        <v>1030225001</v>
      </c>
      <c r="B10" s="8" t="s">
        <v>282</v>
      </c>
      <c r="C10" s="9">
        <v>348.49</v>
      </c>
      <c r="D10" s="10">
        <v>250.17977999999999</v>
      </c>
      <c r="E10" s="9">
        <f t="shared" si="2"/>
        <v>71.789658239834708</v>
      </c>
      <c r="F10" s="9">
        <f t="shared" si="1"/>
        <v>-98.310220000000015</v>
      </c>
    </row>
    <row r="11" spans="1:6">
      <c r="A11" s="7">
        <v>1030226001</v>
      </c>
      <c r="B11" s="8" t="s">
        <v>291</v>
      </c>
      <c r="C11" s="9">
        <v>0</v>
      </c>
      <c r="D11" s="10">
        <v>-38.473559999999999</v>
      </c>
      <c r="E11" s="9" t="e">
        <f t="shared" si="2"/>
        <v>#DIV/0!</v>
      </c>
      <c r="F11" s="9">
        <f t="shared" si="1"/>
        <v>-38.473559999999999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23.733000000000001</v>
      </c>
      <c r="E12" s="5">
        <f t="shared" si="0"/>
        <v>59.332499999999996</v>
      </c>
      <c r="F12" s="5">
        <f t="shared" si="1"/>
        <v>-16.266999999999999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23.733000000000001</v>
      </c>
      <c r="E13" s="9">
        <f t="shared" si="0"/>
        <v>59.332499999999996</v>
      </c>
      <c r="F13" s="9">
        <f t="shared" si="1"/>
        <v>-16.266999999999999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1545</v>
      </c>
      <c r="D14" s="5">
        <f>D15+D16</f>
        <v>597.42563999999993</v>
      </c>
      <c r="E14" s="5">
        <f t="shared" si="0"/>
        <v>38.668326213592231</v>
      </c>
      <c r="F14" s="5">
        <f t="shared" si="1"/>
        <v>-947.57436000000007</v>
      </c>
    </row>
    <row r="15" spans="1:6" s="6" customFormat="1" ht="15.75" customHeight="1">
      <c r="A15" s="7">
        <v>1060100000</v>
      </c>
      <c r="B15" s="11" t="s">
        <v>9</v>
      </c>
      <c r="C15" s="9">
        <v>295</v>
      </c>
      <c r="D15" s="10">
        <v>103.58687999999999</v>
      </c>
      <c r="E15" s="5">
        <f t="shared" si="0"/>
        <v>35.114196610169493</v>
      </c>
      <c r="F15" s="9">
        <f>SUM(D15-C15)</f>
        <v>-191.41311999999999</v>
      </c>
    </row>
    <row r="16" spans="1:6" ht="15" customHeight="1">
      <c r="A16" s="7">
        <v>1060600000</v>
      </c>
      <c r="B16" s="11" t="s">
        <v>8</v>
      </c>
      <c r="C16" s="9">
        <f>181.7+1068.3</f>
        <v>1250</v>
      </c>
      <c r="D16" s="10">
        <v>493.83875999999998</v>
      </c>
      <c r="E16" s="5">
        <f t="shared" si="0"/>
        <v>39.507100800000003</v>
      </c>
      <c r="F16" s="9">
        <f t="shared" si="1"/>
        <v>-756.16124000000002</v>
      </c>
    </row>
    <row r="17" spans="1:6" s="6" customFormat="1" ht="18" customHeight="1">
      <c r="A17" s="3">
        <v>1080000000</v>
      </c>
      <c r="B17" s="4" t="s">
        <v>11</v>
      </c>
      <c r="C17" s="5">
        <f>C18</f>
        <v>12</v>
      </c>
      <c r="D17" s="5">
        <f>D18</f>
        <v>9.0749999999999993</v>
      </c>
      <c r="E17" s="5">
        <f t="shared" si="0"/>
        <v>75.625</v>
      </c>
      <c r="F17" s="5">
        <f t="shared" si="1"/>
        <v>-2.9250000000000007</v>
      </c>
    </row>
    <row r="18" spans="1:6" ht="18" customHeight="1">
      <c r="A18" s="7">
        <v>1080400001</v>
      </c>
      <c r="B18" s="8" t="s">
        <v>228</v>
      </c>
      <c r="C18" s="9">
        <v>12</v>
      </c>
      <c r="D18" s="10">
        <v>9.0749999999999993</v>
      </c>
      <c r="E18" s="9">
        <f t="shared" si="0"/>
        <v>75.625</v>
      </c>
      <c r="F18" s="9">
        <f t="shared" si="1"/>
        <v>-2.9250000000000007</v>
      </c>
    </row>
    <row r="19" spans="1:6" ht="0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5">
        <f>C26+C30+C32+C37+C35</f>
        <v>1072</v>
      </c>
      <c r="D25" s="5">
        <f>D26+D30+D32+D35+D37</f>
        <v>783.70733000000007</v>
      </c>
      <c r="E25" s="5">
        <f t="shared" si="0"/>
        <v>73.10702705223882</v>
      </c>
      <c r="F25" s="5">
        <f t="shared" si="1"/>
        <v>-288.29266999999993</v>
      </c>
    </row>
    <row r="26" spans="1:6" s="6" customFormat="1" ht="30.75" customHeight="1">
      <c r="A26" s="68">
        <v>1110000000</v>
      </c>
      <c r="B26" s="69" t="s">
        <v>129</v>
      </c>
      <c r="C26" s="5">
        <f>C28+C29</f>
        <v>286</v>
      </c>
      <c r="D26" s="5">
        <f>D28+D29</f>
        <v>38.515000000000001</v>
      </c>
      <c r="E26" s="5">
        <f t="shared" si="0"/>
        <v>13.466783216783218</v>
      </c>
      <c r="F26" s="5">
        <f t="shared" si="1"/>
        <v>-247.48500000000001</v>
      </c>
    </row>
    <row r="27" spans="1:6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328</v>
      </c>
      <c r="C28" s="12">
        <v>200</v>
      </c>
      <c r="D28" s="10">
        <v>28.4</v>
      </c>
      <c r="E28" s="9">
        <f t="shared" si="0"/>
        <v>14.2</v>
      </c>
      <c r="F28" s="9">
        <f t="shared" si="1"/>
        <v>-171.6</v>
      </c>
    </row>
    <row r="29" spans="1:6">
      <c r="A29" s="7">
        <v>1110503000</v>
      </c>
      <c r="B29" s="11" t="s">
        <v>225</v>
      </c>
      <c r="C29" s="12">
        <v>86</v>
      </c>
      <c r="D29" s="10">
        <v>10.115</v>
      </c>
      <c r="E29" s="9">
        <f>SUM(D29/C29*100)</f>
        <v>11.761627906976745</v>
      </c>
      <c r="F29" s="9">
        <f t="shared" si="1"/>
        <v>-75.885000000000005</v>
      </c>
    </row>
    <row r="30" spans="1:6" s="15" customFormat="1" ht="35.25" customHeight="1">
      <c r="A30" s="68">
        <v>1130000000</v>
      </c>
      <c r="B30" s="69" t="s">
        <v>131</v>
      </c>
      <c r="C30" s="5">
        <f>C31</f>
        <v>200</v>
      </c>
      <c r="D30" s="5">
        <f>D31</f>
        <v>153.99233000000001</v>
      </c>
      <c r="E30" s="5">
        <f t="shared" si="0"/>
        <v>76.996165000000005</v>
      </c>
      <c r="F30" s="5">
        <f t="shared" si="1"/>
        <v>-46.00766999999999</v>
      </c>
    </row>
    <row r="31" spans="1:6" ht="18" customHeight="1">
      <c r="A31" s="7">
        <v>1130206005</v>
      </c>
      <c r="B31" s="8" t="s">
        <v>224</v>
      </c>
      <c r="C31" s="9">
        <v>200</v>
      </c>
      <c r="D31" s="10">
        <v>153.99233000000001</v>
      </c>
      <c r="E31" s="9">
        <f>SUM(D31/C31*100)</f>
        <v>76.996165000000005</v>
      </c>
      <c r="F31" s="9">
        <f t="shared" si="1"/>
        <v>-46.00766999999999</v>
      </c>
    </row>
    <row r="32" spans="1:6" ht="17.25" customHeight="1">
      <c r="A32" s="70">
        <v>1140000000</v>
      </c>
      <c r="B32" s="71" t="s">
        <v>132</v>
      </c>
      <c r="C32" s="5">
        <f>C33+C34</f>
        <v>586</v>
      </c>
      <c r="D32" s="5">
        <f>D33+D34</f>
        <v>591.20000000000005</v>
      </c>
      <c r="E32" s="5">
        <f t="shared" si="0"/>
        <v>100.88737201365188</v>
      </c>
      <c r="F32" s="5">
        <f t="shared" si="1"/>
        <v>5.2000000000000455</v>
      </c>
    </row>
    <row r="33" spans="1:7" ht="19.5" customHeight="1">
      <c r="A33" s="16">
        <v>1140200000</v>
      </c>
      <c r="B33" s="18" t="s">
        <v>133</v>
      </c>
      <c r="C33" s="9">
        <v>586</v>
      </c>
      <c r="D33" s="10">
        <v>591.20000000000005</v>
      </c>
      <c r="E33" s="9">
        <f t="shared" si="0"/>
        <v>100.88737201365188</v>
      </c>
      <c r="F33" s="9">
        <f t="shared" si="1"/>
        <v>5.2000000000000455</v>
      </c>
    </row>
    <row r="34" spans="1:7" hidden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idden="1">
      <c r="A35" s="100">
        <v>1163305010</v>
      </c>
      <c r="B35" s="13" t="s">
        <v>252</v>
      </c>
      <c r="C35" s="5">
        <f>C36</f>
        <v>0</v>
      </c>
      <c r="D35" s="14">
        <f>D36</f>
        <v>0</v>
      </c>
      <c r="E35" s="9" t="e">
        <f t="shared" si="0"/>
        <v>#DIV/0!</v>
      </c>
      <c r="F35" s="9">
        <f t="shared" si="1"/>
        <v>0</v>
      </c>
    </row>
    <row r="36" spans="1:7" ht="63" hidden="1">
      <c r="A36" s="7">
        <v>1163305010</v>
      </c>
      <c r="B36" s="8" t="s">
        <v>268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hidden="1">
      <c r="A37" s="3">
        <v>1170000000</v>
      </c>
      <c r="B37" s="13" t="s">
        <v>135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idden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idden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9.5" customHeight="1">
      <c r="A40" s="3">
        <v>1000000000</v>
      </c>
      <c r="B40" s="4" t="s">
        <v>19</v>
      </c>
      <c r="C40" s="127">
        <f>SUM(C4,C25)</f>
        <v>3711.2200000000003</v>
      </c>
      <c r="D40" s="127">
        <f>D4+D25</f>
        <v>2059.4077299999999</v>
      </c>
      <c r="E40" s="5">
        <f t="shared" si="0"/>
        <v>55.491394474054346</v>
      </c>
      <c r="F40" s="5">
        <f t="shared" si="1"/>
        <v>-1651.8122700000004</v>
      </c>
    </row>
    <row r="41" spans="1:7" s="6" customFormat="1" ht="20.25" customHeight="1">
      <c r="A41" s="3">
        <v>2000000000</v>
      </c>
      <c r="B41" s="4" t="s">
        <v>20</v>
      </c>
      <c r="C41" s="5">
        <f>C42+C43+C44+C46+C47+C45+C48</f>
        <v>6352.6549999999997</v>
      </c>
      <c r="D41" s="5">
        <f>D42+D43+D44+D46+D47+D45+D48</f>
        <v>4507.7009699999999</v>
      </c>
      <c r="E41" s="5">
        <f t="shared" si="0"/>
        <v>70.957748689327531</v>
      </c>
      <c r="F41" s="5">
        <f t="shared" si="1"/>
        <v>-1844.9540299999999</v>
      </c>
      <c r="G41" s="19"/>
    </row>
    <row r="42" spans="1:7" ht="19.5" customHeight="1">
      <c r="A42" s="16">
        <v>2021000000</v>
      </c>
      <c r="B42" s="17" t="s">
        <v>21</v>
      </c>
      <c r="C42" s="12">
        <f>3530.2+26.311</f>
        <v>3556.511</v>
      </c>
      <c r="D42" s="20">
        <v>2661.2429999999999</v>
      </c>
      <c r="E42" s="9">
        <f t="shared" si="0"/>
        <v>74.82735186254169</v>
      </c>
      <c r="F42" s="9">
        <f t="shared" si="1"/>
        <v>-895.26800000000003</v>
      </c>
    </row>
    <row r="43" spans="1:7" ht="18" hidden="1" customHeight="1">
      <c r="A43" s="16">
        <v>2021500200</v>
      </c>
      <c r="B43" s="17" t="s">
        <v>232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 ht="21" customHeight="1">
      <c r="A44" s="16">
        <v>2022000000</v>
      </c>
      <c r="B44" s="17" t="s">
        <v>22</v>
      </c>
      <c r="C44" s="12">
        <v>2232.3000000000002</v>
      </c>
      <c r="D44" s="10">
        <v>1311.752</v>
      </c>
      <c r="E44" s="9">
        <f t="shared" si="0"/>
        <v>58.762352730367773</v>
      </c>
      <c r="F44" s="9">
        <f t="shared" si="1"/>
        <v>-920.54800000000023</v>
      </c>
    </row>
    <row r="45" spans="1:7" hidden="1">
      <c r="A45" s="16">
        <v>2022999910</v>
      </c>
      <c r="B45" s="18" t="s">
        <v>352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21" customHeight="1">
      <c r="A46" s="16">
        <v>2023000000</v>
      </c>
      <c r="B46" s="17" t="s">
        <v>23</v>
      </c>
      <c r="C46" s="12">
        <v>154.24100000000001</v>
      </c>
      <c r="D46" s="252">
        <v>125.105</v>
      </c>
      <c r="E46" s="9">
        <f t="shared" si="0"/>
        <v>81.110080977172089</v>
      </c>
      <c r="F46" s="9">
        <f t="shared" si="1"/>
        <v>-29.13600000000001</v>
      </c>
    </row>
    <row r="47" spans="1:7" hidden="1">
      <c r="A47" s="16">
        <v>2020400000</v>
      </c>
      <c r="B47" s="17" t="s">
        <v>24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16.5" customHeight="1">
      <c r="A48" s="7">
        <v>2070500010</v>
      </c>
      <c r="B48" s="17" t="s">
        <v>353</v>
      </c>
      <c r="C48" s="12">
        <v>409.60300000000001</v>
      </c>
      <c r="D48" s="253">
        <v>409.60097000000002</v>
      </c>
      <c r="E48" s="9">
        <f t="shared" si="0"/>
        <v>99.99950439816115</v>
      </c>
      <c r="F48" s="9">
        <f t="shared" si="1"/>
        <v>-2.0299999999906504E-3</v>
      </c>
    </row>
    <row r="49" spans="1:8" ht="47.25" hidden="1">
      <c r="A49" s="16">
        <v>2020900000</v>
      </c>
      <c r="B49" s="18" t="s">
        <v>25</v>
      </c>
      <c r="C49" s="12"/>
      <c r="D49" s="253"/>
      <c r="E49" s="9" t="e">
        <f t="shared" si="0"/>
        <v>#DIV/0!</v>
      </c>
      <c r="F49" s="9">
        <f t="shared" si="1"/>
        <v>0</v>
      </c>
    </row>
    <row r="50" spans="1:8" hidden="1">
      <c r="A50" s="7">
        <v>2190500005</v>
      </c>
      <c r="B50" s="11" t="s">
        <v>26</v>
      </c>
      <c r="C50" s="14">
        <v>0</v>
      </c>
      <c r="D50" s="14"/>
      <c r="E50" s="5"/>
      <c r="F50" s="5">
        <f>SUM(D50-C50)</f>
        <v>0</v>
      </c>
    </row>
    <row r="51" spans="1:8" s="6" customFormat="1" ht="31.5" hidden="1">
      <c r="A51" s="3">
        <v>3000000000</v>
      </c>
      <c r="B51" s="13" t="s">
        <v>27</v>
      </c>
      <c r="C51" s="122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8" s="6" customFormat="1" ht="23.25" customHeight="1">
      <c r="A52" s="3"/>
      <c r="B52" s="4" t="s">
        <v>28</v>
      </c>
      <c r="C52" s="5">
        <f>SUM(C40,C41,C51)</f>
        <v>10063.875</v>
      </c>
      <c r="D52" s="443">
        <f>D40+D41</f>
        <v>6567.1086999999998</v>
      </c>
      <c r="E52" s="5">
        <f t="shared" si="0"/>
        <v>65.254275316416383</v>
      </c>
      <c r="F52" s="5">
        <f t="shared" si="1"/>
        <v>-3496.7663000000002</v>
      </c>
      <c r="G52" s="94"/>
      <c r="H52" s="94"/>
    </row>
    <row r="53" spans="1:8" s="6" customFormat="1">
      <c r="A53" s="3"/>
      <c r="B53" s="21" t="s">
        <v>321</v>
      </c>
      <c r="C53" s="5">
        <f>C52-C100</f>
        <v>-101.57055000000037</v>
      </c>
      <c r="D53" s="5">
        <f>D52-D100</f>
        <v>66.263979999999719</v>
      </c>
      <c r="E53" s="22"/>
      <c r="F53" s="22"/>
    </row>
    <row r="54" spans="1:8" ht="32.25" customHeight="1">
      <c r="A54" s="23"/>
      <c r="B54" s="24"/>
      <c r="C54" s="115"/>
      <c r="D54" s="115"/>
      <c r="E54" s="26"/>
      <c r="F54" s="27"/>
    </row>
    <row r="55" spans="1:8" ht="63">
      <c r="A55" s="28" t="s">
        <v>1</v>
      </c>
      <c r="B55" s="28" t="s">
        <v>29</v>
      </c>
      <c r="C55" s="146" t="s">
        <v>346</v>
      </c>
      <c r="D55" s="147" t="s">
        <v>419</v>
      </c>
      <c r="E55" s="72" t="s">
        <v>3</v>
      </c>
      <c r="F55" s="74" t="s">
        <v>4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7.25" customHeight="1">
      <c r="A57" s="30" t="s">
        <v>30</v>
      </c>
      <c r="B57" s="31" t="s">
        <v>31</v>
      </c>
      <c r="C57" s="102">
        <f>C58+C59+C60+C61+C62+C64+C63</f>
        <v>1851.9180000000001</v>
      </c>
      <c r="D57" s="102">
        <f>D58+D59+D60+D61+D62+D64+D63</f>
        <v>1051.3605399999999</v>
      </c>
      <c r="E57" s="34">
        <f>SUM(D57/C57*100)</f>
        <v>56.771441284117316</v>
      </c>
      <c r="F57" s="34">
        <f>SUM(D57-C57)</f>
        <v>-800.55746000000022</v>
      </c>
    </row>
    <row r="58" spans="1:8" s="6" customFormat="1" ht="0.75" hidden="1" customHeight="1">
      <c r="A58" s="35" t="s">
        <v>32</v>
      </c>
      <c r="B58" s="36" t="s">
        <v>33</v>
      </c>
      <c r="C58" s="92"/>
      <c r="D58" s="92"/>
      <c r="E58" s="38"/>
      <c r="F58" s="38"/>
    </row>
    <row r="59" spans="1:8" ht="16.5" customHeight="1">
      <c r="A59" s="35" t="s">
        <v>34</v>
      </c>
      <c r="B59" s="39" t="s">
        <v>35</v>
      </c>
      <c r="C59" s="148">
        <v>1840.8510000000001</v>
      </c>
      <c r="D59" s="92">
        <v>1045.2935399999999</v>
      </c>
      <c r="E59" s="38">
        <f t="shared" ref="E59:E100" si="3">SUM(D59/C59*100)</f>
        <v>56.783169305935118</v>
      </c>
      <c r="F59" s="38">
        <f t="shared" ref="F59:F100" si="4">SUM(D59-C59)</f>
        <v>-795.55746000000022</v>
      </c>
    </row>
    <row r="60" spans="1:8" ht="12.75" hidden="1" customHeight="1">
      <c r="A60" s="35" t="s">
        <v>36</v>
      </c>
      <c r="B60" s="39" t="s">
        <v>37</v>
      </c>
      <c r="C60" s="92"/>
      <c r="D60" s="92"/>
      <c r="E60" s="38" t="e">
        <f t="shared" si="3"/>
        <v>#DIV/0!</v>
      </c>
      <c r="F60" s="38">
        <f t="shared" si="4"/>
        <v>0</v>
      </c>
    </row>
    <row r="61" spans="1:8" ht="12.75" hidden="1" customHeight="1">
      <c r="A61" s="35" t="s">
        <v>38</v>
      </c>
      <c r="B61" s="39" t="s">
        <v>39</v>
      </c>
      <c r="C61" s="92"/>
      <c r="D61" s="92"/>
      <c r="E61" s="38" t="e">
        <f t="shared" si="3"/>
        <v>#DIV/0!</v>
      </c>
      <c r="F61" s="38">
        <f t="shared" si="4"/>
        <v>0</v>
      </c>
    </row>
    <row r="62" spans="1:8" ht="16.5" hidden="1" customHeight="1">
      <c r="A62" s="35" t="s">
        <v>40</v>
      </c>
      <c r="B62" s="39" t="s">
        <v>41</v>
      </c>
      <c r="C62" s="92">
        <v>0</v>
      </c>
      <c r="D62" s="92">
        <v>0</v>
      </c>
      <c r="E62" s="38" t="e">
        <f t="shared" si="3"/>
        <v>#DIV/0!</v>
      </c>
      <c r="F62" s="38">
        <f t="shared" si="4"/>
        <v>0</v>
      </c>
    </row>
    <row r="63" spans="1:8" ht="18" customHeight="1">
      <c r="A63" s="35" t="s">
        <v>42</v>
      </c>
      <c r="B63" s="39" t="s">
        <v>43</v>
      </c>
      <c r="C63" s="104">
        <v>5</v>
      </c>
      <c r="D63" s="104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44</v>
      </c>
      <c r="B64" s="39" t="s">
        <v>45</v>
      </c>
      <c r="C64" s="92">
        <v>6.0670000000000002</v>
      </c>
      <c r="D64" s="92">
        <v>6.0670000000000002</v>
      </c>
      <c r="E64" s="38">
        <f t="shared" si="3"/>
        <v>100</v>
      </c>
      <c r="F64" s="38">
        <f t="shared" si="4"/>
        <v>0</v>
      </c>
    </row>
    <row r="65" spans="1:7" s="6" customFormat="1" ht="15.75" customHeight="1">
      <c r="A65" s="41" t="s">
        <v>46</v>
      </c>
      <c r="B65" s="42" t="s">
        <v>47</v>
      </c>
      <c r="C65" s="22">
        <f>C66</f>
        <v>150.881</v>
      </c>
      <c r="D65" s="22">
        <f>D66</f>
        <v>95.171859999999995</v>
      </c>
      <c r="E65" s="34">
        <f t="shared" si="3"/>
        <v>63.077431883404799</v>
      </c>
      <c r="F65" s="34">
        <f t="shared" si="4"/>
        <v>-55.709140000000005</v>
      </c>
    </row>
    <row r="66" spans="1:7">
      <c r="A66" s="43" t="s">
        <v>48</v>
      </c>
      <c r="B66" s="44" t="s">
        <v>49</v>
      </c>
      <c r="C66" s="92">
        <v>150.881</v>
      </c>
      <c r="D66" s="92">
        <v>95.171859999999995</v>
      </c>
      <c r="E66" s="38">
        <f t="shared" si="3"/>
        <v>63.077431883404799</v>
      </c>
      <c r="F66" s="38">
        <f t="shared" si="4"/>
        <v>-55.709140000000005</v>
      </c>
    </row>
    <row r="67" spans="1:7" s="6" customFormat="1" ht="20.25" customHeight="1">
      <c r="A67" s="30" t="s">
        <v>50</v>
      </c>
      <c r="B67" s="31" t="s">
        <v>51</v>
      </c>
      <c r="C67" s="22">
        <f>C70+C71</f>
        <v>4</v>
      </c>
      <c r="D67" s="22">
        <f>D70+D71</f>
        <v>2</v>
      </c>
      <c r="E67" s="34">
        <f t="shared" si="3"/>
        <v>50</v>
      </c>
      <c r="F67" s="34">
        <f t="shared" si="4"/>
        <v>-2</v>
      </c>
    </row>
    <row r="68" spans="1:7" ht="0.75" hidden="1" customHeight="1">
      <c r="A68" s="35" t="s">
        <v>52</v>
      </c>
      <c r="B68" s="39" t="s">
        <v>53</v>
      </c>
      <c r="C68" s="92"/>
      <c r="D68" s="92"/>
      <c r="E68" s="34" t="e">
        <f t="shared" si="3"/>
        <v>#DIV/0!</v>
      </c>
      <c r="F68" s="34">
        <f t="shared" si="4"/>
        <v>0</v>
      </c>
    </row>
    <row r="69" spans="1:7" ht="16.5" hidden="1" customHeight="1">
      <c r="A69" s="45" t="s">
        <v>54</v>
      </c>
      <c r="B69" s="39" t="s">
        <v>55</v>
      </c>
      <c r="C69" s="92">
        <v>0</v>
      </c>
      <c r="D69" s="92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2">
        <v>2</v>
      </c>
      <c r="D70" s="92">
        <v>2</v>
      </c>
      <c r="E70" s="34">
        <f t="shared" si="3"/>
        <v>100</v>
      </c>
      <c r="F70" s="34">
        <f t="shared" si="4"/>
        <v>0</v>
      </c>
    </row>
    <row r="71" spans="1:7" ht="15" customHeight="1">
      <c r="A71" s="46" t="s">
        <v>219</v>
      </c>
      <c r="B71" s="47" t="s">
        <v>220</v>
      </c>
      <c r="C71" s="92">
        <v>2</v>
      </c>
      <c r="D71" s="92">
        <v>0</v>
      </c>
      <c r="E71" s="38">
        <f t="shared" si="3"/>
        <v>0</v>
      </c>
      <c r="F71" s="38">
        <f t="shared" si="4"/>
        <v>-2</v>
      </c>
    </row>
    <row r="72" spans="1:7" s="6" customFormat="1" ht="17.25" customHeight="1">
      <c r="A72" s="30" t="s">
        <v>58</v>
      </c>
      <c r="B72" s="31" t="s">
        <v>59</v>
      </c>
      <c r="C72" s="105">
        <f>C74+C75+C76+C73</f>
        <v>3322.8085499999997</v>
      </c>
      <c r="D72" s="105">
        <f>SUM(D73:D76)</f>
        <v>2901.1199099999999</v>
      </c>
      <c r="E72" s="34">
        <f t="shared" si="3"/>
        <v>87.309270646965203</v>
      </c>
      <c r="F72" s="34">
        <f t="shared" si="4"/>
        <v>-421.68863999999985</v>
      </c>
    </row>
    <row r="73" spans="1:7" ht="15.75" customHeight="1">
      <c r="A73" s="35" t="s">
        <v>60</v>
      </c>
      <c r="B73" s="39" t="s">
        <v>61</v>
      </c>
      <c r="C73" s="106">
        <v>9.7100000000000009</v>
      </c>
      <c r="D73" s="92">
        <v>0</v>
      </c>
      <c r="E73" s="38">
        <f t="shared" si="3"/>
        <v>0</v>
      </c>
      <c r="F73" s="38">
        <f t="shared" si="4"/>
        <v>-9.7100000000000009</v>
      </c>
    </row>
    <row r="74" spans="1:7" s="6" customFormat="1" ht="19.5" customHeight="1">
      <c r="A74" s="35" t="s">
        <v>62</v>
      </c>
      <c r="B74" s="39" t="s">
        <v>63</v>
      </c>
      <c r="C74" s="106">
        <v>682.49300000000005</v>
      </c>
      <c r="D74" s="92">
        <v>558.11780999999996</v>
      </c>
      <c r="E74" s="38">
        <f t="shared" si="3"/>
        <v>81.776342028416394</v>
      </c>
      <c r="F74" s="38">
        <f t="shared" si="4"/>
        <v>-124.37519000000009</v>
      </c>
      <c r="G74" s="50"/>
    </row>
    <row r="75" spans="1:7">
      <c r="A75" s="35" t="s">
        <v>64</v>
      </c>
      <c r="B75" s="39" t="s">
        <v>65</v>
      </c>
      <c r="C75" s="106">
        <v>2485.1755499999999</v>
      </c>
      <c r="D75" s="92">
        <v>2241.6111000000001</v>
      </c>
      <c r="E75" s="38">
        <f t="shared" si="3"/>
        <v>90.199306040975657</v>
      </c>
      <c r="F75" s="38">
        <f t="shared" si="4"/>
        <v>-243.56444999999985</v>
      </c>
    </row>
    <row r="76" spans="1:7">
      <c r="A76" s="35" t="s">
        <v>66</v>
      </c>
      <c r="B76" s="39" t="s">
        <v>67</v>
      </c>
      <c r="C76" s="106">
        <v>145.43</v>
      </c>
      <c r="D76" s="92">
        <v>101.39100000000001</v>
      </c>
      <c r="E76" s="38">
        <f t="shared" si="3"/>
        <v>69.718077425565568</v>
      </c>
      <c r="F76" s="38">
        <f t="shared" si="4"/>
        <v>-44.039000000000001</v>
      </c>
    </row>
    <row r="77" spans="1:7" s="6" customFormat="1" ht="22.5" customHeight="1">
      <c r="A77" s="30" t="s">
        <v>68</v>
      </c>
      <c r="B77" s="31" t="s">
        <v>69</v>
      </c>
      <c r="C77" s="22">
        <f>SUM(C78:C81)</f>
        <v>1148.07</v>
      </c>
      <c r="D77" s="22">
        <f>SUM(D78:D81)</f>
        <v>400.05903999999998</v>
      </c>
      <c r="E77" s="34">
        <f t="shared" si="3"/>
        <v>34.846223662320241</v>
      </c>
      <c r="F77" s="34">
        <f t="shared" si="4"/>
        <v>-748.01095999999995</v>
      </c>
    </row>
    <row r="78" spans="1:7" ht="2.25" hidden="1" customHeight="1">
      <c r="A78" s="35" t="s">
        <v>70</v>
      </c>
      <c r="B78" s="51" t="s">
        <v>71</v>
      </c>
      <c r="C78" s="92">
        <v>0</v>
      </c>
      <c r="D78" s="92">
        <v>0</v>
      </c>
      <c r="E78" s="38" t="e">
        <f t="shared" si="3"/>
        <v>#DIV/0!</v>
      </c>
      <c r="F78" s="38">
        <f t="shared" si="4"/>
        <v>0</v>
      </c>
    </row>
    <row r="79" spans="1:7" ht="17.25" hidden="1" customHeight="1">
      <c r="A79" s="35" t="s">
        <v>72</v>
      </c>
      <c r="B79" s="51" t="s">
        <v>73</v>
      </c>
      <c r="C79" s="92"/>
      <c r="D79" s="92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74</v>
      </c>
      <c r="B80" s="39" t="s">
        <v>75</v>
      </c>
      <c r="C80" s="92">
        <v>1148.07</v>
      </c>
      <c r="D80" s="92">
        <v>400.05903999999998</v>
      </c>
      <c r="E80" s="38">
        <f t="shared" si="3"/>
        <v>34.846223662320241</v>
      </c>
      <c r="F80" s="38">
        <f t="shared" si="4"/>
        <v>-748.01095999999995</v>
      </c>
    </row>
    <row r="81" spans="1:6" ht="18" hidden="1" customHeight="1">
      <c r="A81" s="35" t="s">
        <v>264</v>
      </c>
      <c r="B81" s="39" t="s">
        <v>265</v>
      </c>
      <c r="C81" s="92">
        <v>0</v>
      </c>
      <c r="D81" s="92">
        <v>0</v>
      </c>
      <c r="E81" s="38" t="e">
        <f t="shared" si="3"/>
        <v>#DIV/0!</v>
      </c>
      <c r="F81" s="38">
        <f t="shared" si="4"/>
        <v>0</v>
      </c>
    </row>
    <row r="82" spans="1:6" s="6" customFormat="1" ht="18" customHeight="1">
      <c r="A82" s="30" t="s">
        <v>86</v>
      </c>
      <c r="B82" s="31" t="s">
        <v>87</v>
      </c>
      <c r="C82" s="22">
        <f>C83+C84</f>
        <v>3662.768</v>
      </c>
      <c r="D82" s="22">
        <f>D83+D84</f>
        <v>2033.7083700000001</v>
      </c>
      <c r="E82" s="34">
        <f t="shared" si="3"/>
        <v>55.523810680883969</v>
      </c>
      <c r="F82" s="34">
        <f t="shared" si="4"/>
        <v>-1629.05963</v>
      </c>
    </row>
    <row r="83" spans="1:6" ht="17.25" customHeight="1">
      <c r="A83" s="35" t="s">
        <v>88</v>
      </c>
      <c r="B83" s="39" t="s">
        <v>234</v>
      </c>
      <c r="C83" s="92">
        <v>3662.768</v>
      </c>
      <c r="D83" s="92">
        <v>2033.7083700000001</v>
      </c>
      <c r="E83" s="38">
        <f t="shared" si="3"/>
        <v>55.523810680883969</v>
      </c>
      <c r="F83" s="38">
        <f t="shared" si="4"/>
        <v>-1629.05963</v>
      </c>
    </row>
    <row r="84" spans="1:6" ht="2.25" hidden="1" customHeight="1">
      <c r="A84" s="35" t="s">
        <v>273</v>
      </c>
      <c r="B84" s="39" t="s">
        <v>274</v>
      </c>
      <c r="C84" s="92"/>
      <c r="D84" s="92">
        <v>0</v>
      </c>
      <c r="E84" s="38" t="e">
        <f t="shared" si="3"/>
        <v>#DIV/0!</v>
      </c>
      <c r="F84" s="38">
        <f t="shared" si="4"/>
        <v>0</v>
      </c>
    </row>
    <row r="85" spans="1:6" s="6" customFormat="1" ht="15" customHeight="1">
      <c r="A85" s="52">
        <v>1000</v>
      </c>
      <c r="B85" s="31" t="s">
        <v>89</v>
      </c>
      <c r="C85" s="22">
        <f>SUM(C86:C89)</f>
        <v>5</v>
      </c>
      <c r="D85" s="22">
        <f>SUM(D86:D89)</f>
        <v>5</v>
      </c>
      <c r="E85" s="34">
        <f t="shared" si="3"/>
        <v>100</v>
      </c>
      <c r="F85" s="34">
        <f t="shared" si="4"/>
        <v>0</v>
      </c>
    </row>
    <row r="86" spans="1:6" hidden="1">
      <c r="A86" s="53">
        <v>1001</v>
      </c>
      <c r="B86" s="54" t="s">
        <v>90</v>
      </c>
      <c r="C86" s="92"/>
      <c r="D86" s="92"/>
      <c r="E86" s="34" t="e">
        <f t="shared" si="3"/>
        <v>#DIV/0!</v>
      </c>
      <c r="F86" s="38">
        <f t="shared" si="4"/>
        <v>0</v>
      </c>
    </row>
    <row r="87" spans="1:6" hidden="1">
      <c r="A87" s="53">
        <v>1003</v>
      </c>
      <c r="B87" s="54" t="s">
        <v>91</v>
      </c>
      <c r="C87" s="92">
        <v>0</v>
      </c>
      <c r="D87" s="92">
        <v>0</v>
      </c>
      <c r="E87" s="34" t="e">
        <f t="shared" si="3"/>
        <v>#DIV/0!</v>
      </c>
      <c r="F87" s="38">
        <f t="shared" si="4"/>
        <v>0</v>
      </c>
    </row>
    <row r="88" spans="1:6" hidden="1">
      <c r="A88" s="53">
        <v>1004</v>
      </c>
      <c r="B88" s="54" t="s">
        <v>92</v>
      </c>
      <c r="C88" s="92"/>
      <c r="D88" s="277"/>
      <c r="E88" s="34" t="e">
        <f t="shared" si="3"/>
        <v>#DIV/0!</v>
      </c>
      <c r="F88" s="38">
        <f t="shared" si="4"/>
        <v>0</v>
      </c>
    </row>
    <row r="89" spans="1:6">
      <c r="A89" s="35" t="s">
        <v>93</v>
      </c>
      <c r="B89" s="39" t="s">
        <v>94</v>
      </c>
      <c r="C89" s="92">
        <v>5</v>
      </c>
      <c r="D89" s="92">
        <v>5</v>
      </c>
      <c r="E89" s="38">
        <f t="shared" si="3"/>
        <v>100</v>
      </c>
      <c r="F89" s="38">
        <f t="shared" si="4"/>
        <v>0</v>
      </c>
    </row>
    <row r="90" spans="1:6" ht="15" customHeight="1">
      <c r="A90" s="30" t="s">
        <v>95</v>
      </c>
      <c r="B90" s="31" t="s">
        <v>96</v>
      </c>
      <c r="C90" s="22">
        <f>C91+C92+C93+C94+C95</f>
        <v>20</v>
      </c>
      <c r="D90" s="22">
        <f>D91+D92+D93+D94+D95</f>
        <v>12.425000000000001</v>
      </c>
      <c r="E90" s="34">
        <f t="shared" si="3"/>
        <v>62.125000000000007</v>
      </c>
      <c r="F90" s="22">
        <f>F91+F92+F93+F94+F95</f>
        <v>-7.5749999999999993</v>
      </c>
    </row>
    <row r="91" spans="1:6" ht="15.75" customHeight="1">
      <c r="A91" s="35" t="s">
        <v>97</v>
      </c>
      <c r="B91" s="39" t="s">
        <v>98</v>
      </c>
      <c r="C91" s="92">
        <v>20</v>
      </c>
      <c r="D91" s="92">
        <v>12.425000000000001</v>
      </c>
      <c r="E91" s="38">
        <f t="shared" si="3"/>
        <v>62.125000000000007</v>
      </c>
      <c r="F91" s="38">
        <f>SUM(D91-C91)</f>
        <v>-7.5749999999999993</v>
      </c>
    </row>
    <row r="92" spans="1:6" ht="15" hidden="1" customHeight="1">
      <c r="A92" s="35" t="s">
        <v>99</v>
      </c>
      <c r="B92" s="39" t="s">
        <v>100</v>
      </c>
      <c r="C92" s="132"/>
      <c r="D92" s="92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101</v>
      </c>
      <c r="B93" s="39" t="s">
        <v>102</v>
      </c>
      <c r="C93" s="132"/>
      <c r="D93" s="92"/>
      <c r="E93" s="38" t="e">
        <f t="shared" si="3"/>
        <v>#DIV/0!</v>
      </c>
      <c r="F93" s="38"/>
    </row>
    <row r="94" spans="1:6" ht="15" hidden="1" customHeight="1">
      <c r="A94" s="35" t="s">
        <v>103</v>
      </c>
      <c r="B94" s="39" t="s">
        <v>104</v>
      </c>
      <c r="C94" s="132"/>
      <c r="D94" s="92"/>
      <c r="E94" s="38" t="e">
        <f t="shared" si="3"/>
        <v>#DIV/0!</v>
      </c>
      <c r="F94" s="38"/>
    </row>
    <row r="95" spans="1:6" ht="57.75" hidden="1" customHeight="1">
      <c r="A95" s="35" t="s">
        <v>105</v>
      </c>
      <c r="B95" s="39" t="s">
        <v>106</v>
      </c>
      <c r="C95" s="241"/>
      <c r="D95" s="92"/>
      <c r="E95" s="38" t="e">
        <f t="shared" si="3"/>
        <v>#DIV/0!</v>
      </c>
      <c r="F95" s="38"/>
    </row>
    <row r="96" spans="1:6" s="6" customFormat="1" ht="18" hidden="1" customHeight="1">
      <c r="A96" s="52">
        <v>1400</v>
      </c>
      <c r="B96" s="56" t="s">
        <v>115</v>
      </c>
      <c r="C96" s="48"/>
      <c r="D96" s="105"/>
      <c r="E96" s="34" t="e">
        <f t="shared" si="3"/>
        <v>#DIV/0!</v>
      </c>
      <c r="F96" s="34">
        <f t="shared" si="4"/>
        <v>0</v>
      </c>
    </row>
    <row r="97" spans="1:7" ht="16.5" hidden="1" customHeight="1">
      <c r="A97" s="53">
        <v>1401</v>
      </c>
      <c r="B97" s="54" t="s">
        <v>116</v>
      </c>
      <c r="C97" s="106">
        <v>0</v>
      </c>
      <c r="D97" s="92">
        <v>0</v>
      </c>
      <c r="E97" s="38" t="e">
        <f t="shared" si="3"/>
        <v>#DIV/0!</v>
      </c>
      <c r="F97" s="38">
        <f t="shared" si="4"/>
        <v>0</v>
      </c>
    </row>
    <row r="98" spans="1:7" ht="20.25" hidden="1" customHeight="1">
      <c r="A98" s="53">
        <v>1402</v>
      </c>
      <c r="B98" s="54" t="s">
        <v>117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7" ht="13.5" hidden="1" customHeight="1">
      <c r="A99" s="53">
        <v>1403</v>
      </c>
      <c r="B99" s="54" t="s">
        <v>118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7" s="6" customFormat="1" ht="15" customHeight="1">
      <c r="A100" s="52"/>
      <c r="B100" s="57" t="s">
        <v>119</v>
      </c>
      <c r="C100" s="102">
        <f>C57+C65+C67+C72+C77+C82+C90+C85+C96</f>
        <v>10165.44555</v>
      </c>
      <c r="D100" s="102">
        <f>D57+D65+D67+D72+D77+D82+D90+D85+D96</f>
        <v>6500.8447200000001</v>
      </c>
      <c r="E100" s="34">
        <f t="shared" si="3"/>
        <v>63.950416024804738</v>
      </c>
      <c r="F100" s="34">
        <f t="shared" si="4"/>
        <v>-3664.6008300000003</v>
      </c>
      <c r="G100" s="94"/>
    </row>
    <row r="101" spans="1:7" ht="5.25" customHeight="1">
      <c r="D101" s="61"/>
    </row>
    <row r="102" spans="1:7" s="65" customFormat="1" ht="12.75">
      <c r="A102" s="63" t="s">
        <v>120</v>
      </c>
      <c r="B102" s="63"/>
      <c r="C102" s="133"/>
      <c r="D102" s="64"/>
    </row>
    <row r="103" spans="1:7" s="65" customFormat="1" ht="12.75">
      <c r="A103" s="66" t="s">
        <v>121</v>
      </c>
      <c r="B103" s="66"/>
      <c r="C103" s="133" t="s">
        <v>122</v>
      </c>
    </row>
    <row r="141" hidden="1"/>
  </sheetData>
  <customSheetViews>
    <customSheetView guid="{A54C432C-6C68-4B53-A75C-446EB3A61B2B}" scale="70" showPageBreaks="1" hiddenRows="1" view="pageBreakPreview" topLeftCell="A70">
      <selection activeCell="C52" activeCellId="1" sqref="C100:D100 C52:D53"/>
      <pageMargins left="0.70866141732283472" right="0.70866141732283472" top="0.74803149606299213" bottom="0.74803149606299213" header="0.31496062992125984" footer="0.31496062992125984"/>
      <pageSetup paperSize="9" scale="62" orientation="portrait" r:id="rId1"/>
    </customSheetView>
    <customSheetView guid="{B30CE22D-C12F-4E12-8BB9-3AAE0A6991CC}" scale="70" showPageBreaks="1" hiddenRows="1" view="pageBreakPreview" topLeftCell="A63">
      <selection activeCell="G101" sqref="G101"/>
      <pageMargins left="0.74803149606299213" right="0.74803149606299213" top="0.98425196850393704" bottom="0.98425196850393704" header="0.51181102362204722" footer="0.51181102362204722"/>
      <pageSetup paperSize="9" scale="59" orientation="portrait" r:id="rId2"/>
      <headerFooter alignWithMargins="0"/>
    </customSheetView>
    <customSheetView guid="{5BFCA170-DEAE-4D2C-98A0-1E68B427AC01}" showPageBreaks="1" hiddenRows="1" topLeftCell="A52">
      <selection activeCell="B100" sqref="B100"/>
      <pageMargins left="0.75" right="0.75" top="1" bottom="1" header="0.5" footer="0.5"/>
      <pageSetup paperSize="9" scale="46" orientation="portrait" r:id="rId3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4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5"/>
      <headerFooter alignWithMargins="0"/>
    </customSheetView>
  </customSheetViews>
  <mergeCells count="2">
    <mergeCell ref="A1:F1"/>
    <mergeCell ref="A2:F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2" orientation="portrait" r:id="rId6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H142"/>
  <sheetViews>
    <sheetView view="pageBreakPreview" topLeftCell="A73" zoomScale="70" zoomScaleNormal="100" zoomScaleSheetLayoutView="70" workbookViewId="0">
      <selection activeCell="C52" activeCellId="1" sqref="C100:D100 C52:D53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0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436" t="s">
        <v>420</v>
      </c>
      <c r="B1" s="436"/>
      <c r="C1" s="436"/>
      <c r="D1" s="436"/>
      <c r="E1" s="436"/>
      <c r="F1" s="436"/>
    </row>
    <row r="2" spans="1:6">
      <c r="A2" s="436"/>
      <c r="B2" s="436"/>
      <c r="C2" s="436"/>
      <c r="D2" s="436"/>
      <c r="E2" s="436"/>
      <c r="F2" s="43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1663.25</v>
      </c>
      <c r="D4" s="5">
        <f>D5+D12+D14+D17+D7</f>
        <v>836.86727999999994</v>
      </c>
      <c r="E4" s="5">
        <f>SUM(D4/C4*100)</f>
        <v>50.315182924996236</v>
      </c>
      <c r="F4" s="5">
        <f>SUM(D4-C4)</f>
        <v>-826.38272000000006</v>
      </c>
    </row>
    <row r="5" spans="1:6" s="6" customFormat="1">
      <c r="A5" s="68">
        <v>1010000000</v>
      </c>
      <c r="B5" s="67" t="s">
        <v>6</v>
      </c>
      <c r="C5" s="5">
        <f>C6</f>
        <v>82.1</v>
      </c>
      <c r="D5" s="5">
        <f>D6</f>
        <v>60.379530000000003</v>
      </c>
      <c r="E5" s="5">
        <f t="shared" ref="E5:E52" si="0">SUM(D5/C5*100)</f>
        <v>73.543885505481128</v>
      </c>
      <c r="F5" s="5">
        <f t="shared" ref="F5:F52" si="1">SUM(D5-C5)</f>
        <v>-21.720469999999992</v>
      </c>
    </row>
    <row r="6" spans="1:6">
      <c r="A6" s="7">
        <v>1010200001</v>
      </c>
      <c r="B6" s="8" t="s">
        <v>229</v>
      </c>
      <c r="C6" s="9">
        <v>82.1</v>
      </c>
      <c r="D6" s="10">
        <v>60.379530000000003</v>
      </c>
      <c r="E6" s="9">
        <f t="shared" ref="E6:E11" si="2">SUM(D6/C6*100)</f>
        <v>73.543885505481128</v>
      </c>
      <c r="F6" s="9">
        <f t="shared" si="1"/>
        <v>-21.720469999999992</v>
      </c>
    </row>
    <row r="7" spans="1:6" ht="31.5">
      <c r="A7" s="3">
        <v>1030000000</v>
      </c>
      <c r="B7" s="13" t="s">
        <v>281</v>
      </c>
      <c r="C7" s="5">
        <f>C8+C10+C9</f>
        <v>597.75</v>
      </c>
      <c r="D7" s="5">
        <f>D8+D10+D9+D11</f>
        <v>404.12853999999999</v>
      </c>
      <c r="E7" s="9">
        <f t="shared" si="2"/>
        <v>67.608287745713085</v>
      </c>
      <c r="F7" s="9">
        <f t="shared" si="1"/>
        <v>-193.62146000000001</v>
      </c>
    </row>
    <row r="8" spans="1:6">
      <c r="A8" s="7">
        <v>1030223001</v>
      </c>
      <c r="B8" s="8" t="s">
        <v>283</v>
      </c>
      <c r="C8" s="9">
        <v>222.96</v>
      </c>
      <c r="D8" s="10">
        <v>176.36641</v>
      </c>
      <c r="E8" s="9">
        <f t="shared" si="2"/>
        <v>79.102264980265517</v>
      </c>
      <c r="F8" s="9">
        <f t="shared" si="1"/>
        <v>-46.593590000000006</v>
      </c>
    </row>
    <row r="9" spans="1:6">
      <c r="A9" s="7">
        <v>1030224001</v>
      </c>
      <c r="B9" s="8" t="s">
        <v>289</v>
      </c>
      <c r="C9" s="9">
        <v>2.4</v>
      </c>
      <c r="D9" s="10">
        <v>1.5111699999999999</v>
      </c>
      <c r="E9" s="9">
        <f t="shared" si="2"/>
        <v>62.965416666666663</v>
      </c>
      <c r="F9" s="9">
        <f t="shared" si="1"/>
        <v>-0.88883000000000001</v>
      </c>
    </row>
    <row r="10" spans="1:6">
      <c r="A10" s="7">
        <v>1030225001</v>
      </c>
      <c r="B10" s="8" t="s">
        <v>282</v>
      </c>
      <c r="C10" s="9">
        <v>372.39</v>
      </c>
      <c r="D10" s="10">
        <v>267.36774000000003</v>
      </c>
      <c r="E10" s="9">
        <f t="shared" si="2"/>
        <v>71.797776524611294</v>
      </c>
      <c r="F10" s="9">
        <f t="shared" si="1"/>
        <v>-105.02225999999996</v>
      </c>
    </row>
    <row r="11" spans="1:6">
      <c r="A11" s="7">
        <v>1030226001</v>
      </c>
      <c r="B11" s="8" t="s">
        <v>291</v>
      </c>
      <c r="C11" s="9">
        <v>0</v>
      </c>
      <c r="D11" s="10">
        <v>-41.116779999999999</v>
      </c>
      <c r="E11" s="9" t="e">
        <f t="shared" si="2"/>
        <v>#DIV/0!</v>
      </c>
      <c r="F11" s="9">
        <f t="shared" si="1"/>
        <v>-41.116779999999999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3.0432000000000001</v>
      </c>
      <c r="E12" s="5">
        <f t="shared" si="0"/>
        <v>30.432000000000002</v>
      </c>
      <c r="F12" s="5">
        <f t="shared" si="1"/>
        <v>-6.9567999999999994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3.0432000000000001</v>
      </c>
      <c r="E13" s="9">
        <f t="shared" si="0"/>
        <v>30.432000000000002</v>
      </c>
      <c r="F13" s="9">
        <f t="shared" si="1"/>
        <v>-6.9567999999999994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968.4</v>
      </c>
      <c r="D14" s="5">
        <f>D15+D16</f>
        <v>369.31601000000001</v>
      </c>
      <c r="E14" s="5">
        <f t="shared" si="0"/>
        <v>38.136721396117309</v>
      </c>
      <c r="F14" s="5">
        <f t="shared" si="1"/>
        <v>-599.08398999999997</v>
      </c>
    </row>
    <row r="15" spans="1:6" s="6" customFormat="1" ht="15.75" customHeight="1">
      <c r="A15" s="7">
        <v>1060100000</v>
      </c>
      <c r="B15" s="11" t="s">
        <v>9</v>
      </c>
      <c r="C15" s="9">
        <v>183.4</v>
      </c>
      <c r="D15" s="10">
        <v>62.471710000000002</v>
      </c>
      <c r="E15" s="9">
        <f t="shared" si="0"/>
        <v>34.063091603053437</v>
      </c>
      <c r="F15" s="9">
        <f>SUM(D15-C15)</f>
        <v>-120.92829</v>
      </c>
    </row>
    <row r="16" spans="1:6" ht="15.75" customHeight="1">
      <c r="A16" s="7">
        <v>1060600000</v>
      </c>
      <c r="B16" s="11" t="s">
        <v>8</v>
      </c>
      <c r="C16" s="9">
        <v>785</v>
      </c>
      <c r="D16" s="10">
        <v>306.84429999999998</v>
      </c>
      <c r="E16" s="9">
        <f t="shared" si="0"/>
        <v>39.088445859872607</v>
      </c>
      <c r="F16" s="9">
        <f t="shared" si="1"/>
        <v>-478.15570000000002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5">
        <f>D18</f>
        <v>0</v>
      </c>
      <c r="E17" s="5">
        <f t="shared" si="0"/>
        <v>0</v>
      </c>
      <c r="F17" s="5">
        <f t="shared" si="1"/>
        <v>-5</v>
      </c>
    </row>
    <row r="18" spans="1:6" ht="21.75" customHeight="1">
      <c r="A18" s="7">
        <v>1080400001</v>
      </c>
      <c r="B18" s="8" t="s">
        <v>228</v>
      </c>
      <c r="C18" s="9">
        <v>5</v>
      </c>
      <c r="D18" s="10">
        <v>0</v>
      </c>
      <c r="E18" s="9">
        <f t="shared" si="0"/>
        <v>0</v>
      </c>
      <c r="F18" s="9">
        <f t="shared" si="1"/>
        <v>-5</v>
      </c>
    </row>
    <row r="19" spans="1:6" ht="0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</f>
        <v>120</v>
      </c>
      <c r="D25" s="5">
        <f>D26+D30+D32+D37+D35</f>
        <v>32.599159999999998</v>
      </c>
      <c r="E25" s="5">
        <f t="shared" si="0"/>
        <v>27.165966666666662</v>
      </c>
      <c r="F25" s="5">
        <f t="shared" si="1"/>
        <v>-87.400840000000002</v>
      </c>
    </row>
    <row r="26" spans="1:6" s="6" customFormat="1" ht="30" customHeight="1">
      <c r="A26" s="68">
        <v>1110000000</v>
      </c>
      <c r="B26" s="69" t="s">
        <v>129</v>
      </c>
      <c r="C26" s="5">
        <f>C27+C28+C29</f>
        <v>120</v>
      </c>
      <c r="D26" s="5">
        <f>D28+D29</f>
        <v>32.599159999999998</v>
      </c>
      <c r="E26" s="5">
        <f t="shared" si="0"/>
        <v>27.165966666666662</v>
      </c>
      <c r="F26" s="5">
        <f t="shared" si="1"/>
        <v>-87.400840000000002</v>
      </c>
    </row>
    <row r="27" spans="1:6">
      <c r="A27" s="16">
        <v>1110501101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300</v>
      </c>
      <c r="C28" s="12">
        <v>100</v>
      </c>
      <c r="D28" s="10">
        <v>12.19796</v>
      </c>
      <c r="E28" s="9">
        <f t="shared" si="0"/>
        <v>12.19796</v>
      </c>
      <c r="F28" s="9">
        <f t="shared" si="1"/>
        <v>-87.802040000000005</v>
      </c>
    </row>
    <row r="29" spans="1:6" ht="18" customHeight="1">
      <c r="A29" s="7">
        <v>1110503505</v>
      </c>
      <c r="B29" s="11" t="s">
        <v>225</v>
      </c>
      <c r="C29" s="12">
        <v>20</v>
      </c>
      <c r="D29" s="10">
        <v>20.401199999999999</v>
      </c>
      <c r="E29" s="9">
        <f t="shared" si="0"/>
        <v>102.006</v>
      </c>
      <c r="F29" s="9">
        <f t="shared" si="1"/>
        <v>0.40119999999999933</v>
      </c>
    </row>
    <row r="30" spans="1:6" s="15" customFormat="1" ht="15.75" hidden="1" customHeight="1">
      <c r="A30" s="68">
        <v>1130000000</v>
      </c>
      <c r="B30" s="69" t="s">
        <v>131</v>
      </c>
      <c r="C30" s="5">
        <f>C31</f>
        <v>0</v>
      </c>
      <c r="D30" s="5">
        <f>D31</f>
        <v>0</v>
      </c>
      <c r="E30" s="5" t="e">
        <f t="shared" si="0"/>
        <v>#DIV/0!</v>
      </c>
      <c r="F30" s="5">
        <f t="shared" si="1"/>
        <v>0</v>
      </c>
    </row>
    <row r="31" spans="1:6" hidden="1">
      <c r="A31" s="7">
        <v>1130305005</v>
      </c>
      <c r="B31" s="8" t="s">
        <v>15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1.5" hidden="1" customHeight="1">
      <c r="A32" s="70">
        <v>1140000000</v>
      </c>
      <c r="B32" s="71" t="s">
        <v>132</v>
      </c>
      <c r="C32" s="5">
        <f>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idden="1">
      <c r="A33" s="16">
        <v>1140200000</v>
      </c>
      <c r="B33" s="18" t="s">
        <v>133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hidden="1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6.5" hidden="1" customHeight="1">
      <c r="A35" s="3">
        <v>1160000000</v>
      </c>
      <c r="B35" s="13" t="s">
        <v>252</v>
      </c>
      <c r="C35" s="5">
        <f>C36</f>
        <v>0</v>
      </c>
      <c r="D35" s="5">
        <f>D36</f>
        <v>0</v>
      </c>
      <c r="E35" s="5" t="e">
        <f t="shared" si="0"/>
        <v>#DIV/0!</v>
      </c>
      <c r="F35" s="5">
        <f t="shared" si="1"/>
        <v>0</v>
      </c>
    </row>
    <row r="36" spans="1:7" ht="52.5" hidden="1" customHeight="1">
      <c r="A36" s="7">
        <v>1169005010</v>
      </c>
      <c r="B36" s="8" t="s">
        <v>323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ht="18" hidden="1" customHeight="1">
      <c r="A37" s="3">
        <v>1170000000</v>
      </c>
      <c r="B37" s="13" t="s">
        <v>135</v>
      </c>
      <c r="C37" s="5">
        <f>C38+C39</f>
        <v>0</v>
      </c>
      <c r="D37" s="5">
        <f>D38+D39</f>
        <v>0</v>
      </c>
      <c r="E37" s="9" t="e">
        <f t="shared" si="0"/>
        <v>#DIV/0!</v>
      </c>
      <c r="F37" s="5">
        <f t="shared" si="1"/>
        <v>0</v>
      </c>
    </row>
    <row r="38" spans="1:7" ht="15" hidden="1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7.25" hidden="1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1783.25</v>
      </c>
      <c r="D40" s="127">
        <f>D4+D25</f>
        <v>869.46643999999992</v>
      </c>
      <c r="E40" s="5">
        <f t="shared" si="0"/>
        <v>48.757405860086919</v>
      </c>
      <c r="F40" s="5">
        <f t="shared" si="1"/>
        <v>-913.78356000000008</v>
      </c>
    </row>
    <row r="41" spans="1:7" s="6" customFormat="1">
      <c r="A41" s="3">
        <v>2000000000</v>
      </c>
      <c r="B41" s="4" t="s">
        <v>20</v>
      </c>
      <c r="C41" s="5">
        <f>C42+C44+C46+C47+C48+C49+C43+C45+C51</f>
        <v>9550.5293899999997</v>
      </c>
      <c r="D41" s="5">
        <f>D42+D44+D46+D47+D48+D49+D43+D45+D51</f>
        <v>1825.5870000000002</v>
      </c>
      <c r="E41" s="5">
        <f t="shared" si="0"/>
        <v>19.115034627415561</v>
      </c>
      <c r="F41" s="5">
        <f t="shared" si="1"/>
        <v>-7724.9423899999992</v>
      </c>
      <c r="G41" s="19"/>
    </row>
    <row r="42" spans="1:7">
      <c r="A42" s="16">
        <v>2021000000</v>
      </c>
      <c r="B42" s="17" t="s">
        <v>21</v>
      </c>
      <c r="C42" s="99">
        <f>1943.3+29.612</f>
        <v>1972.912</v>
      </c>
      <c r="D42" s="20">
        <v>1464.9580000000001</v>
      </c>
      <c r="E42" s="9">
        <f t="shared" si="0"/>
        <v>74.253590631513219</v>
      </c>
      <c r="F42" s="9">
        <f t="shared" si="1"/>
        <v>-507.95399999999995</v>
      </c>
    </row>
    <row r="43" spans="1:7">
      <c r="A43" s="16">
        <v>2021500200</v>
      </c>
      <c r="B43" s="17" t="s">
        <v>232</v>
      </c>
      <c r="C43" s="12">
        <v>320</v>
      </c>
      <c r="D43" s="20">
        <v>50</v>
      </c>
      <c r="E43" s="9">
        <f t="shared" si="0"/>
        <v>15.625</v>
      </c>
      <c r="F43" s="9">
        <f t="shared" si="1"/>
        <v>-270</v>
      </c>
    </row>
    <row r="44" spans="1:7" ht="16.5" customHeight="1">
      <c r="A44" s="16">
        <v>2022000000</v>
      </c>
      <c r="B44" s="17" t="s">
        <v>22</v>
      </c>
      <c r="C44" s="12">
        <f>5685.10639+469+835.948</f>
        <v>6990.0543900000002</v>
      </c>
      <c r="D44" s="10">
        <v>72.200999999999993</v>
      </c>
      <c r="E44" s="9">
        <f t="shared" si="0"/>
        <v>1.0329104177399682</v>
      </c>
      <c r="F44" s="9">
        <f t="shared" si="1"/>
        <v>-6917.8533900000002</v>
      </c>
    </row>
    <row r="45" spans="1:7" hidden="1">
      <c r="A45" s="16">
        <v>2022999910</v>
      </c>
      <c r="B45" s="18" t="s">
        <v>352</v>
      </c>
      <c r="C45" s="12"/>
      <c r="D45" s="10">
        <v>0</v>
      </c>
      <c r="E45" s="9" t="e">
        <f>SUM(D45/C45*100)</f>
        <v>#DIV/0!</v>
      </c>
      <c r="F45" s="9">
        <f>SUM(D45-C45)</f>
        <v>0</v>
      </c>
    </row>
    <row r="46" spans="1:7">
      <c r="A46" s="16">
        <v>2023000000</v>
      </c>
      <c r="B46" s="17" t="s">
        <v>23</v>
      </c>
      <c r="C46" s="12">
        <f>3.359+150.881</f>
        <v>154.24</v>
      </c>
      <c r="D46" s="252">
        <v>125.105</v>
      </c>
      <c r="E46" s="9">
        <f>SUM(D46/C46*100)</f>
        <v>81.110606846473033</v>
      </c>
      <c r="F46" s="9">
        <f>SUM(D46-C46)</f>
        <v>-29.135000000000005</v>
      </c>
    </row>
    <row r="47" spans="1:7" hidden="1">
      <c r="A47" s="16">
        <v>2020400000</v>
      </c>
      <c r="B47" s="17" t="s">
        <v>24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47.25" hidden="1">
      <c r="A48" s="16">
        <v>2020900000</v>
      </c>
      <c r="B48" s="18" t="s">
        <v>25</v>
      </c>
      <c r="C48" s="12">
        <v>0</v>
      </c>
      <c r="D48" s="253">
        <v>0</v>
      </c>
      <c r="E48" s="9" t="e">
        <f t="shared" si="0"/>
        <v>#DIV/0!</v>
      </c>
      <c r="F48" s="9">
        <f t="shared" si="1"/>
        <v>0</v>
      </c>
    </row>
    <row r="49" spans="1:8" hidden="1">
      <c r="A49" s="7">
        <v>2190500005</v>
      </c>
      <c r="B49" s="11" t="s">
        <v>26</v>
      </c>
      <c r="C49" s="10">
        <v>0</v>
      </c>
      <c r="D49" s="10">
        <v>0</v>
      </c>
      <c r="E49" s="9" t="e">
        <f t="shared" si="0"/>
        <v>#DIV/0!</v>
      </c>
      <c r="F49" s="9">
        <f>SUM(D49-C49)</f>
        <v>0</v>
      </c>
    </row>
    <row r="50" spans="1:8" s="6" customFormat="1" ht="31.5" hidden="1">
      <c r="A50" s="3">
        <v>3000000000</v>
      </c>
      <c r="B50" s="13" t="s">
        <v>27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2070500010</v>
      </c>
      <c r="B51" s="17" t="s">
        <v>359</v>
      </c>
      <c r="C51" s="330">
        <v>113.32299999999999</v>
      </c>
      <c r="D51" s="331">
        <v>113.32299999999999</v>
      </c>
      <c r="E51" s="9">
        <f t="shared" si="0"/>
        <v>100</v>
      </c>
      <c r="F51" s="9">
        <f t="shared" si="1"/>
        <v>0</v>
      </c>
    </row>
    <row r="52" spans="1:8" s="6" customFormat="1" ht="23.25" customHeight="1">
      <c r="A52" s="3"/>
      <c r="B52" s="4" t="s">
        <v>28</v>
      </c>
      <c r="C52" s="5">
        <f>C40+C41</f>
        <v>11333.77939</v>
      </c>
      <c r="D52" s="443">
        <f>D40+D41</f>
        <v>2695.0534400000001</v>
      </c>
      <c r="E52" s="5">
        <f t="shared" si="0"/>
        <v>23.778947403704496</v>
      </c>
      <c r="F52" s="5">
        <f t="shared" si="1"/>
        <v>-8638.72595</v>
      </c>
      <c r="G52" s="94"/>
      <c r="H52" s="94"/>
    </row>
    <row r="53" spans="1:8" s="6" customFormat="1">
      <c r="A53" s="3"/>
      <c r="B53" s="21" t="s">
        <v>321</v>
      </c>
      <c r="C53" s="5">
        <f>C52-C100</f>
        <v>-110.81862000000001</v>
      </c>
      <c r="D53" s="5">
        <f>D52-D100</f>
        <v>356.35919000000013</v>
      </c>
      <c r="E53" s="22"/>
      <c r="F53" s="22"/>
    </row>
    <row r="54" spans="1:8" ht="32.25" customHeight="1">
      <c r="A54" s="23"/>
      <c r="B54" s="24"/>
      <c r="C54" s="248"/>
      <c r="D54" s="25"/>
      <c r="E54" s="26"/>
      <c r="F54" s="27"/>
    </row>
    <row r="55" spans="1:8" ht="63">
      <c r="A55" s="28" t="s">
        <v>1</v>
      </c>
      <c r="B55" s="28" t="s">
        <v>29</v>
      </c>
      <c r="C55" s="72" t="s">
        <v>346</v>
      </c>
      <c r="D55" s="73" t="s">
        <v>412</v>
      </c>
      <c r="E55" s="72" t="s">
        <v>3</v>
      </c>
      <c r="F55" s="74" t="s">
        <v>4</v>
      </c>
    </row>
    <row r="56" spans="1:8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8" customHeight="1">
      <c r="A57" s="30" t="s">
        <v>30</v>
      </c>
      <c r="B57" s="31" t="s">
        <v>31</v>
      </c>
      <c r="C57" s="32">
        <f>C58+C59+C60+C61+C62+C64+C63</f>
        <v>1298.712</v>
      </c>
      <c r="D57" s="33">
        <f>D58+D59+D60+D61+D62+D64+D63</f>
        <v>855.32187999999996</v>
      </c>
      <c r="E57" s="34">
        <f>SUM(D57/C57*100)</f>
        <v>65.859242079845259</v>
      </c>
      <c r="F57" s="34">
        <f>SUM(D57-C57)</f>
        <v>-443.39012000000002</v>
      </c>
    </row>
    <row r="58" spans="1:8" s="6" customFormat="1" ht="1.5" hidden="1" customHeight="1">
      <c r="A58" s="35" t="s">
        <v>32</v>
      </c>
      <c r="B58" s="36" t="s">
        <v>33</v>
      </c>
      <c r="C58" s="37">
        <v>0</v>
      </c>
      <c r="D58" s="37">
        <v>0</v>
      </c>
      <c r="E58" s="38" t="e">
        <f>SUM(D58/C58*100)</f>
        <v>#DIV/0!</v>
      </c>
      <c r="F58" s="38">
        <f>SUM(D58-C58)</f>
        <v>0</v>
      </c>
    </row>
    <row r="59" spans="1:8">
      <c r="A59" s="35" t="s">
        <v>34</v>
      </c>
      <c r="B59" s="39" t="s">
        <v>35</v>
      </c>
      <c r="C59" s="37">
        <v>1265.029</v>
      </c>
      <c r="D59" s="37">
        <v>830.29337999999996</v>
      </c>
      <c r="E59" s="38">
        <f t="shared" ref="E59:E100" si="3">SUM(D59/C59*100)</f>
        <v>65.634335655546238</v>
      </c>
      <c r="F59" s="38">
        <f t="shared" ref="F59:F100" si="4">SUM(D59-C59)</f>
        <v>-434.73562000000004</v>
      </c>
    </row>
    <row r="60" spans="1:8" ht="16.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hidden="1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4.25" customHeight="1">
      <c r="A64" s="35" t="s">
        <v>44</v>
      </c>
      <c r="B64" s="39" t="s">
        <v>45</v>
      </c>
      <c r="C64" s="37">
        <f>22.083+6.6</f>
        <v>28.683</v>
      </c>
      <c r="D64" s="37">
        <v>25.028500000000001</v>
      </c>
      <c r="E64" s="38">
        <f t="shared" si="3"/>
        <v>87.25900359097723</v>
      </c>
      <c r="F64" s="38">
        <f t="shared" si="4"/>
        <v>-3.6544999999999987</v>
      </c>
    </row>
    <row r="65" spans="1:7" s="6" customFormat="1">
      <c r="A65" s="41" t="s">
        <v>46</v>
      </c>
      <c r="B65" s="42" t="s">
        <v>47</v>
      </c>
      <c r="C65" s="32">
        <f>C66</f>
        <v>150.881</v>
      </c>
      <c r="D65" s="32">
        <f>D66</f>
        <v>96.731999999999999</v>
      </c>
      <c r="E65" s="34">
        <f t="shared" si="3"/>
        <v>64.111452071500054</v>
      </c>
      <c r="F65" s="34">
        <f t="shared" si="4"/>
        <v>-54.149000000000001</v>
      </c>
    </row>
    <row r="66" spans="1:7" ht="15" customHeight="1">
      <c r="A66" s="43" t="s">
        <v>48</v>
      </c>
      <c r="B66" s="44" t="s">
        <v>49</v>
      </c>
      <c r="C66" s="37">
        <f>150.881</f>
        <v>150.881</v>
      </c>
      <c r="D66" s="37">
        <v>96.731999999999999</v>
      </c>
      <c r="E66" s="38">
        <f t="shared" si="3"/>
        <v>64.111452071500054</v>
      </c>
      <c r="F66" s="38">
        <f t="shared" si="4"/>
        <v>-54.149000000000001</v>
      </c>
    </row>
    <row r="67" spans="1:7" s="6" customFormat="1" ht="18" customHeight="1">
      <c r="A67" s="30" t="s">
        <v>50</v>
      </c>
      <c r="B67" s="31" t="s">
        <v>51</v>
      </c>
      <c r="C67" s="32">
        <f>C70+C71</f>
        <v>7.6</v>
      </c>
      <c r="D67" s="32">
        <f>D70+D71</f>
        <v>2.4700000000000002</v>
      </c>
      <c r="E67" s="34">
        <f t="shared" si="3"/>
        <v>32.500000000000007</v>
      </c>
      <c r="F67" s="34">
        <f t="shared" si="4"/>
        <v>-5.129999999999999</v>
      </c>
    </row>
    <row r="68" spans="1:7" ht="0.75" hidden="1" customHeight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8" hidden="1" customHeight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37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7.25" customHeight="1">
      <c r="A71" s="46" t="s">
        <v>219</v>
      </c>
      <c r="B71" s="47" t="s">
        <v>220</v>
      </c>
      <c r="C71" s="37">
        <v>5.6</v>
      </c>
      <c r="D71" s="37">
        <v>2.4700000000000002</v>
      </c>
      <c r="E71" s="38">
        <f t="shared" si="3"/>
        <v>44.107142857142861</v>
      </c>
      <c r="F71" s="38">
        <f t="shared" si="4"/>
        <v>-3.1299999999999994</v>
      </c>
    </row>
    <row r="72" spans="1:7" s="6" customFormat="1" ht="19.5" customHeight="1">
      <c r="A72" s="30" t="s">
        <v>58</v>
      </c>
      <c r="B72" s="31" t="s">
        <v>59</v>
      </c>
      <c r="C72" s="48">
        <f>C74+C75+C76+C73</f>
        <v>1935.0906200000002</v>
      </c>
      <c r="D72" s="48">
        <f>SUM(D73:D76)</f>
        <v>352.3</v>
      </c>
      <c r="E72" s="34">
        <f t="shared" si="3"/>
        <v>18.205865728396738</v>
      </c>
      <c r="F72" s="34">
        <f t="shared" si="4"/>
        <v>-1582.7906200000002</v>
      </c>
    </row>
    <row r="73" spans="1:7" ht="17.25" customHeight="1">
      <c r="A73" s="35" t="s">
        <v>60</v>
      </c>
      <c r="B73" s="39" t="s">
        <v>61</v>
      </c>
      <c r="C73" s="49">
        <f>3.359+6.35</f>
        <v>9.7089999999999996</v>
      </c>
      <c r="D73" s="37">
        <v>0</v>
      </c>
      <c r="E73" s="38">
        <f t="shared" si="3"/>
        <v>0</v>
      </c>
      <c r="F73" s="38">
        <f t="shared" si="4"/>
        <v>-9.7089999999999996</v>
      </c>
    </row>
    <row r="74" spans="1:7" s="6" customFormat="1" ht="17.25" customHeight="1">
      <c r="A74" s="35" t="s">
        <v>62</v>
      </c>
      <c r="B74" s="39" t="s">
        <v>63</v>
      </c>
      <c r="C74" s="49">
        <v>251.899</v>
      </c>
      <c r="D74" s="37">
        <v>65</v>
      </c>
      <c r="E74" s="38">
        <f t="shared" si="3"/>
        <v>25.803992870158275</v>
      </c>
      <c r="F74" s="38">
        <f t="shared" si="4"/>
        <v>-186.899</v>
      </c>
      <c r="G74" s="50"/>
    </row>
    <row r="75" spans="1:7" ht="16.5" customHeight="1">
      <c r="A75" s="35" t="s">
        <v>64</v>
      </c>
      <c r="B75" s="39" t="s">
        <v>65</v>
      </c>
      <c r="C75" s="49">
        <f>1059.28262+521.2</f>
        <v>1580.48262</v>
      </c>
      <c r="D75" s="37">
        <v>198</v>
      </c>
      <c r="E75" s="38">
        <f t="shared" si="3"/>
        <v>12.52781887598359</v>
      </c>
      <c r="F75" s="38">
        <f t="shared" si="4"/>
        <v>-1382.48262</v>
      </c>
    </row>
    <row r="76" spans="1:7" ht="16.5" customHeight="1">
      <c r="A76" s="35" t="s">
        <v>66</v>
      </c>
      <c r="B76" s="39" t="s">
        <v>67</v>
      </c>
      <c r="C76" s="49">
        <v>93</v>
      </c>
      <c r="D76" s="37">
        <f>33+56.3</f>
        <v>89.3</v>
      </c>
      <c r="E76" s="38">
        <f t="shared" si="3"/>
        <v>96.021505376344081</v>
      </c>
      <c r="F76" s="38">
        <f t="shared" si="4"/>
        <v>-3.7000000000000028</v>
      </c>
    </row>
    <row r="77" spans="1:7" ht="15.75" hidden="1" customHeight="1">
      <c r="A77" s="30" t="s">
        <v>50</v>
      </c>
      <c r="B77" s="31" t="s">
        <v>51</v>
      </c>
      <c r="C77" s="48">
        <v>0</v>
      </c>
      <c r="D77" s="37"/>
      <c r="E77" s="38"/>
      <c r="F77" s="38"/>
    </row>
    <row r="78" spans="1:7" ht="15.75" hidden="1" customHeight="1">
      <c r="A78" s="46" t="s">
        <v>219</v>
      </c>
      <c r="B78" s="47" t="s">
        <v>220</v>
      </c>
      <c r="C78" s="49">
        <v>0</v>
      </c>
      <c r="D78" s="37"/>
      <c r="E78" s="38"/>
      <c r="F78" s="38"/>
    </row>
    <row r="79" spans="1:7" s="6" customFormat="1" ht="19.5" customHeight="1">
      <c r="A79" s="30" t="s">
        <v>68</v>
      </c>
      <c r="B79" s="31" t="s">
        <v>69</v>
      </c>
      <c r="C79" s="32">
        <f>SUM(C80:C82)</f>
        <v>6684.9143899999999</v>
      </c>
      <c r="D79" s="32">
        <f>SUM(D80:D82)</f>
        <v>135.43883</v>
      </c>
      <c r="E79" s="34">
        <f t="shared" si="3"/>
        <v>2.026036865970994</v>
      </c>
      <c r="F79" s="34">
        <f t="shared" si="4"/>
        <v>-6549.4755599999999</v>
      </c>
    </row>
    <row r="80" spans="1:7" hidden="1">
      <c r="A80" s="35" t="s">
        <v>70</v>
      </c>
      <c r="B80" s="51" t="s">
        <v>71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>
      <c r="A81" s="35" t="s">
        <v>72</v>
      </c>
      <c r="B81" s="51" t="s">
        <v>73</v>
      </c>
      <c r="C81" s="37">
        <v>5884.1903899999998</v>
      </c>
      <c r="D81" s="37">
        <v>0</v>
      </c>
      <c r="E81" s="38">
        <f t="shared" si="3"/>
        <v>0</v>
      </c>
      <c r="F81" s="38">
        <f t="shared" si="4"/>
        <v>-5884.1903899999998</v>
      </c>
    </row>
    <row r="82" spans="1:6">
      <c r="A82" s="35" t="s">
        <v>74</v>
      </c>
      <c r="B82" s="39" t="s">
        <v>75</v>
      </c>
      <c r="C82" s="37">
        <v>800.72400000000005</v>
      </c>
      <c r="D82" s="37">
        <v>135.43883</v>
      </c>
      <c r="E82" s="38">
        <f t="shared" si="3"/>
        <v>16.914546085792356</v>
      </c>
      <c r="F82" s="38">
        <f t="shared" si="4"/>
        <v>-665.28517000000011</v>
      </c>
    </row>
    <row r="83" spans="1:6" s="6" customFormat="1">
      <c r="A83" s="30" t="s">
        <v>86</v>
      </c>
      <c r="B83" s="31" t="s">
        <v>87</v>
      </c>
      <c r="C83" s="32">
        <f>C84</f>
        <v>1357.4</v>
      </c>
      <c r="D83" s="32">
        <f>SUM(D84)</f>
        <v>894.90153999999995</v>
      </c>
      <c r="E83" s="34">
        <f t="shared" si="3"/>
        <v>65.927621924266973</v>
      </c>
      <c r="F83" s="34">
        <f t="shared" si="4"/>
        <v>-462.49846000000014</v>
      </c>
    </row>
    <row r="84" spans="1:6" ht="16.5" customHeight="1">
      <c r="A84" s="35" t="s">
        <v>88</v>
      </c>
      <c r="B84" s="39" t="s">
        <v>234</v>
      </c>
      <c r="C84" s="37">
        <v>1357.4</v>
      </c>
      <c r="D84" s="37">
        <v>894.90153999999995</v>
      </c>
      <c r="E84" s="38">
        <f t="shared" si="3"/>
        <v>65.927621924266973</v>
      </c>
      <c r="F84" s="38">
        <f t="shared" si="4"/>
        <v>-462.49846000000014</v>
      </c>
    </row>
    <row r="85" spans="1:6" s="6" customFormat="1" ht="0.75" hidden="1" customHeight="1">
      <c r="A85" s="52">
        <v>1000</v>
      </c>
      <c r="B85" s="31" t="s">
        <v>89</v>
      </c>
      <c r="C85" s="32">
        <f>SUM(C86:C89)</f>
        <v>0</v>
      </c>
      <c r="D85" s="3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15" hidden="1" customHeight="1">
      <c r="A86" s="53">
        <v>1001</v>
      </c>
      <c r="B86" s="54" t="s">
        <v>90</v>
      </c>
      <c r="C86" s="37"/>
      <c r="D86" s="37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1003</v>
      </c>
      <c r="B87" s="54" t="s">
        <v>91</v>
      </c>
      <c r="C87" s="37">
        <v>0</v>
      </c>
      <c r="D87" s="37">
        <v>0</v>
      </c>
      <c r="E87" s="38" t="e">
        <f t="shared" si="3"/>
        <v>#DIV/0!</v>
      </c>
      <c r="F87" s="38">
        <f t="shared" si="4"/>
        <v>0</v>
      </c>
    </row>
    <row r="88" spans="1:6" ht="16.5" hidden="1" customHeight="1">
      <c r="A88" s="53">
        <v>1004</v>
      </c>
      <c r="B88" s="54" t="s">
        <v>92</v>
      </c>
      <c r="C88" s="37">
        <v>0</v>
      </c>
      <c r="D88" s="55">
        <v>0</v>
      </c>
      <c r="E88" s="38" t="e">
        <f t="shared" si="3"/>
        <v>#DIV/0!</v>
      </c>
      <c r="F88" s="38">
        <f t="shared" si="4"/>
        <v>0</v>
      </c>
    </row>
    <row r="89" spans="1:6" ht="12.75" hidden="1" customHeight="1">
      <c r="A89" s="35" t="s">
        <v>93</v>
      </c>
      <c r="B89" s="39" t="s">
        <v>94</v>
      </c>
      <c r="C89" s="37">
        <v>0</v>
      </c>
      <c r="D89" s="37">
        <v>0</v>
      </c>
      <c r="E89" s="38"/>
      <c r="F89" s="38">
        <f t="shared" si="4"/>
        <v>0</v>
      </c>
    </row>
    <row r="90" spans="1:6" ht="15" customHeight="1">
      <c r="A90" s="30" t="s">
        <v>95</v>
      </c>
      <c r="B90" s="31" t="s">
        <v>96</v>
      </c>
      <c r="C90" s="32">
        <f>C91+C92+C93+C94+C95</f>
        <v>10</v>
      </c>
      <c r="D90" s="32">
        <f>D91+D92+D93+D94+D95</f>
        <v>1.53</v>
      </c>
      <c r="E90" s="38">
        <f t="shared" si="3"/>
        <v>15.299999999999999</v>
      </c>
      <c r="F90" s="22">
        <f>F91+F92+F93+F94+F95</f>
        <v>-8.4700000000000006</v>
      </c>
    </row>
    <row r="91" spans="1:6" ht="19.5" customHeight="1">
      <c r="A91" s="35" t="s">
        <v>97</v>
      </c>
      <c r="B91" s="39" t="s">
        <v>98</v>
      </c>
      <c r="C91" s="37">
        <v>10</v>
      </c>
      <c r="D91" s="37">
        <v>1.53</v>
      </c>
      <c r="E91" s="38">
        <f t="shared" si="3"/>
        <v>15.299999999999999</v>
      </c>
      <c r="F91" s="38">
        <f>SUM(D91-C91)</f>
        <v>-8.4700000000000006</v>
      </c>
    </row>
    <row r="92" spans="1:6" ht="15" hidden="1" customHeight="1">
      <c r="A92" s="35" t="s">
        <v>99</v>
      </c>
      <c r="B92" s="39" t="s">
        <v>100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101</v>
      </c>
      <c r="B93" s="39" t="s">
        <v>102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103</v>
      </c>
      <c r="B94" s="39" t="s">
        <v>104</v>
      </c>
      <c r="C94" s="37"/>
      <c r="D94" s="37"/>
      <c r="E94" s="38" t="e">
        <f t="shared" si="3"/>
        <v>#DIV/0!</v>
      </c>
      <c r="F94" s="38"/>
    </row>
    <row r="95" spans="1:6" ht="57.75" hidden="1" customHeight="1">
      <c r="A95" s="35" t="s">
        <v>105</v>
      </c>
      <c r="B95" s="39" t="s">
        <v>106</v>
      </c>
      <c r="C95" s="241"/>
      <c r="D95" s="241"/>
      <c r="E95" s="38" t="e">
        <f t="shared" si="3"/>
        <v>#DIV/0!</v>
      </c>
      <c r="F95" s="38"/>
    </row>
    <row r="96" spans="1:6" s="6" customFormat="1" ht="15" hidden="1" customHeight="1">
      <c r="A96" s="52">
        <v>1400</v>
      </c>
      <c r="B96" s="56" t="s">
        <v>115</v>
      </c>
      <c r="C96" s="48">
        <f>C97+C98+C99</f>
        <v>0</v>
      </c>
      <c r="D96" s="48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6.5" hidden="1" customHeight="1">
      <c r="A97" s="53">
        <v>1401</v>
      </c>
      <c r="B97" s="54" t="s">
        <v>116</v>
      </c>
      <c r="C97" s="92">
        <v>0</v>
      </c>
      <c r="D97" s="92">
        <v>0</v>
      </c>
      <c r="E97" s="38" t="e">
        <f t="shared" si="3"/>
        <v>#DIV/0!</v>
      </c>
      <c r="F97" s="38">
        <f t="shared" si="4"/>
        <v>0</v>
      </c>
    </row>
    <row r="98" spans="1:6" ht="20.25" hidden="1" customHeight="1">
      <c r="A98" s="53">
        <v>1402</v>
      </c>
      <c r="B98" s="54" t="s">
        <v>117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ht="13.5" hidden="1" customHeight="1">
      <c r="A99" s="53">
        <v>1403</v>
      </c>
      <c r="B99" s="54" t="s">
        <v>118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6" s="6" customFormat="1">
      <c r="A100" s="52"/>
      <c r="B100" s="57" t="s">
        <v>119</v>
      </c>
      <c r="C100" s="102">
        <f>C57+C65+C67+C72+C79+C83+C85+C90+C77</f>
        <v>11444.59801</v>
      </c>
      <c r="D100" s="102">
        <f>D57+D65+D67+D72+D79+D83+D90+D85</f>
        <v>2338.69425</v>
      </c>
      <c r="E100" s="34">
        <f t="shared" si="3"/>
        <v>20.434918272852471</v>
      </c>
      <c r="F100" s="34">
        <f t="shared" si="4"/>
        <v>-9105.9037599999992</v>
      </c>
    </row>
    <row r="101" spans="1:6" ht="5.25" customHeight="1">
      <c r="C101" s="120"/>
      <c r="D101" s="61"/>
    </row>
    <row r="102" spans="1:6" s="65" customFormat="1" ht="12.75">
      <c r="A102" s="63" t="s">
        <v>120</v>
      </c>
      <c r="B102" s="63"/>
      <c r="C102" s="116"/>
      <c r="D102" s="64"/>
    </row>
    <row r="103" spans="1:6" s="65" customFormat="1" ht="12.75">
      <c r="A103" s="66" t="s">
        <v>121</v>
      </c>
      <c r="B103" s="66"/>
      <c r="C103" s="65" t="s">
        <v>122</v>
      </c>
    </row>
    <row r="104" spans="1:6">
      <c r="C104" s="120"/>
    </row>
    <row r="142" hidden="1"/>
  </sheetData>
  <customSheetViews>
    <customSheetView guid="{A54C432C-6C68-4B53-A75C-446EB3A61B2B}" scale="70" showPageBreaks="1" printArea="1" hiddenRows="1" view="pageBreakPreview" topLeftCell="A73">
      <selection activeCell="C52" activeCellId="1" sqref="C100:D100 C52:D53"/>
      <pageMargins left="0.70866141732283472" right="0.70866141732283472" top="0.74803149606299213" bottom="0.74803149606299213" header="0.31496062992125984" footer="0.31496062992125984"/>
      <pageSetup paperSize="9" scale="64" orientation="portrait" r:id="rId1"/>
    </customSheetView>
    <customSheetView guid="{B30CE22D-C12F-4E12-8BB9-3AAE0A6991CC}" scale="70" showPageBreaks="1" printArea="1" hiddenRows="1" view="pageBreakPreview" topLeftCell="A54">
      <selection activeCell="D91" sqref="D91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5BFCA170-DEAE-4D2C-98A0-1E68B427AC01}" showPageBreaks="1" printArea="1" hiddenRows="1" topLeftCell="A47">
      <selection activeCell="B100" sqref="B100"/>
      <pageMargins left="0.7" right="0.7" top="0.75" bottom="0.75" header="0.3" footer="0.3"/>
      <pageSetup paperSize="9" scale="51" orientation="portrait" r:id="rId3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4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4" orientation="portrait" r:id="rId6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41"/>
  <sheetViews>
    <sheetView view="pageBreakPreview" topLeftCell="A53" zoomScale="70" zoomScaleNormal="100" zoomScaleSheetLayoutView="70" workbookViewId="0">
      <selection activeCell="C50" activeCellId="1" sqref="C96:D96 C50:D51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436" t="s">
        <v>421</v>
      </c>
      <c r="B1" s="436"/>
      <c r="C1" s="436"/>
      <c r="D1" s="436"/>
      <c r="E1" s="436"/>
      <c r="F1" s="436"/>
    </row>
    <row r="2" spans="1:6">
      <c r="A2" s="436"/>
      <c r="B2" s="436"/>
      <c r="C2" s="436"/>
      <c r="D2" s="436"/>
      <c r="E2" s="436"/>
      <c r="F2" s="43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281">
        <f>C5+C12+C14+C17+C20+C7</f>
        <v>4160.33</v>
      </c>
      <c r="D4" s="281">
        <f>D5+D12+D14+D17+D20+D7</f>
        <v>2070.4950699999999</v>
      </c>
      <c r="E4" s="5">
        <f>SUM(D4/C4*100)</f>
        <v>49.767568197715086</v>
      </c>
      <c r="F4" s="5">
        <f>SUM(D4-C4)</f>
        <v>-2089.83493</v>
      </c>
    </row>
    <row r="5" spans="1:6" s="6" customFormat="1">
      <c r="A5" s="68">
        <v>1010000000</v>
      </c>
      <c r="B5" s="67" t="s">
        <v>6</v>
      </c>
      <c r="C5" s="281">
        <f>C6</f>
        <v>456.3</v>
      </c>
      <c r="D5" s="281">
        <f>D6</f>
        <v>272.32997</v>
      </c>
      <c r="E5" s="5">
        <f t="shared" ref="E5:E50" si="0">SUM(D5/C5*100)</f>
        <v>59.682220030681563</v>
      </c>
      <c r="F5" s="5">
        <f t="shared" ref="F5:F50" si="1">SUM(D5-C5)</f>
        <v>-183.97003000000001</v>
      </c>
    </row>
    <row r="6" spans="1:6">
      <c r="A6" s="7">
        <v>1010200001</v>
      </c>
      <c r="B6" s="8" t="s">
        <v>229</v>
      </c>
      <c r="C6" s="332">
        <v>456.3</v>
      </c>
      <c r="D6" s="333">
        <v>272.32997</v>
      </c>
      <c r="E6" s="9">
        <f t="shared" ref="E6:E11" si="2">SUM(D6/C6*100)</f>
        <v>59.682220030681563</v>
      </c>
      <c r="F6" s="9">
        <f t="shared" si="1"/>
        <v>-183.97003000000001</v>
      </c>
    </row>
    <row r="7" spans="1:6" ht="31.5">
      <c r="A7" s="3">
        <v>1030000000</v>
      </c>
      <c r="B7" s="13" t="s">
        <v>281</v>
      </c>
      <c r="C7" s="281">
        <f>C8+C10+C9</f>
        <v>713.03000000000009</v>
      </c>
      <c r="D7" s="281">
        <f>D8+D10+D9+D11</f>
        <v>482.06760000000008</v>
      </c>
      <c r="E7" s="5">
        <f t="shared" si="2"/>
        <v>67.608319425550121</v>
      </c>
      <c r="F7" s="5">
        <f t="shared" si="1"/>
        <v>-230.9624</v>
      </c>
    </row>
    <row r="8" spans="1:6">
      <c r="A8" s="7">
        <v>1030223001</v>
      </c>
      <c r="B8" s="8" t="s">
        <v>283</v>
      </c>
      <c r="C8" s="332">
        <v>265.95999999999998</v>
      </c>
      <c r="D8" s="333">
        <v>210.37995000000001</v>
      </c>
      <c r="E8" s="9">
        <f t="shared" si="2"/>
        <v>79.102101819822536</v>
      </c>
      <c r="F8" s="9">
        <f t="shared" si="1"/>
        <v>-55.580049999999972</v>
      </c>
    </row>
    <row r="9" spans="1:6">
      <c r="A9" s="7">
        <v>1030224001</v>
      </c>
      <c r="B9" s="8" t="s">
        <v>289</v>
      </c>
      <c r="C9" s="332">
        <v>2.85</v>
      </c>
      <c r="D9" s="333">
        <v>1.8025800000000001</v>
      </c>
      <c r="E9" s="9">
        <f t="shared" si="2"/>
        <v>63.248421052631578</v>
      </c>
      <c r="F9" s="9">
        <f t="shared" si="1"/>
        <v>-1.04742</v>
      </c>
    </row>
    <row r="10" spans="1:6">
      <c r="A10" s="7">
        <v>1030225001</v>
      </c>
      <c r="B10" s="8" t="s">
        <v>282</v>
      </c>
      <c r="C10" s="332">
        <v>444.22</v>
      </c>
      <c r="D10" s="333">
        <v>318.93153000000001</v>
      </c>
      <c r="E10" s="9">
        <f t="shared" si="2"/>
        <v>71.795851154833187</v>
      </c>
      <c r="F10" s="9">
        <f t="shared" si="1"/>
        <v>-125.28847000000002</v>
      </c>
    </row>
    <row r="11" spans="1:6">
      <c r="A11" s="7">
        <v>1030226001</v>
      </c>
      <c r="B11" s="8" t="s">
        <v>290</v>
      </c>
      <c r="C11" s="332">
        <v>0</v>
      </c>
      <c r="D11" s="331">
        <v>-49.046460000000003</v>
      </c>
      <c r="E11" s="9" t="e">
        <f t="shared" si="2"/>
        <v>#DIV/0!</v>
      </c>
      <c r="F11" s="9">
        <f t="shared" si="1"/>
        <v>-49.046460000000003</v>
      </c>
    </row>
    <row r="12" spans="1:6" s="6" customFormat="1">
      <c r="A12" s="68">
        <v>1050000000</v>
      </c>
      <c r="B12" s="67" t="s">
        <v>7</v>
      </c>
      <c r="C12" s="281">
        <f>SUM(C13:C13)</f>
        <v>50</v>
      </c>
      <c r="D12" s="281">
        <f>D13</f>
        <v>28.16273</v>
      </c>
      <c r="E12" s="5">
        <f t="shared" si="0"/>
        <v>56.325460000000007</v>
      </c>
      <c r="F12" s="5">
        <f t="shared" si="1"/>
        <v>-21.83727</v>
      </c>
    </row>
    <row r="13" spans="1:6" ht="15.75" customHeight="1">
      <c r="A13" s="7">
        <v>1050300000</v>
      </c>
      <c r="B13" s="11" t="s">
        <v>230</v>
      </c>
      <c r="C13" s="334">
        <v>50</v>
      </c>
      <c r="D13" s="333">
        <v>28.16273</v>
      </c>
      <c r="E13" s="9">
        <f t="shared" si="0"/>
        <v>56.325460000000007</v>
      </c>
      <c r="F13" s="9">
        <f t="shared" si="1"/>
        <v>-21.83727</v>
      </c>
    </row>
    <row r="14" spans="1:6" s="6" customFormat="1" ht="15.75" customHeight="1">
      <c r="A14" s="68">
        <v>1060000000</v>
      </c>
      <c r="B14" s="67" t="s">
        <v>136</v>
      </c>
      <c r="C14" s="281">
        <f>C15+C16</f>
        <v>2916</v>
      </c>
      <c r="D14" s="281">
        <f>D15+D16</f>
        <v>1268.03477</v>
      </c>
      <c r="E14" s="5">
        <f t="shared" si="0"/>
        <v>43.485417352537716</v>
      </c>
      <c r="F14" s="5">
        <f t="shared" si="1"/>
        <v>-1647.96523</v>
      </c>
    </row>
    <row r="15" spans="1:6" s="6" customFormat="1" ht="15.75" customHeight="1">
      <c r="A15" s="7">
        <v>1060100000</v>
      </c>
      <c r="B15" s="11" t="s">
        <v>9</v>
      </c>
      <c r="C15" s="332">
        <v>255</v>
      </c>
      <c r="D15" s="333">
        <v>68.353359999999995</v>
      </c>
      <c r="E15" s="9">
        <f t="shared" si="0"/>
        <v>26.805239215686271</v>
      </c>
      <c r="F15" s="9">
        <f>SUM(D15-C15)</f>
        <v>-186.64663999999999</v>
      </c>
    </row>
    <row r="16" spans="1:6" ht="15.75" customHeight="1">
      <c r="A16" s="7">
        <v>1060600000</v>
      </c>
      <c r="B16" s="11" t="s">
        <v>8</v>
      </c>
      <c r="C16" s="332">
        <v>2661</v>
      </c>
      <c r="D16" s="333">
        <v>1199.6814099999999</v>
      </c>
      <c r="E16" s="9">
        <f t="shared" si="0"/>
        <v>45.083856069146933</v>
      </c>
      <c r="F16" s="9">
        <f t="shared" si="1"/>
        <v>-1461.3185900000001</v>
      </c>
    </row>
    <row r="17" spans="1:6" s="6" customFormat="1">
      <c r="A17" s="3">
        <v>1080000000</v>
      </c>
      <c r="B17" s="4" t="s">
        <v>11</v>
      </c>
      <c r="C17" s="281">
        <f>C18</f>
        <v>25</v>
      </c>
      <c r="D17" s="281">
        <f>D18</f>
        <v>19.899999999999999</v>
      </c>
      <c r="E17" s="5">
        <f t="shared" si="0"/>
        <v>79.599999999999994</v>
      </c>
      <c r="F17" s="5">
        <f t="shared" si="1"/>
        <v>-5.1000000000000014</v>
      </c>
    </row>
    <row r="18" spans="1:6" ht="18" customHeight="1">
      <c r="A18" s="7">
        <v>1080400001</v>
      </c>
      <c r="B18" s="8" t="s">
        <v>228</v>
      </c>
      <c r="C18" s="332">
        <v>25</v>
      </c>
      <c r="D18" s="333">
        <v>19.899999999999999</v>
      </c>
      <c r="E18" s="9">
        <f t="shared" si="0"/>
        <v>79.599999999999994</v>
      </c>
      <c r="F18" s="9">
        <f t="shared" si="1"/>
        <v>-5.1000000000000014</v>
      </c>
    </row>
    <row r="19" spans="1:6" ht="47.25" hidden="1" customHeight="1">
      <c r="A19" s="7">
        <v>1080714001</v>
      </c>
      <c r="B19" s="8" t="s">
        <v>12</v>
      </c>
      <c r="C19" s="332"/>
      <c r="D19" s="333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281">
        <f>C21+C22+C23+C24</f>
        <v>0</v>
      </c>
      <c r="D20" s="281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281"/>
      <c r="D21" s="335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281"/>
      <c r="D22" s="335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281"/>
      <c r="D23" s="335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281"/>
      <c r="D24" s="335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281">
        <f>C26+C29+C31+C36</f>
        <v>72</v>
      </c>
      <c r="D25" s="93">
        <f>D26+D29+D31+D36+D34</f>
        <v>-269.79305999999997</v>
      </c>
      <c r="E25" s="5">
        <f t="shared" si="0"/>
        <v>-374.71258333333333</v>
      </c>
      <c r="F25" s="5">
        <f t="shared" si="1"/>
        <v>-341.79305999999997</v>
      </c>
    </row>
    <row r="26" spans="1:6" s="6" customFormat="1" ht="30" customHeight="1">
      <c r="A26" s="68">
        <v>1110000000</v>
      </c>
      <c r="B26" s="69" t="s">
        <v>129</v>
      </c>
      <c r="C26" s="281">
        <f>C27+C28</f>
        <v>72</v>
      </c>
      <c r="D26" s="93">
        <f>D27+D28</f>
        <v>-286.74849999999998</v>
      </c>
      <c r="E26" s="5">
        <f t="shared" si="0"/>
        <v>-398.2618055555555</v>
      </c>
      <c r="F26" s="5">
        <f t="shared" si="1"/>
        <v>-358.74849999999998</v>
      </c>
    </row>
    <row r="27" spans="1:6" ht="15" customHeight="1">
      <c r="A27" s="16">
        <v>1110502510</v>
      </c>
      <c r="B27" s="17" t="s">
        <v>226</v>
      </c>
      <c r="C27" s="334">
        <v>70</v>
      </c>
      <c r="D27" s="331">
        <v>-286.74849999999998</v>
      </c>
      <c r="E27" s="9">
        <f t="shared" si="0"/>
        <v>-409.64071428571424</v>
      </c>
      <c r="F27" s="9">
        <f t="shared" si="1"/>
        <v>-356.74849999999998</v>
      </c>
    </row>
    <row r="28" spans="1:6" ht="15.75" customHeight="1">
      <c r="A28" s="7">
        <v>1110503505</v>
      </c>
      <c r="B28" s="11" t="s">
        <v>225</v>
      </c>
      <c r="C28" s="334">
        <v>2</v>
      </c>
      <c r="D28" s="333">
        <v>0</v>
      </c>
      <c r="E28" s="9">
        <f t="shared" si="0"/>
        <v>0</v>
      </c>
      <c r="F28" s="9">
        <f t="shared" si="1"/>
        <v>-2</v>
      </c>
    </row>
    <row r="29" spans="1:6" s="15" customFormat="1" ht="29.25">
      <c r="A29" s="68">
        <v>1130000000</v>
      </c>
      <c r="B29" s="69" t="s">
        <v>131</v>
      </c>
      <c r="C29" s="281">
        <f>C30</f>
        <v>0</v>
      </c>
      <c r="D29" s="281">
        <f>D30</f>
        <v>17.34844</v>
      </c>
      <c r="E29" s="5" t="e">
        <f t="shared" si="0"/>
        <v>#DIV/0!</v>
      </c>
      <c r="F29" s="5">
        <f t="shared" si="1"/>
        <v>17.34844</v>
      </c>
    </row>
    <row r="30" spans="1:6" ht="17.25" customHeight="1">
      <c r="A30" s="7">
        <v>1130206005</v>
      </c>
      <c r="B30" s="8" t="s">
        <v>224</v>
      </c>
      <c r="C30" s="332">
        <v>0</v>
      </c>
      <c r="D30" s="333">
        <v>17.34844</v>
      </c>
      <c r="E30" s="9" t="e">
        <f t="shared" si="0"/>
        <v>#DIV/0!</v>
      </c>
      <c r="F30" s="9">
        <f t="shared" si="1"/>
        <v>17.34844</v>
      </c>
    </row>
    <row r="31" spans="1:6" ht="28.5" hidden="1">
      <c r="A31" s="70">
        <v>1140000000</v>
      </c>
      <c r="B31" s="71" t="s">
        <v>132</v>
      </c>
      <c r="C31" s="281">
        <f>C32+C33</f>
        <v>0</v>
      </c>
      <c r="D31" s="281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222</v>
      </c>
      <c r="C32" s="332">
        <v>0</v>
      </c>
      <c r="D32" s="333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223</v>
      </c>
      <c r="C33" s="332">
        <v>0</v>
      </c>
      <c r="D33" s="333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1160000000</v>
      </c>
      <c r="B34" s="13" t="s">
        <v>252</v>
      </c>
      <c r="C34" s="281">
        <f>C35</f>
        <v>0</v>
      </c>
      <c r="D34" s="281">
        <f>D35</f>
        <v>0</v>
      </c>
      <c r="E34" s="5" t="e">
        <f>SUM(D34/C34*100)</f>
        <v>#DIV/0!</v>
      </c>
      <c r="F34" s="5">
        <f>SUM(D34-C34)</f>
        <v>0</v>
      </c>
    </row>
    <row r="35" spans="1:7" ht="47.25" hidden="1">
      <c r="A35" s="7">
        <v>1163305010</v>
      </c>
      <c r="B35" s="8" t="s">
        <v>268</v>
      </c>
      <c r="C35" s="332">
        <v>0</v>
      </c>
      <c r="D35" s="333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135</v>
      </c>
      <c r="C36" s="281">
        <f>C37+C38</f>
        <v>0</v>
      </c>
      <c r="D36" s="93">
        <f>D37+D38</f>
        <v>-0.39300000000000002</v>
      </c>
      <c r="E36" s="5" t="e">
        <f t="shared" si="0"/>
        <v>#DIV/0!</v>
      </c>
      <c r="F36" s="5">
        <f t="shared" si="1"/>
        <v>-0.39300000000000002</v>
      </c>
    </row>
    <row r="37" spans="1:7" ht="19.5" customHeight="1">
      <c r="A37" s="7">
        <v>1170105005</v>
      </c>
      <c r="B37" s="8" t="s">
        <v>18</v>
      </c>
      <c r="C37" s="332">
        <f>C38</f>
        <v>0</v>
      </c>
      <c r="D37" s="342">
        <v>-0.39300000000000002</v>
      </c>
      <c r="E37" s="9" t="e">
        <f t="shared" si="0"/>
        <v>#DIV/0!</v>
      </c>
      <c r="F37" s="9">
        <f t="shared" si="1"/>
        <v>-0.39300000000000002</v>
      </c>
    </row>
    <row r="38" spans="1:7" ht="17.25" hidden="1" customHeight="1">
      <c r="A38" s="7">
        <v>1170505005</v>
      </c>
      <c r="B38" s="11" t="s">
        <v>221</v>
      </c>
      <c r="C38" s="332">
        <v>0</v>
      </c>
      <c r="D38" s="333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336">
        <f>SUM(C4,C25)</f>
        <v>4232.33</v>
      </c>
      <c r="D39" s="336">
        <f>D4+D25</f>
        <v>1800.70201</v>
      </c>
      <c r="E39" s="5">
        <f t="shared" si="0"/>
        <v>42.546351773136784</v>
      </c>
      <c r="F39" s="5">
        <f t="shared" si="1"/>
        <v>-2431.62799</v>
      </c>
    </row>
    <row r="40" spans="1:7" s="6" customFormat="1">
      <c r="A40" s="3">
        <v>2000000000</v>
      </c>
      <c r="B40" s="4" t="s">
        <v>20</v>
      </c>
      <c r="C40" s="281">
        <f>C41+C43+C45+C46+C47+C48+C42+C44</f>
        <v>2703.2826400000004</v>
      </c>
      <c r="D40" s="281">
        <f>D41+D43+D45+D46+D47+D48+D42</f>
        <v>1230.9511</v>
      </c>
      <c r="E40" s="5">
        <f t="shared" si="0"/>
        <v>45.535419855320782</v>
      </c>
      <c r="F40" s="5">
        <f t="shared" si="1"/>
        <v>-1472.3315400000004</v>
      </c>
      <c r="G40" s="19"/>
    </row>
    <row r="41" spans="1:7">
      <c r="A41" s="16">
        <v>2021000000</v>
      </c>
      <c r="B41" s="17" t="s">
        <v>21</v>
      </c>
      <c r="C41" s="337">
        <v>1128.914</v>
      </c>
      <c r="D41" s="338">
        <v>795.84199999999998</v>
      </c>
      <c r="E41" s="9">
        <f t="shared" si="0"/>
        <v>70.496246835454244</v>
      </c>
      <c r="F41" s="9">
        <f t="shared" si="1"/>
        <v>-333.072</v>
      </c>
    </row>
    <row r="42" spans="1:7" ht="17.25" hidden="1" customHeight="1">
      <c r="A42" s="16">
        <v>2021500200</v>
      </c>
      <c r="B42" s="17" t="s">
        <v>232</v>
      </c>
      <c r="C42" s="337">
        <v>0</v>
      </c>
      <c r="D42" s="338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22</v>
      </c>
      <c r="C43" s="337">
        <v>1190.44364</v>
      </c>
      <c r="D43" s="333">
        <v>85.141999999999996</v>
      </c>
      <c r="E43" s="9">
        <f t="shared" si="0"/>
        <v>7.152123556223124</v>
      </c>
      <c r="F43" s="9">
        <f t="shared" si="1"/>
        <v>-1105.3016399999999</v>
      </c>
    </row>
    <row r="44" spans="1:7" ht="0.75" hidden="1" customHeight="1">
      <c r="A44" s="16">
        <v>2022999910</v>
      </c>
      <c r="B44" s="18" t="s">
        <v>352</v>
      </c>
      <c r="C44" s="337">
        <v>0</v>
      </c>
      <c r="D44" s="333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23</v>
      </c>
      <c r="C45" s="334">
        <v>157.59899999999999</v>
      </c>
      <c r="D45" s="339">
        <v>126.14109999999999</v>
      </c>
      <c r="E45" s="9">
        <f t="shared" si="0"/>
        <v>80.039276898965099</v>
      </c>
      <c r="F45" s="9">
        <f t="shared" si="1"/>
        <v>-31.457899999999995</v>
      </c>
    </row>
    <row r="46" spans="1:7" ht="12.75" hidden="1" customHeight="1">
      <c r="A46" s="16">
        <v>2020400000</v>
      </c>
      <c r="B46" s="17" t="s">
        <v>24</v>
      </c>
      <c r="C46" s="334"/>
      <c r="D46" s="340"/>
      <c r="E46" s="9" t="e">
        <f t="shared" si="0"/>
        <v>#DIV/0!</v>
      </c>
      <c r="F46" s="9">
        <f t="shared" si="1"/>
        <v>0</v>
      </c>
    </row>
    <row r="47" spans="1:7" ht="17.25" customHeight="1">
      <c r="A47" s="7">
        <v>2070500010</v>
      </c>
      <c r="B47" s="17" t="s">
        <v>359</v>
      </c>
      <c r="C47" s="334">
        <v>226.32599999999999</v>
      </c>
      <c r="D47" s="340">
        <v>223.82599999999999</v>
      </c>
      <c r="E47" s="9">
        <f t="shared" si="0"/>
        <v>98.895398672711039</v>
      </c>
      <c r="F47" s="9">
        <f t="shared" si="1"/>
        <v>-2.5</v>
      </c>
    </row>
    <row r="48" spans="1:7" ht="21" hidden="1" customHeight="1">
      <c r="A48" s="7">
        <v>2190500005</v>
      </c>
      <c r="B48" s="11" t="s">
        <v>26</v>
      </c>
      <c r="C48" s="335"/>
      <c r="D48" s="335"/>
      <c r="E48" s="5"/>
      <c r="F48" s="5">
        <f>SUM(D48-C48)</f>
        <v>0</v>
      </c>
    </row>
    <row r="49" spans="1:8" s="6" customFormat="1" ht="17.25" hidden="1" customHeight="1">
      <c r="A49" s="3">
        <v>3000000000</v>
      </c>
      <c r="B49" s="13" t="s">
        <v>27</v>
      </c>
      <c r="C49" s="341">
        <v>0</v>
      </c>
      <c r="D49" s="335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28</v>
      </c>
      <c r="C50" s="442">
        <f>C39+C40</f>
        <v>6935.6126400000003</v>
      </c>
      <c r="D50" s="441">
        <f>D39+D40</f>
        <v>3031.6531100000002</v>
      </c>
      <c r="E50" s="281">
        <f t="shared" si="0"/>
        <v>43.711396056282638</v>
      </c>
      <c r="F50" s="93">
        <f t="shared" si="1"/>
        <v>-3903.9595300000001</v>
      </c>
      <c r="G50" s="151"/>
      <c r="H50" s="296"/>
    </row>
    <row r="51" spans="1:8" s="6" customFormat="1">
      <c r="A51" s="3"/>
      <c r="B51" s="21" t="s">
        <v>321</v>
      </c>
      <c r="C51" s="93">
        <f>C50-C96</f>
        <v>-476.8176999999996</v>
      </c>
      <c r="D51" s="93">
        <f>D50-D96</f>
        <v>-463.94991000000027</v>
      </c>
      <c r="E51" s="32"/>
      <c r="F51" s="32"/>
    </row>
    <row r="52" spans="1:8">
      <c r="A52" s="23"/>
      <c r="B52" s="24"/>
      <c r="C52" s="329"/>
      <c r="D52" s="329"/>
      <c r="E52" s="26"/>
      <c r="F52" s="27"/>
    </row>
    <row r="53" spans="1:8" ht="45.75" customHeight="1">
      <c r="A53" s="28" t="s">
        <v>1</v>
      </c>
      <c r="B53" s="28" t="s">
        <v>29</v>
      </c>
      <c r="C53" s="244" t="s">
        <v>346</v>
      </c>
      <c r="D53" s="245" t="s">
        <v>412</v>
      </c>
      <c r="E53" s="72" t="s">
        <v>3</v>
      </c>
      <c r="F53" s="74" t="s">
        <v>4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29.25" customHeight="1">
      <c r="A55" s="30" t="s">
        <v>30</v>
      </c>
      <c r="B55" s="31" t="s">
        <v>31</v>
      </c>
      <c r="C55" s="32">
        <f>C56+C57+C58+C59+C60+C62+C61</f>
        <v>1604.3</v>
      </c>
      <c r="D55" s="32">
        <f>D56+D57+D58+D59+D60+D62+D61</f>
        <v>981.82691</v>
      </c>
      <c r="E55" s="34">
        <f>SUM(D55/C55*100)</f>
        <v>61.199707660661971</v>
      </c>
      <c r="F55" s="34">
        <f>SUM(D55-C55)</f>
        <v>-622.47308999999996</v>
      </c>
    </row>
    <row r="56" spans="1:8" s="6" customFormat="1" ht="31.5" hidden="1">
      <c r="A56" s="35" t="s">
        <v>32</v>
      </c>
      <c r="B56" s="36" t="s">
        <v>33</v>
      </c>
      <c r="C56" s="37"/>
      <c r="D56" s="37"/>
      <c r="E56" s="38"/>
      <c r="F56" s="38"/>
    </row>
    <row r="57" spans="1:8" ht="15.75" customHeight="1">
      <c r="A57" s="35" t="s">
        <v>34</v>
      </c>
      <c r="B57" s="39" t="s">
        <v>35</v>
      </c>
      <c r="C57" s="37">
        <v>1593.7139999999999</v>
      </c>
      <c r="D57" s="37">
        <v>976.71991000000003</v>
      </c>
      <c r="E57" s="38">
        <f t="shared" ref="E57:E69" si="3">SUM(D57/C57*100)</f>
        <v>61.285770847216</v>
      </c>
      <c r="F57" s="38">
        <f t="shared" ref="F57:F69" si="4">SUM(D57-C57)</f>
        <v>-616.99408999999991</v>
      </c>
    </row>
    <row r="58" spans="1:8" ht="0.75" hidden="1" customHeight="1">
      <c r="A58" s="35" t="s">
        <v>36</v>
      </c>
      <c r="B58" s="39" t="s">
        <v>37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38</v>
      </c>
      <c r="B59" s="39" t="s">
        <v>39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7.25" hidden="1" customHeight="1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42</v>
      </c>
      <c r="B61" s="39" t="s">
        <v>43</v>
      </c>
      <c r="C61" s="37">
        <v>5</v>
      </c>
      <c r="D61" s="32">
        <v>0</v>
      </c>
      <c r="E61" s="38">
        <f t="shared" si="3"/>
        <v>0</v>
      </c>
      <c r="F61" s="38">
        <f t="shared" si="4"/>
        <v>-5</v>
      </c>
    </row>
    <row r="62" spans="1:8" ht="15" customHeight="1">
      <c r="A62" s="35" t="s">
        <v>44</v>
      </c>
      <c r="B62" s="39" t="s">
        <v>45</v>
      </c>
      <c r="C62" s="37">
        <v>5.5860000000000003</v>
      </c>
      <c r="D62" s="37">
        <v>5.1070000000000002</v>
      </c>
      <c r="E62" s="38">
        <f t="shared" si="3"/>
        <v>91.424991049051201</v>
      </c>
      <c r="F62" s="38">
        <f t="shared" si="4"/>
        <v>-0.47900000000000009</v>
      </c>
    </row>
    <row r="63" spans="1:8" s="6" customFormat="1">
      <c r="A63" s="41" t="s">
        <v>46</v>
      </c>
      <c r="B63" s="42" t="s">
        <v>47</v>
      </c>
      <c r="C63" s="32">
        <f>C64</f>
        <v>150.881</v>
      </c>
      <c r="D63" s="32">
        <f>D64</f>
        <v>83.220470000000006</v>
      </c>
      <c r="E63" s="34">
        <f t="shared" si="3"/>
        <v>55.156361635991281</v>
      </c>
      <c r="F63" s="34">
        <f t="shared" si="4"/>
        <v>-67.660529999999994</v>
      </c>
    </row>
    <row r="64" spans="1:8">
      <c r="A64" s="43" t="s">
        <v>48</v>
      </c>
      <c r="B64" s="44" t="s">
        <v>49</v>
      </c>
      <c r="C64" s="37">
        <v>150.881</v>
      </c>
      <c r="D64" s="37">
        <v>83.220470000000006</v>
      </c>
      <c r="E64" s="38">
        <f t="shared" si="3"/>
        <v>55.156361635991281</v>
      </c>
      <c r="F64" s="38">
        <f t="shared" si="4"/>
        <v>-67.660529999999994</v>
      </c>
    </row>
    <row r="65" spans="1:7" s="6" customFormat="1" ht="15.75" customHeight="1">
      <c r="A65" s="30" t="s">
        <v>50</v>
      </c>
      <c r="B65" s="31" t="s">
        <v>51</v>
      </c>
      <c r="C65" s="32">
        <f>C68+C69</f>
        <v>4.4000000000000004</v>
      </c>
      <c r="D65" s="32">
        <f>D68+D69</f>
        <v>1.2</v>
      </c>
      <c r="E65" s="34">
        <f t="shared" si="3"/>
        <v>27.27272727272727</v>
      </c>
      <c r="F65" s="34">
        <f t="shared" si="4"/>
        <v>-3.2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56</v>
      </c>
      <c r="B68" s="47" t="s">
        <v>57</v>
      </c>
      <c r="C68" s="37">
        <v>2</v>
      </c>
      <c r="D68" s="37">
        <v>0</v>
      </c>
      <c r="E68" s="34">
        <f t="shared" si="3"/>
        <v>0</v>
      </c>
      <c r="F68" s="34">
        <f t="shared" si="4"/>
        <v>-2</v>
      </c>
    </row>
    <row r="69" spans="1:7" s="6" customFormat="1" ht="15.75" customHeight="1">
      <c r="A69" s="46" t="s">
        <v>219</v>
      </c>
      <c r="B69" s="47" t="s">
        <v>220</v>
      </c>
      <c r="C69" s="37">
        <v>2.4</v>
      </c>
      <c r="D69" s="37">
        <v>1.2</v>
      </c>
      <c r="E69" s="38">
        <f t="shared" si="3"/>
        <v>50</v>
      </c>
      <c r="F69" s="38">
        <f t="shared" si="4"/>
        <v>-1.2</v>
      </c>
    </row>
    <row r="70" spans="1:7">
      <c r="A70" s="30" t="s">
        <v>58</v>
      </c>
      <c r="B70" s="31" t="s">
        <v>59</v>
      </c>
      <c r="C70" s="48">
        <f>SUM(C71:C74)</f>
        <v>2688.43534</v>
      </c>
      <c r="D70" s="48">
        <f>SUM(D71:D74)</f>
        <v>896.20919000000004</v>
      </c>
      <c r="E70" s="34">
        <f t="shared" ref="E70:E85" si="5">SUM(D70/C70*100)</f>
        <v>33.335716751885876</v>
      </c>
      <c r="F70" s="34">
        <f t="shared" ref="F70:F85" si="6">SUM(D70-C70)</f>
        <v>-1792.22615</v>
      </c>
    </row>
    <row r="71" spans="1:7" s="6" customFormat="1" ht="17.25" customHeight="1">
      <c r="A71" s="35" t="s">
        <v>60</v>
      </c>
      <c r="B71" s="39" t="s">
        <v>61</v>
      </c>
      <c r="C71" s="49">
        <v>19.417999999999999</v>
      </c>
      <c r="D71" s="37">
        <v>3.75</v>
      </c>
      <c r="E71" s="38">
        <f t="shared" si="5"/>
        <v>19.311978576578433</v>
      </c>
      <c r="F71" s="38">
        <f t="shared" si="6"/>
        <v>-15.667999999999999</v>
      </c>
      <c r="G71" s="50"/>
    </row>
    <row r="72" spans="1:7">
      <c r="A72" s="35" t="s">
        <v>62</v>
      </c>
      <c r="B72" s="39" t="s">
        <v>63</v>
      </c>
      <c r="C72" s="49">
        <v>444</v>
      </c>
      <c r="D72" s="37">
        <v>332.91552000000001</v>
      </c>
      <c r="E72" s="38">
        <f t="shared" si="5"/>
        <v>74.980972972972978</v>
      </c>
      <c r="F72" s="38">
        <f t="shared" si="6"/>
        <v>-111.08447999999999</v>
      </c>
    </row>
    <row r="73" spans="1:7">
      <c r="A73" s="35" t="s">
        <v>64</v>
      </c>
      <c r="B73" s="39" t="s">
        <v>65</v>
      </c>
      <c r="C73" s="49">
        <v>2170.0173399999999</v>
      </c>
      <c r="D73" s="37">
        <v>557.54367000000002</v>
      </c>
      <c r="E73" s="38">
        <f t="shared" si="5"/>
        <v>25.693051374418975</v>
      </c>
      <c r="F73" s="38">
        <f t="shared" si="6"/>
        <v>-1612.4736699999999</v>
      </c>
    </row>
    <row r="74" spans="1:7" s="6" customFormat="1">
      <c r="A74" s="35" t="s">
        <v>66</v>
      </c>
      <c r="B74" s="39" t="s">
        <v>67</v>
      </c>
      <c r="C74" s="49">
        <v>55</v>
      </c>
      <c r="D74" s="37">
        <v>2</v>
      </c>
      <c r="E74" s="38">
        <f t="shared" si="5"/>
        <v>3.6363636363636362</v>
      </c>
      <c r="F74" s="38">
        <f t="shared" si="6"/>
        <v>-53</v>
      </c>
    </row>
    <row r="75" spans="1:7" ht="17.25" customHeight="1">
      <c r="A75" s="30" t="s">
        <v>68</v>
      </c>
      <c r="B75" s="31" t="s">
        <v>69</v>
      </c>
      <c r="C75" s="32">
        <f>SUM(C76:C78)</f>
        <v>929.71400000000006</v>
      </c>
      <c r="D75" s="32">
        <f>SUM(D76:D78)</f>
        <v>591.44645000000003</v>
      </c>
      <c r="E75" s="34">
        <f t="shared" si="5"/>
        <v>63.615956089722218</v>
      </c>
      <c r="F75" s="34">
        <f t="shared" si="6"/>
        <v>-338.26755000000003</v>
      </c>
    </row>
    <row r="76" spans="1:7" ht="0.75" hidden="1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5"/>
        <v>#DIV/0!</v>
      </c>
      <c r="F76" s="38">
        <f t="shared" si="6"/>
        <v>0</v>
      </c>
    </row>
    <row r="77" spans="1:7" ht="17.25" hidden="1" customHeight="1">
      <c r="A77" s="35" t="s">
        <v>72</v>
      </c>
      <c r="B77" s="51" t="s">
        <v>73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s="6" customFormat="1">
      <c r="A78" s="35" t="s">
        <v>74</v>
      </c>
      <c r="B78" s="39" t="s">
        <v>75</v>
      </c>
      <c r="C78" s="37">
        <v>929.71400000000006</v>
      </c>
      <c r="D78" s="37">
        <v>591.44645000000003</v>
      </c>
      <c r="E78" s="38">
        <f t="shared" si="5"/>
        <v>63.615956089722218</v>
      </c>
      <c r="F78" s="38">
        <f t="shared" si="6"/>
        <v>-338.26755000000003</v>
      </c>
    </row>
    <row r="79" spans="1:7">
      <c r="A79" s="30" t="s">
        <v>86</v>
      </c>
      <c r="B79" s="31" t="s">
        <v>87</v>
      </c>
      <c r="C79" s="32">
        <f>C80</f>
        <v>2033.7</v>
      </c>
      <c r="D79" s="32">
        <f>D80</f>
        <v>941.7</v>
      </c>
      <c r="E79" s="34">
        <f t="shared" si="5"/>
        <v>46.304764714559674</v>
      </c>
      <c r="F79" s="34">
        <f t="shared" si="6"/>
        <v>-1092</v>
      </c>
    </row>
    <row r="80" spans="1:7" s="6" customFormat="1" ht="15" customHeight="1">
      <c r="A80" s="35" t="s">
        <v>88</v>
      </c>
      <c r="B80" s="39" t="s">
        <v>234</v>
      </c>
      <c r="C80" s="37">
        <v>2033.7</v>
      </c>
      <c r="D80" s="37">
        <v>941.7</v>
      </c>
      <c r="E80" s="38">
        <f t="shared" si="5"/>
        <v>46.304764714559674</v>
      </c>
      <c r="F80" s="38">
        <f t="shared" si="6"/>
        <v>-1092</v>
      </c>
    </row>
    <row r="81" spans="1:6" ht="20.25" hidden="1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5"/>
        <v>#DIV/0!</v>
      </c>
      <c r="F81" s="34">
        <f t="shared" si="6"/>
        <v>0</v>
      </c>
    </row>
    <row r="82" spans="1:6" ht="18" hidden="1" customHeight="1">
      <c r="A82" s="53">
        <v>1001</v>
      </c>
      <c r="B82" s="54" t="s">
        <v>90</v>
      </c>
      <c r="C82" s="37">
        <v>0</v>
      </c>
      <c r="D82" s="37">
        <v>0</v>
      </c>
      <c r="E82" s="38" t="e">
        <f t="shared" si="5"/>
        <v>#DIV/0!</v>
      </c>
      <c r="F82" s="38">
        <f t="shared" si="6"/>
        <v>0</v>
      </c>
    </row>
    <row r="83" spans="1:6" ht="17.25" hidden="1" customHeight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1004</v>
      </c>
      <c r="B84" s="54" t="s">
        <v>92</v>
      </c>
      <c r="C84" s="37">
        <v>0</v>
      </c>
      <c r="D84" s="55">
        <v>0</v>
      </c>
      <c r="E84" s="38" t="e">
        <f t="shared" si="5"/>
        <v>#DIV/0!</v>
      </c>
      <c r="F84" s="38">
        <f t="shared" si="6"/>
        <v>0</v>
      </c>
    </row>
    <row r="85" spans="1:6" ht="21.75" hidden="1" customHeight="1">
      <c r="A85" s="35" t="s">
        <v>93</v>
      </c>
      <c r="B85" s="39" t="s">
        <v>94</v>
      </c>
      <c r="C85" s="37">
        <v>0</v>
      </c>
      <c r="D85" s="37"/>
      <c r="E85" s="38" t="e">
        <f t="shared" si="5"/>
        <v>#DIV/0!</v>
      </c>
      <c r="F85" s="38">
        <f t="shared" si="6"/>
        <v>0</v>
      </c>
    </row>
    <row r="86" spans="1:6">
      <c r="A86" s="30" t="s">
        <v>95</v>
      </c>
      <c r="B86" s="31" t="s">
        <v>96</v>
      </c>
      <c r="C86" s="32">
        <f>C87+C88+C89+C90+C91</f>
        <v>1</v>
      </c>
      <c r="D86" s="32">
        <f>D87+D88+D89+D90+D91</f>
        <v>0</v>
      </c>
      <c r="E86" s="38">
        <f t="shared" ref="E86:E96" si="7">SUM(D86/C86*100)</f>
        <v>0</v>
      </c>
      <c r="F86" s="22">
        <f>F87+F88+F89+F90+F91</f>
        <v>-1</v>
      </c>
    </row>
    <row r="87" spans="1:6" ht="15.75" customHeight="1">
      <c r="A87" s="35" t="s">
        <v>97</v>
      </c>
      <c r="B87" s="39" t="s">
        <v>98</v>
      </c>
      <c r="C87" s="37">
        <v>1</v>
      </c>
      <c r="D87" s="37">
        <v>0</v>
      </c>
      <c r="E87" s="38">
        <f t="shared" si="7"/>
        <v>0</v>
      </c>
      <c r="F87" s="38">
        <f>SUM(D87-C87)</f>
        <v>-1</v>
      </c>
    </row>
    <row r="88" spans="1:6" ht="15" hidden="1" customHeight="1">
      <c r="A88" s="35" t="s">
        <v>99</v>
      </c>
      <c r="B88" s="39" t="s">
        <v>100</v>
      </c>
      <c r="C88" s="37"/>
      <c r="D88" s="37"/>
      <c r="E88" s="38" t="e">
        <f t="shared" si="7"/>
        <v>#DIV/0!</v>
      </c>
      <c r="F88" s="38">
        <f>SUM(D88-C88)</f>
        <v>0</v>
      </c>
    </row>
    <row r="89" spans="1:6" ht="15" hidden="1" customHeight="1">
      <c r="A89" s="35" t="s">
        <v>101</v>
      </c>
      <c r="B89" s="39" t="s">
        <v>102</v>
      </c>
      <c r="C89" s="37"/>
      <c r="D89" s="37"/>
      <c r="E89" s="38" t="e">
        <f t="shared" si="7"/>
        <v>#DIV/0!</v>
      </c>
      <c r="F89" s="38"/>
    </row>
    <row r="90" spans="1:6" ht="15" hidden="1" customHeight="1">
      <c r="A90" s="35" t="s">
        <v>103</v>
      </c>
      <c r="B90" s="39" t="s">
        <v>104</v>
      </c>
      <c r="C90" s="37"/>
      <c r="D90" s="37"/>
      <c r="E90" s="38" t="e">
        <f t="shared" si="7"/>
        <v>#DIV/0!</v>
      </c>
      <c r="F90" s="38"/>
    </row>
    <row r="91" spans="1:6" s="6" customFormat="1" ht="15" hidden="1" customHeight="1">
      <c r="A91" s="35" t="s">
        <v>105</v>
      </c>
      <c r="B91" s="39" t="s">
        <v>106</v>
      </c>
      <c r="C91" s="37"/>
      <c r="D91" s="37"/>
      <c r="E91" s="38" t="e">
        <f t="shared" si="7"/>
        <v>#DIV/0!</v>
      </c>
      <c r="F91" s="38"/>
    </row>
    <row r="92" spans="1:6" ht="18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7"/>
        <v>#DIV/0!</v>
      </c>
      <c r="F92" s="34">
        <f>SUM(D92-C92)</f>
        <v>0</v>
      </c>
    </row>
    <row r="93" spans="1:6" ht="18" hidden="1" customHeight="1">
      <c r="A93" s="53">
        <v>1401</v>
      </c>
      <c r="B93" s="54" t="s">
        <v>116</v>
      </c>
      <c r="C93" s="49"/>
      <c r="D93" s="37"/>
      <c r="E93" s="38" t="e">
        <f t="shared" si="7"/>
        <v>#DIV/0!</v>
      </c>
      <c r="F93" s="38">
        <f>SUM(D93-C93)</f>
        <v>0</v>
      </c>
    </row>
    <row r="94" spans="1:6" ht="18" hidden="1" customHeight="1">
      <c r="A94" s="53">
        <v>1402</v>
      </c>
      <c r="B94" s="54" t="s">
        <v>117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s="6" customFormat="1" ht="18" hidden="1" customHeight="1">
      <c r="A95" s="53">
        <v>1403</v>
      </c>
      <c r="B95" s="54" t="s">
        <v>118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ht="15" customHeight="1">
      <c r="A96" s="52"/>
      <c r="B96" s="57" t="s">
        <v>119</v>
      </c>
      <c r="C96" s="442">
        <f>C55+C63+C65+C70+C75+C79+C81+C86+C92</f>
        <v>7412.4303399999999</v>
      </c>
      <c r="D96" s="442">
        <f>D55+D63+D65+D70+D75+D79+D81+D86+D92</f>
        <v>3495.6030200000005</v>
      </c>
      <c r="E96" s="34">
        <f t="shared" si="7"/>
        <v>47.158662674191156</v>
      </c>
      <c r="F96" s="34">
        <f>SUM(D96-C96)</f>
        <v>-3916.8273199999994</v>
      </c>
    </row>
    <row r="97" spans="1:6" s="65" customFormat="1" ht="22.5" customHeight="1">
      <c r="A97" s="63" t="s">
        <v>120</v>
      </c>
      <c r="B97" s="63"/>
      <c r="C97" s="250"/>
      <c r="D97" s="250"/>
    </row>
    <row r="98" spans="1:6" ht="16.5" customHeight="1">
      <c r="A98" s="66" t="s">
        <v>121</v>
      </c>
      <c r="B98" s="66"/>
      <c r="C98" s="250" t="s">
        <v>122</v>
      </c>
      <c r="D98" s="250"/>
      <c r="E98" s="65"/>
      <c r="F98" s="65"/>
    </row>
    <row r="99" spans="1:6" ht="20.25" customHeight="1">
      <c r="C99" s="120"/>
    </row>
    <row r="100" spans="1:6" ht="13.5" customHeight="1"/>
    <row r="101" spans="1:6" ht="5.25" customHeight="1"/>
    <row r="141" hidden="1"/>
  </sheetData>
  <customSheetViews>
    <customSheetView guid="{A54C432C-6C68-4B53-A75C-446EB3A61B2B}" scale="70" showPageBreaks="1" hiddenRows="1" view="pageBreakPreview" topLeftCell="A53">
      <selection activeCell="C50" activeCellId="1" sqref="C96:D96 C50:D51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B30CE22D-C12F-4E12-8BB9-3AAE0A6991CC}" scale="70" showPageBreaks="1" hiddenRows="1" view="pageBreakPreview" topLeftCell="A47">
      <selection activeCell="D87" sqref="D87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4" orientation="portrait" r:id="rId3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4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6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41"/>
  <sheetViews>
    <sheetView view="pageBreakPreview" topLeftCell="A48" zoomScale="70" zoomScaleNormal="100" zoomScaleSheetLayoutView="70" workbookViewId="0">
      <selection activeCell="C51" activeCellId="1" sqref="C97:D97 C51:D52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36" t="s">
        <v>422</v>
      </c>
      <c r="B1" s="436"/>
      <c r="C1" s="436"/>
      <c r="D1" s="436"/>
      <c r="E1" s="436"/>
      <c r="F1" s="436"/>
    </row>
    <row r="2" spans="1:6">
      <c r="A2" s="436"/>
      <c r="B2" s="436"/>
      <c r="C2" s="436"/>
      <c r="D2" s="436"/>
      <c r="E2" s="436"/>
      <c r="F2" s="43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4251.0099999999993</v>
      </c>
      <c r="D4" s="5">
        <f>D5+D12+D14+D7+D20+D17</f>
        <v>2342.8156399999998</v>
      </c>
      <c r="E4" s="5">
        <f>SUM(D4/C4*100)</f>
        <v>55.111976683188232</v>
      </c>
      <c r="F4" s="5">
        <f>SUM(D4-C4)</f>
        <v>-1908.1943599999995</v>
      </c>
    </row>
    <row r="5" spans="1:6" s="6" customFormat="1">
      <c r="A5" s="68">
        <v>1010000000</v>
      </c>
      <c r="B5" s="67" t="s">
        <v>6</v>
      </c>
      <c r="C5" s="5">
        <f>C6</f>
        <v>1624.2</v>
      </c>
      <c r="D5" s="5">
        <f>D6</f>
        <v>1057.81862</v>
      </c>
      <c r="E5" s="5">
        <f t="shared" ref="E5:E51" si="0">SUM(D5/C5*100)</f>
        <v>65.12859376924024</v>
      </c>
      <c r="F5" s="5">
        <f t="shared" ref="F5:F51" si="1">SUM(D5-C5)</f>
        <v>-566.38138000000004</v>
      </c>
    </row>
    <row r="6" spans="1:6">
      <c r="A6" s="7">
        <v>1010200001</v>
      </c>
      <c r="B6" s="8" t="s">
        <v>229</v>
      </c>
      <c r="C6" s="91">
        <v>1624.2</v>
      </c>
      <c r="D6" s="10">
        <v>1057.81862</v>
      </c>
      <c r="E6" s="9">
        <f t="shared" ref="E6:E11" si="2">SUM(D6/C6*100)</f>
        <v>65.12859376924024</v>
      </c>
      <c r="F6" s="9">
        <f t="shared" si="1"/>
        <v>-566.38138000000004</v>
      </c>
    </row>
    <row r="7" spans="1:6">
      <c r="A7" s="3">
        <v>1030200001</v>
      </c>
      <c r="B7" s="13" t="s">
        <v>279</v>
      </c>
      <c r="C7" s="5">
        <f>C8+C10+C9</f>
        <v>350.11</v>
      </c>
      <c r="D7" s="5">
        <f>D8+D9+D10+D11</f>
        <v>236.70392000000004</v>
      </c>
      <c r="E7" s="9">
        <f t="shared" si="2"/>
        <v>67.60844306075235</v>
      </c>
      <c r="F7" s="9">
        <f t="shared" si="1"/>
        <v>-113.40607999999997</v>
      </c>
    </row>
    <row r="8" spans="1:6">
      <c r="A8" s="7">
        <v>1030223001</v>
      </c>
      <c r="B8" s="8" t="s">
        <v>283</v>
      </c>
      <c r="C8" s="9">
        <v>130.59</v>
      </c>
      <c r="D8" s="10">
        <v>103.30033</v>
      </c>
      <c r="E8" s="9">
        <f t="shared" si="2"/>
        <v>79.102787349720501</v>
      </c>
      <c r="F8" s="9">
        <f t="shared" si="1"/>
        <v>-27.289670000000001</v>
      </c>
    </row>
    <row r="9" spans="1:6">
      <c r="A9" s="7">
        <v>1030224001</v>
      </c>
      <c r="B9" s="8" t="s">
        <v>289</v>
      </c>
      <c r="C9" s="9">
        <v>1.4</v>
      </c>
      <c r="D9" s="10">
        <v>0.88510999999999995</v>
      </c>
      <c r="E9" s="9">
        <f t="shared" si="2"/>
        <v>63.222142857142863</v>
      </c>
      <c r="F9" s="9">
        <f t="shared" si="1"/>
        <v>-0.51488999999999996</v>
      </c>
    </row>
    <row r="10" spans="1:6">
      <c r="A10" s="7">
        <v>1030225001</v>
      </c>
      <c r="B10" s="8" t="s">
        <v>282</v>
      </c>
      <c r="C10" s="9">
        <v>218.12</v>
      </c>
      <c r="D10" s="10">
        <v>156.60111000000001</v>
      </c>
      <c r="E10" s="9">
        <f t="shared" si="2"/>
        <v>71.795850907757199</v>
      </c>
      <c r="F10" s="9">
        <f t="shared" si="1"/>
        <v>-61.518889999999999</v>
      </c>
    </row>
    <row r="11" spans="1:6">
      <c r="A11" s="7">
        <v>1030226001</v>
      </c>
      <c r="B11" s="8" t="s">
        <v>291</v>
      </c>
      <c r="C11" s="9">
        <v>0</v>
      </c>
      <c r="D11" s="10">
        <v>-24.082630000000002</v>
      </c>
      <c r="E11" s="9" t="e">
        <f t="shared" si="2"/>
        <v>#DIV/0!</v>
      </c>
      <c r="F11" s="9">
        <f t="shared" si="1"/>
        <v>-24.082630000000002</v>
      </c>
    </row>
    <row r="12" spans="1:6" s="6" customFormat="1" ht="15" customHeight="1">
      <c r="A12" s="68">
        <v>1050000000</v>
      </c>
      <c r="B12" s="67" t="s">
        <v>7</v>
      </c>
      <c r="C12" s="5">
        <f>SUM(C13:C13)</f>
        <v>50</v>
      </c>
      <c r="D12" s="5">
        <f>SUM(D13:D13)</f>
        <v>75.141949999999994</v>
      </c>
      <c r="E12" s="5">
        <f t="shared" si="0"/>
        <v>150.28389999999999</v>
      </c>
      <c r="F12" s="5">
        <f t="shared" si="1"/>
        <v>25.141949999999994</v>
      </c>
    </row>
    <row r="13" spans="1:6" ht="15.75" customHeight="1">
      <c r="A13" s="7">
        <v>1050300000</v>
      </c>
      <c r="B13" s="11" t="s">
        <v>230</v>
      </c>
      <c r="C13" s="12">
        <v>50</v>
      </c>
      <c r="D13" s="10">
        <v>75.141949999999994</v>
      </c>
      <c r="E13" s="9">
        <f t="shared" si="0"/>
        <v>150.28389999999999</v>
      </c>
      <c r="F13" s="9">
        <f t="shared" si="1"/>
        <v>25.141949999999994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2226.6999999999998</v>
      </c>
      <c r="D14" s="5">
        <f>D15+D16</f>
        <v>973.15115000000003</v>
      </c>
      <c r="E14" s="5">
        <f t="shared" si="0"/>
        <v>43.703738716486285</v>
      </c>
      <c r="F14" s="5">
        <f t="shared" si="1"/>
        <v>-1253.5488499999997</v>
      </c>
    </row>
    <row r="15" spans="1:6" s="6" customFormat="1" ht="15" customHeight="1">
      <c r="A15" s="7">
        <v>1060100000</v>
      </c>
      <c r="B15" s="11" t="s">
        <v>254</v>
      </c>
      <c r="C15" s="9">
        <v>550</v>
      </c>
      <c r="D15" s="10">
        <v>161.27687</v>
      </c>
      <c r="E15" s="9">
        <f t="shared" si="0"/>
        <v>29.323067272727272</v>
      </c>
      <c r="F15" s="9">
        <f>SUM(D15-C15)</f>
        <v>-388.72312999999997</v>
      </c>
    </row>
    <row r="16" spans="1:6" ht="17.25" customHeight="1">
      <c r="A16" s="7">
        <v>1060600000</v>
      </c>
      <c r="B16" s="11" t="s">
        <v>8</v>
      </c>
      <c r="C16" s="9">
        <v>1676.7</v>
      </c>
      <c r="D16" s="10">
        <v>811.87428</v>
      </c>
      <c r="E16" s="9">
        <f t="shared" si="0"/>
        <v>48.42096260511719</v>
      </c>
      <c r="F16" s="9">
        <f t="shared" si="1"/>
        <v>-864.82572000000005</v>
      </c>
    </row>
    <row r="17" spans="1:6" s="6" customFormat="1" ht="0.75" hidden="1" customHeight="1">
      <c r="A17" s="3">
        <v>1080000000</v>
      </c>
      <c r="B17" s="4" t="s">
        <v>11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228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12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128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13</v>
      </c>
      <c r="C25" s="5">
        <f>C26+C29+C31+C34+C36</f>
        <v>20</v>
      </c>
      <c r="D25" s="5">
        <f>D26+D29+D31+D34+D36</f>
        <v>-3.153459999999999</v>
      </c>
      <c r="E25" s="5">
        <f t="shared" si="0"/>
        <v>-15.767299999999995</v>
      </c>
      <c r="F25" s="5">
        <f t="shared" si="1"/>
        <v>-23.153459999999999</v>
      </c>
    </row>
    <row r="26" spans="1:6" s="6" customFormat="1" ht="32.25" customHeight="1">
      <c r="A26" s="68">
        <v>1110000000</v>
      </c>
      <c r="B26" s="69" t="s">
        <v>129</v>
      </c>
      <c r="C26" s="5">
        <f>C27+C28</f>
        <v>10</v>
      </c>
      <c r="D26" s="5">
        <f>D27+D28</f>
        <v>0</v>
      </c>
      <c r="E26" s="5">
        <f t="shared" si="0"/>
        <v>0</v>
      </c>
      <c r="F26" s="5">
        <f t="shared" si="1"/>
        <v>-10</v>
      </c>
    </row>
    <row r="27" spans="1:6" ht="17.25" hidden="1" customHeight="1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10</v>
      </c>
      <c r="D28" s="10">
        <v>0</v>
      </c>
      <c r="E28" s="9">
        <f t="shared" si="0"/>
        <v>0</v>
      </c>
      <c r="F28" s="9">
        <f t="shared" si="1"/>
        <v>-10</v>
      </c>
    </row>
    <row r="29" spans="1:6" s="15" customFormat="1" ht="29.25">
      <c r="A29" s="68">
        <v>1130000000</v>
      </c>
      <c r="B29" s="69" t="s">
        <v>131</v>
      </c>
      <c r="C29" s="5">
        <f>C30</f>
        <v>10</v>
      </c>
      <c r="D29" s="5">
        <f>D30</f>
        <v>8.3664100000000001</v>
      </c>
      <c r="E29" s="5">
        <f t="shared" si="0"/>
        <v>83.664099999999991</v>
      </c>
      <c r="F29" s="5">
        <f t="shared" si="1"/>
        <v>-1.6335899999999999</v>
      </c>
    </row>
    <row r="30" spans="1:6" ht="18" customHeight="1">
      <c r="A30" s="7">
        <v>1130206005</v>
      </c>
      <c r="B30" s="8" t="s">
        <v>224</v>
      </c>
      <c r="C30" s="9">
        <v>10</v>
      </c>
      <c r="D30" s="10">
        <v>8.3664100000000001</v>
      </c>
      <c r="E30" s="9">
        <f t="shared" si="0"/>
        <v>83.664099999999991</v>
      </c>
      <c r="F30" s="9">
        <f t="shared" si="1"/>
        <v>-1.6335899999999999</v>
      </c>
    </row>
    <row r="31" spans="1:6" hidden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1160000000</v>
      </c>
      <c r="B34" s="13" t="s">
        <v>252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 hidden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135</v>
      </c>
      <c r="C36" s="5">
        <f>C37+C38</f>
        <v>0</v>
      </c>
      <c r="D36" s="5">
        <f>D37+D38</f>
        <v>-11.519869999999999</v>
      </c>
      <c r="E36" s="5">
        <v>0</v>
      </c>
      <c r="F36" s="5">
        <f t="shared" si="1"/>
        <v>-11.519869999999999</v>
      </c>
    </row>
    <row r="37" spans="1:7" ht="15" hidden="1" customHeight="1">
      <c r="A37" s="7">
        <v>1170105005</v>
      </c>
      <c r="B37" s="8" t="s">
        <v>18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-11.519869999999999</v>
      </c>
      <c r="E38" s="9">
        <v>0</v>
      </c>
      <c r="F38" s="9">
        <f t="shared" si="1"/>
        <v>-11.519869999999999</v>
      </c>
    </row>
    <row r="39" spans="1:7" s="6" customFormat="1" ht="18" customHeight="1">
      <c r="A39" s="3">
        <v>1000000000</v>
      </c>
      <c r="B39" s="4" t="s">
        <v>19</v>
      </c>
      <c r="C39" s="127">
        <f>SUM(C4,C25)</f>
        <v>4271.0099999999993</v>
      </c>
      <c r="D39" s="127">
        <f>D4+D25</f>
        <v>2339.6621799999998</v>
      </c>
      <c r="E39" s="5">
        <f t="shared" si="0"/>
        <v>54.780067946457635</v>
      </c>
      <c r="F39" s="5">
        <f t="shared" si="1"/>
        <v>-1931.3478199999995</v>
      </c>
    </row>
    <row r="40" spans="1:7" s="6" customFormat="1">
      <c r="A40" s="3">
        <v>2000000000</v>
      </c>
      <c r="B40" s="4" t="s">
        <v>20</v>
      </c>
      <c r="C40" s="5">
        <f>C41+C43+C45+C46+C47+C49+C42+C44+C48</f>
        <v>5231.3149999999996</v>
      </c>
      <c r="D40" s="5">
        <f>D41+D43+D45+D46+D47+D49+D42+D48</f>
        <v>3682.7214899999994</v>
      </c>
      <c r="E40" s="5">
        <f t="shared" si="0"/>
        <v>70.397624497855688</v>
      </c>
      <c r="F40" s="5">
        <f t="shared" si="1"/>
        <v>-1548.5935100000002</v>
      </c>
      <c r="G40" s="19"/>
    </row>
    <row r="41" spans="1:7" ht="17.25" customHeight="1">
      <c r="A41" s="16">
        <v>2021000000</v>
      </c>
      <c r="B41" s="17" t="s">
        <v>21</v>
      </c>
      <c r="C41" s="12">
        <v>4512.616</v>
      </c>
      <c r="D41" s="20">
        <v>3387.6559999999999</v>
      </c>
      <c r="E41" s="9">
        <f t="shared" si="0"/>
        <v>75.070779343954825</v>
      </c>
      <c r="F41" s="9">
        <f t="shared" si="1"/>
        <v>-1124.96</v>
      </c>
    </row>
    <row r="42" spans="1:7" ht="15" customHeight="1">
      <c r="A42" s="16">
        <v>2021500210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20.25" customHeight="1">
      <c r="A43" s="16">
        <v>2022000000</v>
      </c>
      <c r="B43" s="17" t="s">
        <v>22</v>
      </c>
      <c r="C43" s="280">
        <v>583.00300000000004</v>
      </c>
      <c r="D43" s="10">
        <v>171.66</v>
      </c>
      <c r="E43" s="9">
        <f t="shared" si="0"/>
        <v>29.444102345957052</v>
      </c>
      <c r="F43" s="9">
        <f t="shared" si="1"/>
        <v>-411.34300000000007</v>
      </c>
    </row>
    <row r="44" spans="1:7" ht="0.75" hidden="1" customHeight="1">
      <c r="A44" s="16">
        <v>2022999910</v>
      </c>
      <c r="B44" s="18" t="s">
        <v>352</v>
      </c>
      <c r="C44" s="280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23</v>
      </c>
      <c r="C45" s="12">
        <v>15.396000000000001</v>
      </c>
      <c r="D45" s="252">
        <v>1.3828</v>
      </c>
      <c r="E45" s="9">
        <f t="shared" si="0"/>
        <v>8.9815536502987783</v>
      </c>
      <c r="F45" s="9">
        <f t="shared" si="1"/>
        <v>-14.013200000000001</v>
      </c>
    </row>
    <row r="46" spans="1:7" ht="0.75" hidden="1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31.5" hidden="1">
      <c r="A47" s="16">
        <v>2020900000</v>
      </c>
      <c r="B47" s="18" t="s">
        <v>25</v>
      </c>
      <c r="C47" s="12"/>
      <c r="D47" s="253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298</v>
      </c>
      <c r="C48" s="12">
        <v>120.3</v>
      </c>
      <c r="D48" s="253">
        <v>122.02269</v>
      </c>
      <c r="E48" s="9">
        <f>SUM(D48/C48*100)</f>
        <v>101.43199501246882</v>
      </c>
      <c r="F48" s="9">
        <f>SUM(D48-C48)</f>
        <v>1.7226900000000001</v>
      </c>
    </row>
    <row r="49" spans="1:7" hidden="1">
      <c r="A49" s="7">
        <v>2190500005</v>
      </c>
      <c r="B49" s="11" t="s">
        <v>26</v>
      </c>
      <c r="C49" s="14">
        <v>0</v>
      </c>
      <c r="D49" s="14"/>
      <c r="E49" s="9" t="e">
        <f>SUM(D49/C49*100)</f>
        <v>#DIV/0!</v>
      </c>
      <c r="F49" s="9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278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28</v>
      </c>
      <c r="C51" s="93">
        <f>SUM(C39,C40,C50)</f>
        <v>9502.3249999999989</v>
      </c>
      <c r="D51" s="441">
        <f>D39+D40</f>
        <v>6022.3836699999993</v>
      </c>
      <c r="E51" s="93">
        <f t="shared" si="0"/>
        <v>63.37800138387184</v>
      </c>
      <c r="F51" s="93">
        <f t="shared" si="1"/>
        <v>-3479.9413299999997</v>
      </c>
      <c r="G51" s="151"/>
    </row>
    <row r="52" spans="1:7" s="6" customFormat="1" ht="23.25" customHeight="1">
      <c r="A52" s="3"/>
      <c r="B52" s="21" t="s">
        <v>321</v>
      </c>
      <c r="C52" s="93">
        <f>C51-C97</f>
        <v>-50.512169999999969</v>
      </c>
      <c r="D52" s="93">
        <f>D51-D97</f>
        <v>977.21881999999914</v>
      </c>
      <c r="E52" s="282"/>
      <c r="F52" s="282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1</v>
      </c>
      <c r="B54" s="28" t="s">
        <v>29</v>
      </c>
      <c r="C54" s="249" t="s">
        <v>346</v>
      </c>
      <c r="D54" s="73" t="s">
        <v>412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15" customHeight="1">
      <c r="A56" s="30" t="s">
        <v>30</v>
      </c>
      <c r="B56" s="31" t="s">
        <v>31</v>
      </c>
      <c r="C56" s="32">
        <f>C57+C58+C59+C60+C61+C63+C62+C65</f>
        <v>1809.6569999999999</v>
      </c>
      <c r="D56" s="33">
        <f>D57+D58+D59+D60+D61+D63+D62</f>
        <v>1034.1724400000001</v>
      </c>
      <c r="E56" s="34">
        <f>SUM(D56/C56*100)</f>
        <v>57.147428490592425</v>
      </c>
      <c r="F56" s="34">
        <f>SUM(D56-C56)</f>
        <v>-775.48455999999987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6.5" customHeight="1">
      <c r="A58" s="35" t="s">
        <v>34</v>
      </c>
      <c r="B58" s="39" t="s">
        <v>35</v>
      </c>
      <c r="C58" s="97">
        <v>1709.9159999999999</v>
      </c>
      <c r="D58" s="37">
        <v>1022.4704400000001</v>
      </c>
      <c r="E58" s="38">
        <f t="shared" ref="E58:E97" si="3">SUM(D58/C58*100)</f>
        <v>59.796530355877131</v>
      </c>
      <c r="F58" s="38">
        <f t="shared" ref="F58:F97" si="4">SUM(D58-C58)</f>
        <v>-687.44555999999989</v>
      </c>
    </row>
    <row r="59" spans="1:7" ht="1.5" hidden="1" customHeight="1">
      <c r="A59" s="35" t="s">
        <v>36</v>
      </c>
      <c r="B59" s="39" t="s">
        <v>37</v>
      </c>
      <c r="C59" s="97"/>
      <c r="D59" s="37"/>
      <c r="E59" s="38"/>
      <c r="F59" s="38">
        <f t="shared" si="4"/>
        <v>0</v>
      </c>
    </row>
    <row r="60" spans="1:7" ht="17.25" hidden="1" customHeight="1">
      <c r="A60" s="35" t="s">
        <v>38</v>
      </c>
      <c r="B60" s="39" t="s">
        <v>39</v>
      </c>
      <c r="C60" s="9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97">
        <v>68.039000000000001</v>
      </c>
      <c r="D61" s="37">
        <v>0</v>
      </c>
      <c r="E61" s="38">
        <f t="shared" si="3"/>
        <v>0</v>
      </c>
      <c r="F61" s="38">
        <f t="shared" si="4"/>
        <v>-68.039000000000001</v>
      </c>
    </row>
    <row r="62" spans="1:7" ht="18" customHeight="1">
      <c r="A62" s="35" t="s">
        <v>42</v>
      </c>
      <c r="B62" s="39" t="s">
        <v>43</v>
      </c>
      <c r="C62" s="149">
        <v>20</v>
      </c>
      <c r="D62" s="40">
        <v>0</v>
      </c>
      <c r="E62" s="38">
        <f t="shared" si="3"/>
        <v>0</v>
      </c>
      <c r="F62" s="38">
        <f t="shared" si="4"/>
        <v>-20</v>
      </c>
    </row>
    <row r="63" spans="1:7" ht="15.75" customHeight="1">
      <c r="A63" s="35" t="s">
        <v>44</v>
      </c>
      <c r="B63" s="39" t="s">
        <v>45</v>
      </c>
      <c r="C63" s="97">
        <v>11.702</v>
      </c>
      <c r="D63" s="37">
        <v>11.702</v>
      </c>
      <c r="E63" s="38">
        <f t="shared" si="3"/>
        <v>100</v>
      </c>
      <c r="F63" s="38">
        <f t="shared" si="4"/>
        <v>0</v>
      </c>
    </row>
    <row r="64" spans="1:7" s="6" customFormat="1" ht="15.75" hidden="1" customHeight="1">
      <c r="A64" s="41" t="s">
        <v>46</v>
      </c>
      <c r="B64" s="42" t="s">
        <v>47</v>
      </c>
      <c r="C64" s="150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48</v>
      </c>
      <c r="B65" s="44" t="s">
        <v>49</v>
      </c>
      <c r="C65" s="97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50</v>
      </c>
      <c r="B66" s="31" t="s">
        <v>51</v>
      </c>
      <c r="C66" s="150">
        <f>C69+C70</f>
        <v>30</v>
      </c>
      <c r="D66" s="150">
        <f>D69+D70</f>
        <v>0</v>
      </c>
      <c r="E66" s="34">
        <f t="shared" si="3"/>
        <v>0</v>
      </c>
      <c r="F66" s="34">
        <f t="shared" si="4"/>
        <v>-30</v>
      </c>
    </row>
    <row r="67" spans="1:7" ht="3.75" hidden="1" customHeight="1">
      <c r="A67" s="35" t="s">
        <v>52</v>
      </c>
      <c r="B67" s="39" t="s">
        <v>53</v>
      </c>
      <c r="C67" s="97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54</v>
      </c>
      <c r="B68" s="39" t="s">
        <v>55</v>
      </c>
      <c r="C68" s="97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56</v>
      </c>
      <c r="B69" s="47" t="s">
        <v>57</v>
      </c>
      <c r="C69" s="97">
        <v>20</v>
      </c>
      <c r="D69" s="37">
        <v>0</v>
      </c>
      <c r="E69" s="34">
        <f t="shared" si="3"/>
        <v>0</v>
      </c>
      <c r="F69" s="34">
        <f t="shared" si="4"/>
        <v>-20</v>
      </c>
    </row>
    <row r="70" spans="1:7" ht="17.25" customHeight="1">
      <c r="A70" s="46" t="s">
        <v>219</v>
      </c>
      <c r="B70" s="47" t="s">
        <v>220</v>
      </c>
      <c r="C70" s="97">
        <v>10</v>
      </c>
      <c r="D70" s="37">
        <v>0</v>
      </c>
      <c r="E70" s="34">
        <f t="shared" si="3"/>
        <v>0</v>
      </c>
      <c r="F70" s="34">
        <f t="shared" si="4"/>
        <v>-10</v>
      </c>
    </row>
    <row r="71" spans="1:7" s="6" customFormat="1" ht="16.5" customHeight="1">
      <c r="A71" s="30" t="s">
        <v>58</v>
      </c>
      <c r="B71" s="31" t="s">
        <v>59</v>
      </c>
      <c r="C71" s="48">
        <f>SUM(C72:C75)</f>
        <v>1647.6301699999999</v>
      </c>
      <c r="D71" s="48">
        <f>SUM(D72:D75)</f>
        <v>508.53228000000001</v>
      </c>
      <c r="E71" s="34">
        <f t="shared" si="3"/>
        <v>30.864467600760193</v>
      </c>
      <c r="F71" s="34">
        <f t="shared" si="4"/>
        <v>-1139.09789</v>
      </c>
    </row>
    <row r="72" spans="1:7" ht="15" customHeight="1">
      <c r="A72" s="35" t="s">
        <v>60</v>
      </c>
      <c r="B72" s="39" t="s">
        <v>61</v>
      </c>
      <c r="C72" s="49">
        <v>44.396000000000001</v>
      </c>
      <c r="D72" s="37">
        <v>0</v>
      </c>
      <c r="E72" s="38">
        <f t="shared" si="3"/>
        <v>0</v>
      </c>
      <c r="F72" s="38">
        <f t="shared" si="4"/>
        <v>-44.396000000000001</v>
      </c>
    </row>
    <row r="73" spans="1:7" s="6" customFormat="1" ht="15.75" customHeight="1">
      <c r="A73" s="35" t="s">
        <v>62</v>
      </c>
      <c r="B73" s="39" t="s">
        <v>63</v>
      </c>
      <c r="C73" s="49">
        <v>229.309</v>
      </c>
      <c r="D73" s="37">
        <v>133.92374000000001</v>
      </c>
      <c r="E73" s="38">
        <f t="shared" si="3"/>
        <v>58.403176499832114</v>
      </c>
      <c r="F73" s="38">
        <f t="shared" si="4"/>
        <v>-95.385259999999988</v>
      </c>
      <c r="G73" s="50"/>
    </row>
    <row r="74" spans="1:7" ht="15" customHeight="1">
      <c r="A74" s="35" t="s">
        <v>64</v>
      </c>
      <c r="B74" s="39" t="s">
        <v>65</v>
      </c>
      <c r="C74" s="49">
        <v>1073.92517</v>
      </c>
      <c r="D74" s="37">
        <v>312.10854</v>
      </c>
      <c r="E74" s="38">
        <f t="shared" si="3"/>
        <v>29.062410372596069</v>
      </c>
      <c r="F74" s="38">
        <f t="shared" si="4"/>
        <v>-761.81663000000003</v>
      </c>
    </row>
    <row r="75" spans="1:7" ht="18" customHeight="1">
      <c r="A75" s="35" t="s">
        <v>66</v>
      </c>
      <c r="B75" s="39" t="s">
        <v>67</v>
      </c>
      <c r="C75" s="49">
        <v>300</v>
      </c>
      <c r="D75" s="37">
        <v>62.5</v>
      </c>
      <c r="E75" s="38">
        <f t="shared" si="3"/>
        <v>20.833333333333336</v>
      </c>
      <c r="F75" s="38">
        <f t="shared" si="4"/>
        <v>-237.5</v>
      </c>
    </row>
    <row r="76" spans="1:7" s="6" customFormat="1" ht="17.25" customHeight="1">
      <c r="A76" s="30" t="s">
        <v>68</v>
      </c>
      <c r="B76" s="31" t="s">
        <v>69</v>
      </c>
      <c r="C76" s="32">
        <f>C77+C78+C79+C82</f>
        <v>3666.25</v>
      </c>
      <c r="D76" s="32">
        <f>D77+D78+D79+D82</f>
        <v>1720.4601299999999</v>
      </c>
      <c r="E76" s="34">
        <f t="shared" si="3"/>
        <v>46.926972519604497</v>
      </c>
      <c r="F76" s="34">
        <f t="shared" si="4"/>
        <v>-1945.7898700000001</v>
      </c>
    </row>
    <row r="77" spans="1:7" ht="18" hidden="1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20.25" hidden="1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7.25" customHeight="1">
      <c r="A79" s="35" t="s">
        <v>74</v>
      </c>
      <c r="B79" s="39" t="s">
        <v>75</v>
      </c>
      <c r="C79" s="37">
        <v>3666.25</v>
      </c>
      <c r="D79" s="37">
        <v>1720.4601299999999</v>
      </c>
      <c r="E79" s="38">
        <f t="shared" si="3"/>
        <v>46.926972519604497</v>
      </c>
      <c r="F79" s="38">
        <f t="shared" si="4"/>
        <v>-1945.7898700000001</v>
      </c>
    </row>
    <row r="80" spans="1:7" s="6" customFormat="1" ht="18.75" customHeight="1">
      <c r="A80" s="30" t="s">
        <v>86</v>
      </c>
      <c r="B80" s="31" t="s">
        <v>87</v>
      </c>
      <c r="C80" s="32">
        <f>C81</f>
        <v>2374.3000000000002</v>
      </c>
      <c r="D80" s="32">
        <f>D81</f>
        <v>1782</v>
      </c>
      <c r="E80" s="38">
        <f t="shared" si="3"/>
        <v>75.053700037905898</v>
      </c>
      <c r="F80" s="38">
        <f t="shared" si="4"/>
        <v>-592.30000000000018</v>
      </c>
    </row>
    <row r="81" spans="1:6" ht="19.5" customHeight="1">
      <c r="A81" s="35" t="s">
        <v>88</v>
      </c>
      <c r="B81" s="39" t="s">
        <v>234</v>
      </c>
      <c r="C81" s="37">
        <v>2374.3000000000002</v>
      </c>
      <c r="D81" s="37">
        <v>1782</v>
      </c>
      <c r="E81" s="38">
        <f t="shared" si="3"/>
        <v>75.053700037905898</v>
      </c>
      <c r="F81" s="38">
        <f t="shared" si="4"/>
        <v>-592.30000000000018</v>
      </c>
    </row>
    <row r="82" spans="1:6" ht="15" hidden="1" customHeight="1">
      <c r="A82" s="35" t="s">
        <v>264</v>
      </c>
      <c r="B82" s="39" t="s">
        <v>265</v>
      </c>
      <c r="C82" s="37">
        <v>0</v>
      </c>
      <c r="D82" s="37"/>
      <c r="E82" s="38" t="e">
        <f t="shared" si="3"/>
        <v>#DIV/0!</v>
      </c>
      <c r="F82" s="38">
        <f t="shared" si="4"/>
        <v>0</v>
      </c>
    </row>
    <row r="83" spans="1:6" s="6" customFormat="1" ht="12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2.7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1004</v>
      </c>
      <c r="B86" s="54" t="s">
        <v>92</v>
      </c>
      <c r="C86" s="37">
        <v>0</v>
      </c>
      <c r="D86" s="55">
        <v>0</v>
      </c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9.5" customHeight="1">
      <c r="A88" s="30" t="s">
        <v>95</v>
      </c>
      <c r="B88" s="31" t="s">
        <v>96</v>
      </c>
      <c r="C88" s="32">
        <f>C89+C90+C91+C92+C93</f>
        <v>25</v>
      </c>
      <c r="D88" s="32">
        <f>D89+D90+D91+D92+D93</f>
        <v>0</v>
      </c>
      <c r="E88" s="38">
        <f t="shared" si="3"/>
        <v>0</v>
      </c>
      <c r="F88" s="22">
        <f>F89+F90+F91+F92+F93</f>
        <v>-25</v>
      </c>
    </row>
    <row r="89" spans="1:6" ht="15.75" customHeight="1">
      <c r="A89" s="35" t="s">
        <v>97</v>
      </c>
      <c r="B89" s="39" t="s">
        <v>98</v>
      </c>
      <c r="C89" s="37">
        <v>25</v>
      </c>
      <c r="D89" s="37">
        <v>0</v>
      </c>
      <c r="E89" s="38">
        <f t="shared" si="3"/>
        <v>0</v>
      </c>
      <c r="F89" s="38">
        <f>SUM(D89-C89)</f>
        <v>-25</v>
      </c>
    </row>
    <row r="90" spans="1:6" ht="1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8" hidden="1" customHeight="1">
      <c r="A94" s="52">
        <v>1400</v>
      </c>
      <c r="B94" s="56" t="s">
        <v>115</v>
      </c>
      <c r="C94" s="48">
        <f>SUM(C95+C96)</f>
        <v>0</v>
      </c>
      <c r="D94" s="48">
        <f>SUM(D95+D96)</f>
        <v>0</v>
      </c>
      <c r="E94" s="34" t="e">
        <f t="shared" si="3"/>
        <v>#DIV/0!</v>
      </c>
      <c r="F94" s="34">
        <f t="shared" si="4"/>
        <v>0</v>
      </c>
    </row>
    <row r="95" spans="1:6" ht="20.25" hidden="1" customHeight="1">
      <c r="A95" s="53">
        <v>1402</v>
      </c>
      <c r="B95" s="54" t="s">
        <v>117</v>
      </c>
      <c r="C95" s="240"/>
      <c r="D95" s="241"/>
      <c r="E95" s="38" t="e">
        <f t="shared" si="3"/>
        <v>#DIV/0!</v>
      </c>
      <c r="F95" s="38">
        <f t="shared" si="4"/>
        <v>0</v>
      </c>
    </row>
    <row r="96" spans="1:6" ht="15" hidden="1" customHeight="1">
      <c r="A96" s="53">
        <v>1403</v>
      </c>
      <c r="B96" s="54" t="s">
        <v>118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s="6" customFormat="1" ht="16.5" customHeight="1">
      <c r="A97" s="52"/>
      <c r="B97" s="57" t="s">
        <v>119</v>
      </c>
      <c r="C97" s="442">
        <f>C56+C71+C76+C83+C88+C94+C66+C80</f>
        <v>9552.8371699999989</v>
      </c>
      <c r="D97" s="442">
        <f>D56+D71+D76+D83+D88+D94+D66+D80</f>
        <v>5045.1648500000001</v>
      </c>
      <c r="E97" s="34">
        <f t="shared" si="3"/>
        <v>52.813261235562351</v>
      </c>
      <c r="F97" s="34">
        <f t="shared" si="4"/>
        <v>-4507.6723199999988</v>
      </c>
    </row>
    <row r="98" spans="1:6" ht="20.25" customHeight="1">
      <c r="D98" s="246"/>
    </row>
    <row r="99" spans="1:6" s="65" customFormat="1" ht="13.5" customHeight="1">
      <c r="A99" s="63" t="s">
        <v>120</v>
      </c>
      <c r="B99" s="63"/>
      <c r="C99" s="119"/>
      <c r="D99" s="64"/>
    </row>
    <row r="100" spans="1:6" s="65" customFormat="1" ht="12.75">
      <c r="A100" s="66" t="s">
        <v>121</v>
      </c>
      <c r="B100" s="66"/>
      <c r="C100" s="134" t="s">
        <v>122</v>
      </c>
      <c r="D100" s="134"/>
    </row>
    <row r="101" spans="1:6" ht="5.25" customHeight="1"/>
    <row r="141" hidden="1"/>
  </sheetData>
  <customSheetViews>
    <customSheetView guid="{A54C432C-6C68-4B53-A75C-446EB3A61B2B}" scale="70" showPageBreaks="1" printArea="1" hiddenRows="1" view="pageBreakPreview" topLeftCell="A48">
      <selection activeCell="C51" activeCellId="1" sqref="C97:D97 C51:D52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B30CE22D-C12F-4E12-8BB9-3AAE0A6991CC}" scale="70" showPageBreaks="1" printArea="1" hiddenRows="1" view="pageBreakPreview" topLeftCell="A42">
      <selection activeCell="D88" sqref="D88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5BFCA170-DEAE-4D2C-98A0-1E68B427AC01}" showPageBreaks="1" printArea="1" hiddenRows="1" topLeftCell="A31">
      <selection activeCell="B100" sqref="B100"/>
      <pageMargins left="0.7" right="0.7" top="0.75" bottom="0.75" header="0.3" footer="0.3"/>
      <pageSetup paperSize="9" scale="50" orientation="portrait" r:id="rId3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4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6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41"/>
  <sheetViews>
    <sheetView view="pageBreakPreview" topLeftCell="A53" zoomScale="70" zoomScaleNormal="100" zoomScaleSheetLayoutView="70" workbookViewId="0">
      <selection activeCell="C101" activeCellId="1" sqref="C51:D52 C101:D101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1.28515625" style="62" customWidth="1"/>
    <col min="6" max="6" width="13.1406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36" t="s">
        <v>423</v>
      </c>
      <c r="B1" s="436"/>
      <c r="C1" s="436"/>
      <c r="D1" s="436"/>
      <c r="E1" s="436"/>
      <c r="F1" s="436"/>
    </row>
    <row r="2" spans="1:6">
      <c r="A2" s="436"/>
      <c r="B2" s="436"/>
      <c r="C2" s="436"/>
      <c r="D2" s="436"/>
      <c r="E2" s="436"/>
      <c r="F2" s="43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4631.7</v>
      </c>
      <c r="D4" s="5">
        <f>D5+D12+D14+D17+D20+D7</f>
        <v>2895.9452899999997</v>
      </c>
      <c r="E4" s="5">
        <f>SUM(D4/C4*100)</f>
        <v>62.524457326683503</v>
      </c>
      <c r="F4" s="5">
        <f>SUM(D4-C4)</f>
        <v>-1735.7547100000002</v>
      </c>
    </row>
    <row r="5" spans="1:6" s="6" customFormat="1">
      <c r="A5" s="68">
        <v>1010000000</v>
      </c>
      <c r="B5" s="67" t="s">
        <v>6</v>
      </c>
      <c r="C5" s="5">
        <f>C6</f>
        <v>1309.9000000000001</v>
      </c>
      <c r="D5" s="5">
        <f>D6</f>
        <v>779.73883999999998</v>
      </c>
      <c r="E5" s="5">
        <f t="shared" ref="E5:E51" si="0">SUM(D5/C5*100)</f>
        <v>59.526592869684706</v>
      </c>
      <c r="F5" s="5">
        <f t="shared" ref="F5:F51" si="1">SUM(D5-C5)</f>
        <v>-530.16116000000011</v>
      </c>
    </row>
    <row r="6" spans="1:6">
      <c r="A6" s="7">
        <v>1010200001</v>
      </c>
      <c r="B6" s="8" t="s">
        <v>229</v>
      </c>
      <c r="C6" s="9">
        <v>1309.9000000000001</v>
      </c>
      <c r="D6" s="10">
        <v>779.73883999999998</v>
      </c>
      <c r="E6" s="9">
        <f t="shared" ref="E6:E11" si="2">SUM(D6/C6*100)</f>
        <v>59.526592869684706</v>
      </c>
      <c r="F6" s="9">
        <f t="shared" si="1"/>
        <v>-530.16116000000011</v>
      </c>
    </row>
    <row r="7" spans="1:6" ht="31.5">
      <c r="A7" s="3">
        <v>1030000000</v>
      </c>
      <c r="B7" s="13" t="s">
        <v>281</v>
      </c>
      <c r="C7" s="5">
        <f>C8+C10+C9</f>
        <v>661.8</v>
      </c>
      <c r="D7" s="5">
        <f>D8+D10+D9+D11</f>
        <v>447.42804999999998</v>
      </c>
      <c r="E7" s="9">
        <f t="shared" si="2"/>
        <v>67.607744031429434</v>
      </c>
      <c r="F7" s="9">
        <f t="shared" si="1"/>
        <v>-214.37194999999997</v>
      </c>
    </row>
    <row r="8" spans="1:6">
      <c r="A8" s="7">
        <v>1030223001</v>
      </c>
      <c r="B8" s="8" t="s">
        <v>283</v>
      </c>
      <c r="C8" s="9">
        <v>246.85</v>
      </c>
      <c r="D8" s="10">
        <v>195.26283000000001</v>
      </c>
      <c r="E8" s="9">
        <f t="shared" si="2"/>
        <v>79.101814867328343</v>
      </c>
      <c r="F8" s="9">
        <f t="shared" si="1"/>
        <v>-51.587169999999986</v>
      </c>
    </row>
    <row r="9" spans="1:6">
      <c r="A9" s="7">
        <v>1030224001</v>
      </c>
      <c r="B9" s="8" t="s">
        <v>289</v>
      </c>
      <c r="C9" s="9">
        <v>2.65</v>
      </c>
      <c r="D9" s="10">
        <v>1.67303</v>
      </c>
      <c r="E9" s="9">
        <f t="shared" si="2"/>
        <v>63.13320754716981</v>
      </c>
      <c r="F9" s="9">
        <f t="shared" si="1"/>
        <v>-0.97696999999999989</v>
      </c>
    </row>
    <row r="10" spans="1:6">
      <c r="A10" s="7">
        <v>1030225001</v>
      </c>
      <c r="B10" s="8" t="s">
        <v>282</v>
      </c>
      <c r="C10" s="9">
        <v>412.3</v>
      </c>
      <c r="D10" s="10">
        <v>296.01429000000002</v>
      </c>
      <c r="E10" s="9">
        <f t="shared" si="2"/>
        <v>71.795850109143828</v>
      </c>
      <c r="F10" s="9">
        <f t="shared" si="1"/>
        <v>-116.28570999999999</v>
      </c>
    </row>
    <row r="11" spans="1:6">
      <c r="A11" s="7">
        <v>1030226001</v>
      </c>
      <c r="B11" s="8" t="s">
        <v>292</v>
      </c>
      <c r="C11" s="9">
        <v>0</v>
      </c>
      <c r="D11" s="10">
        <v>-45.522100000000002</v>
      </c>
      <c r="E11" s="9" t="e">
        <f t="shared" si="2"/>
        <v>#DIV/0!</v>
      </c>
      <c r="F11" s="9">
        <f t="shared" si="1"/>
        <v>-45.522100000000002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28.442399999999999</v>
      </c>
      <c r="E12" s="5">
        <f t="shared" si="0"/>
        <v>284.42400000000004</v>
      </c>
      <c r="F12" s="5">
        <f t="shared" si="1"/>
        <v>18.442399999999999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28.442399999999999</v>
      </c>
      <c r="E13" s="9">
        <f t="shared" si="0"/>
        <v>284.42400000000004</v>
      </c>
      <c r="F13" s="9">
        <f t="shared" si="1"/>
        <v>18.442399999999999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2640</v>
      </c>
      <c r="D14" s="5">
        <f>D15+D16</f>
        <v>1633.886</v>
      </c>
      <c r="E14" s="5">
        <f t="shared" si="0"/>
        <v>61.889621212121213</v>
      </c>
      <c r="F14" s="5">
        <f t="shared" si="1"/>
        <v>-1006.114</v>
      </c>
    </row>
    <row r="15" spans="1:6" s="6" customFormat="1" ht="15.75" customHeight="1">
      <c r="A15" s="7">
        <v>1060100000</v>
      </c>
      <c r="B15" s="11" t="s">
        <v>9</v>
      </c>
      <c r="C15" s="9">
        <v>190</v>
      </c>
      <c r="D15" s="10">
        <v>47.214689999999997</v>
      </c>
      <c r="E15" s="9">
        <f t="shared" si="0"/>
        <v>24.849836842105262</v>
      </c>
      <c r="F15" s="9">
        <f>SUM(D15-C15)</f>
        <v>-142.78531000000001</v>
      </c>
    </row>
    <row r="16" spans="1:6" ht="15.75" customHeight="1">
      <c r="A16" s="7">
        <v>1060600000</v>
      </c>
      <c r="B16" s="11" t="s">
        <v>8</v>
      </c>
      <c r="C16" s="9">
        <v>2450</v>
      </c>
      <c r="D16" s="10">
        <v>1586.6713099999999</v>
      </c>
      <c r="E16" s="9">
        <f t="shared" si="0"/>
        <v>64.762094285714284</v>
      </c>
      <c r="F16" s="9">
        <f t="shared" si="1"/>
        <v>-863.32869000000005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6.45</v>
      </c>
      <c r="E17" s="5">
        <f t="shared" si="0"/>
        <v>64.5</v>
      </c>
      <c r="F17" s="5">
        <f t="shared" si="1"/>
        <v>-3.55</v>
      </c>
    </row>
    <row r="18" spans="1:6" ht="15" customHeight="1">
      <c r="A18" s="7">
        <v>1080400001</v>
      </c>
      <c r="B18" s="8" t="s">
        <v>228</v>
      </c>
      <c r="C18" s="9">
        <v>10</v>
      </c>
      <c r="D18" s="10">
        <v>6.45</v>
      </c>
      <c r="E18" s="9">
        <f t="shared" si="0"/>
        <v>64.5</v>
      </c>
      <c r="F18" s="9">
        <f t="shared" si="1"/>
        <v>-3.55</v>
      </c>
    </row>
    <row r="19" spans="1:6" ht="1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2</v>
      </c>
      <c r="D25" s="5">
        <f>D26+D29+D31+D36+D34</f>
        <v>-0.25339</v>
      </c>
      <c r="E25" s="5">
        <f t="shared" si="0"/>
        <v>-12.669499999999999</v>
      </c>
      <c r="F25" s="5">
        <f t="shared" si="1"/>
        <v>-2.25339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</v>
      </c>
      <c r="D26" s="5">
        <f>D27+D28</f>
        <v>0</v>
      </c>
      <c r="E26" s="5">
        <f t="shared" si="0"/>
        <v>0</v>
      </c>
      <c r="F26" s="5">
        <f t="shared" si="1"/>
        <v>-2</v>
      </c>
    </row>
    <row r="27" spans="1:6">
      <c r="A27" s="16">
        <v>1110501101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14</v>
      </c>
      <c r="C28" s="12">
        <v>2</v>
      </c>
      <c r="D28" s="10">
        <v>0</v>
      </c>
      <c r="E28" s="9">
        <f t="shared" si="0"/>
        <v>0</v>
      </c>
      <c r="F28" s="9">
        <f t="shared" si="1"/>
        <v>-2</v>
      </c>
    </row>
    <row r="29" spans="1:6" s="15" customFormat="1" ht="17.25" hidden="1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9.5" hidden="1" customHeight="1">
      <c r="A30" s="7">
        <v>1130206005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hidden="1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4.25" hidden="1" customHeight="1">
      <c r="A34" s="3">
        <v>1160000000</v>
      </c>
      <c r="B34" s="13" t="s">
        <v>252</v>
      </c>
      <c r="C34" s="5">
        <f>C35</f>
        <v>0</v>
      </c>
      <c r="D34" s="5">
        <f>D35</f>
        <v>0</v>
      </c>
      <c r="E34" s="5" t="e">
        <f t="shared" si="0"/>
        <v>#DIV/0!</v>
      </c>
      <c r="F34" s="5">
        <f t="shared" si="1"/>
        <v>0</v>
      </c>
    </row>
    <row r="35" spans="1:7" ht="53.25" hidden="1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-0.25339</v>
      </c>
      <c r="E36" s="5" t="e">
        <f t="shared" si="0"/>
        <v>#DIV/0!</v>
      </c>
      <c r="F36" s="5">
        <f t="shared" si="1"/>
        <v>-0.25339</v>
      </c>
    </row>
    <row r="37" spans="1:7" ht="15" customHeight="1">
      <c r="A37" s="7">
        <v>1170105005</v>
      </c>
      <c r="B37" s="8" t="s">
        <v>18</v>
      </c>
      <c r="C37" s="9">
        <v>0</v>
      </c>
      <c r="D37" s="9">
        <v>-0.25339</v>
      </c>
      <c r="E37" s="9" t="e">
        <f t="shared" si="0"/>
        <v>#DIV/0!</v>
      </c>
      <c r="F37" s="9">
        <f t="shared" si="1"/>
        <v>-0.25339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4633.7</v>
      </c>
      <c r="D39" s="127">
        <f>SUM(D4,D25)</f>
        <v>2895.6918999999998</v>
      </c>
      <c r="E39" s="5">
        <f t="shared" si="0"/>
        <v>62.492002071778487</v>
      </c>
      <c r="F39" s="5">
        <f t="shared" si="1"/>
        <v>-1738.0081</v>
      </c>
    </row>
    <row r="40" spans="1:7" s="6" customFormat="1" ht="20.25" customHeight="1">
      <c r="A40" s="3">
        <v>2000000000</v>
      </c>
      <c r="B40" s="4" t="s">
        <v>20</v>
      </c>
      <c r="C40" s="5">
        <f>C41+C43+C45+C46+C47+C48+C42+C44+C50</f>
        <v>1901.42</v>
      </c>
      <c r="D40" s="5">
        <f>D41+D43+D45+D46+D47+D48+D42+D44+D50</f>
        <v>728.45386999999994</v>
      </c>
      <c r="E40" s="5">
        <f t="shared" si="0"/>
        <v>38.311044903282806</v>
      </c>
      <c r="F40" s="5">
        <f t="shared" si="1"/>
        <v>-1172.9661300000002</v>
      </c>
      <c r="G40" s="19"/>
    </row>
    <row r="41" spans="1:7" ht="18.75" customHeight="1">
      <c r="A41" s="16">
        <v>2021000000</v>
      </c>
      <c r="B41" s="17" t="s">
        <v>21</v>
      </c>
      <c r="C41" s="12">
        <v>35.76</v>
      </c>
      <c r="D41" s="20">
        <v>5.202</v>
      </c>
      <c r="E41" s="9">
        <f t="shared" si="0"/>
        <v>14.546979865771814</v>
      </c>
      <c r="F41" s="9">
        <f t="shared" si="1"/>
        <v>-30.558</v>
      </c>
    </row>
    <row r="42" spans="1:7" ht="18.75" customHeight="1">
      <c r="A42" s="16">
        <v>2020100310</v>
      </c>
      <c r="B42" s="17" t="s">
        <v>232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22</v>
      </c>
      <c r="C43" s="12">
        <v>1436.52</v>
      </c>
      <c r="D43" s="10">
        <v>323.24786999999998</v>
      </c>
      <c r="E43" s="9">
        <f t="shared" si="0"/>
        <v>22.50214894327959</v>
      </c>
      <c r="F43" s="9">
        <f t="shared" si="1"/>
        <v>-1113.2721300000001</v>
      </c>
    </row>
    <row r="44" spans="1:7" hidden="1">
      <c r="A44" s="16">
        <v>2022999910</v>
      </c>
      <c r="B44" s="18" t="s">
        <v>352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23</v>
      </c>
      <c r="C45" s="12">
        <v>154.24</v>
      </c>
      <c r="D45" s="252">
        <v>125.104</v>
      </c>
      <c r="E45" s="9">
        <f t="shared" si="0"/>
        <v>81.109958506224061</v>
      </c>
      <c r="F45" s="9">
        <f t="shared" si="1"/>
        <v>-29.13600000000001</v>
      </c>
    </row>
    <row r="46" spans="1:7" ht="0.75" hidden="1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22.5" hidden="1" customHeight="1">
      <c r="A47" s="16">
        <v>2020900000</v>
      </c>
      <c r="B47" s="18" t="s">
        <v>25</v>
      </c>
      <c r="C47" s="12"/>
      <c r="D47" s="253"/>
      <c r="E47" s="9" t="e">
        <f t="shared" si="0"/>
        <v>#DIV/0!</v>
      </c>
      <c r="F47" s="9">
        <f t="shared" si="1"/>
        <v>0</v>
      </c>
    </row>
    <row r="48" spans="1:7" ht="21.75" hidden="1" customHeight="1">
      <c r="A48" s="7">
        <v>2190500005</v>
      </c>
      <c r="B48" s="11" t="s">
        <v>26</v>
      </c>
      <c r="C48" s="14"/>
      <c r="D48" s="14"/>
      <c r="E48" s="5"/>
      <c r="F48" s="5">
        <f>SUM(D48-C48)</f>
        <v>0</v>
      </c>
    </row>
    <row r="49" spans="1:7" s="6" customFormat="1" ht="19.5" hidden="1" customHeight="1">
      <c r="A49" s="3">
        <v>3000000000</v>
      </c>
      <c r="B49" s="13" t="s">
        <v>27</v>
      </c>
      <c r="C49" s="278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7">
        <v>2070500010</v>
      </c>
      <c r="B50" s="8" t="s">
        <v>354</v>
      </c>
      <c r="C50" s="12">
        <v>274.89999999999998</v>
      </c>
      <c r="D50" s="10">
        <v>274.89999999999998</v>
      </c>
      <c r="E50" s="9">
        <f t="shared" si="0"/>
        <v>100</v>
      </c>
      <c r="F50" s="9">
        <f t="shared" si="1"/>
        <v>0</v>
      </c>
    </row>
    <row r="51" spans="1:7" s="6" customFormat="1" ht="15.75" customHeight="1">
      <c r="A51" s="3"/>
      <c r="B51" s="4" t="s">
        <v>28</v>
      </c>
      <c r="C51" s="93">
        <f>C39+C40</f>
        <v>6535.12</v>
      </c>
      <c r="D51" s="441">
        <f>D39+D40</f>
        <v>3624.1457699999996</v>
      </c>
      <c r="E51" s="5">
        <f t="shared" si="0"/>
        <v>55.456453286244169</v>
      </c>
      <c r="F51" s="5">
        <f t="shared" si="1"/>
        <v>-2910.9742300000003</v>
      </c>
      <c r="G51" s="94"/>
    </row>
    <row r="52" spans="1:7" s="6" customFormat="1">
      <c r="A52" s="3"/>
      <c r="B52" s="21" t="s">
        <v>322</v>
      </c>
      <c r="C52" s="93">
        <f>C51-C101</f>
        <v>-328.24600999999984</v>
      </c>
      <c r="D52" s="93">
        <f>D51-D101</f>
        <v>535.64865999999938</v>
      </c>
      <c r="E52" s="22"/>
      <c r="F52" s="22"/>
    </row>
    <row r="53" spans="1:7">
      <c r="A53" s="23"/>
      <c r="B53" s="24"/>
      <c r="C53" s="251"/>
      <c r="D53" s="251"/>
      <c r="E53" s="26"/>
      <c r="F53" s="92"/>
    </row>
    <row r="54" spans="1:7" ht="42.75" customHeight="1">
      <c r="A54" s="28" t="s">
        <v>1</v>
      </c>
      <c r="B54" s="28" t="s">
        <v>29</v>
      </c>
      <c r="C54" s="244" t="s">
        <v>346</v>
      </c>
      <c r="D54" s="245" t="s">
        <v>412</v>
      </c>
      <c r="E54" s="72" t="s">
        <v>3</v>
      </c>
      <c r="F54" s="74" t="s">
        <v>4</v>
      </c>
    </row>
    <row r="55" spans="1:7">
      <c r="A55" s="8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247">
        <f>C57+C58+C59+C60+C61+C63+C62</f>
        <v>1791.758</v>
      </c>
      <c r="D56" s="32">
        <f>D57+D58+D59+D60+D61+D63+D62</f>
        <v>1140.25423</v>
      </c>
      <c r="E56" s="34">
        <f>SUM(D56/C56*100)</f>
        <v>63.638852456637565</v>
      </c>
      <c r="F56" s="34">
        <f>SUM(D56-C56)</f>
        <v>-651.50377000000003</v>
      </c>
    </row>
    <row r="57" spans="1:7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7">
      <c r="A58" s="35" t="s">
        <v>34</v>
      </c>
      <c r="B58" s="39" t="s">
        <v>35</v>
      </c>
      <c r="C58" s="37">
        <v>1764.577</v>
      </c>
      <c r="D58" s="37">
        <v>1135.45577</v>
      </c>
      <c r="E58" s="38">
        <f t="shared" ref="E58:E101" si="3">SUM(D58/C58*100)</f>
        <v>64.347193123337775</v>
      </c>
      <c r="F58" s="38">
        <f t="shared" ref="F58:F101" si="4">SUM(D58-C58)</f>
        <v>-629.12122999999997</v>
      </c>
    </row>
    <row r="59" spans="1:7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37">
        <v>16.698</v>
      </c>
      <c r="D61" s="37">
        <v>0</v>
      </c>
      <c r="E61" s="38">
        <f t="shared" si="3"/>
        <v>0</v>
      </c>
      <c r="F61" s="38">
        <f t="shared" si="4"/>
        <v>-16.698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>SUM(D62/C62*100)</f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5.4829999999999997</v>
      </c>
      <c r="D63" s="37">
        <v>4.7984600000000004</v>
      </c>
      <c r="E63" s="38">
        <f t="shared" si="3"/>
        <v>87.515228889294193</v>
      </c>
      <c r="F63" s="38">
        <f t="shared" si="4"/>
        <v>-0.68453999999999926</v>
      </c>
    </row>
    <row r="64" spans="1:7" s="6" customFormat="1">
      <c r="A64" s="41" t="s">
        <v>46</v>
      </c>
      <c r="B64" s="42" t="s">
        <v>47</v>
      </c>
      <c r="C64" s="32">
        <f>C65</f>
        <v>150.881</v>
      </c>
      <c r="D64" s="32">
        <f>D65</f>
        <v>101.55576000000001</v>
      </c>
      <c r="E64" s="34">
        <f t="shared" si="3"/>
        <v>67.308514657246448</v>
      </c>
      <c r="F64" s="34">
        <f t="shared" si="4"/>
        <v>-49.325239999999994</v>
      </c>
    </row>
    <row r="65" spans="1:7">
      <c r="A65" s="43" t="s">
        <v>48</v>
      </c>
      <c r="B65" s="44" t="s">
        <v>49</v>
      </c>
      <c r="C65" s="37">
        <v>150.881</v>
      </c>
      <c r="D65" s="37">
        <v>101.55576000000001</v>
      </c>
      <c r="E65" s="38">
        <f t="shared" si="3"/>
        <v>67.308514657246448</v>
      </c>
      <c r="F65" s="38">
        <f t="shared" si="4"/>
        <v>-49.325239999999994</v>
      </c>
    </row>
    <row r="66" spans="1:7" s="6" customFormat="1" ht="15" customHeight="1">
      <c r="A66" s="30" t="s">
        <v>50</v>
      </c>
      <c r="B66" s="31" t="s">
        <v>51</v>
      </c>
      <c r="C66" s="32">
        <f>C69+C70</f>
        <v>15</v>
      </c>
      <c r="D66" s="32">
        <f>D69+D70</f>
        <v>1.8</v>
      </c>
      <c r="E66" s="34">
        <f t="shared" si="3"/>
        <v>12.000000000000002</v>
      </c>
      <c r="F66" s="34">
        <f t="shared" si="4"/>
        <v>-13.2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96">
        <v>5</v>
      </c>
      <c r="D69" s="37">
        <v>0</v>
      </c>
      <c r="E69" s="34">
        <f t="shared" si="3"/>
        <v>0</v>
      </c>
      <c r="F69" s="34">
        <f t="shared" si="4"/>
        <v>-5</v>
      </c>
    </row>
    <row r="70" spans="1:7" ht="15.75" customHeight="1">
      <c r="A70" s="46" t="s">
        <v>219</v>
      </c>
      <c r="B70" s="47" t="s">
        <v>220</v>
      </c>
      <c r="C70" s="37">
        <v>10</v>
      </c>
      <c r="D70" s="37">
        <v>1.8</v>
      </c>
      <c r="E70" s="34">
        <f t="shared" si="3"/>
        <v>18</v>
      </c>
      <c r="F70" s="34">
        <f t="shared" si="4"/>
        <v>-8.1999999999999993</v>
      </c>
    </row>
    <row r="71" spans="1:7" s="6" customFormat="1" ht="17.25" customHeight="1">
      <c r="A71" s="30" t="s">
        <v>58</v>
      </c>
      <c r="B71" s="31" t="s">
        <v>59</v>
      </c>
      <c r="C71" s="48">
        <f>SUM(C72:C75)</f>
        <v>2830.6750099999999</v>
      </c>
      <c r="D71" s="48">
        <f>SUM(D72:D75)</f>
        <v>825.37594999999999</v>
      </c>
      <c r="E71" s="34">
        <f t="shared" si="3"/>
        <v>29.158273100379688</v>
      </c>
      <c r="F71" s="34">
        <f t="shared" si="4"/>
        <v>-2005.2990599999998</v>
      </c>
    </row>
    <row r="72" spans="1:7" ht="18" customHeight="1">
      <c r="A72" s="35" t="s">
        <v>60</v>
      </c>
      <c r="B72" s="39" t="s">
        <v>61</v>
      </c>
      <c r="C72" s="49">
        <v>9.7089999999999996</v>
      </c>
      <c r="D72" s="37">
        <v>0</v>
      </c>
      <c r="E72" s="38">
        <f t="shared" si="3"/>
        <v>0</v>
      </c>
      <c r="F72" s="38">
        <f t="shared" si="4"/>
        <v>-9.7089999999999996</v>
      </c>
    </row>
    <row r="73" spans="1:7" s="6" customFormat="1" ht="15" customHeight="1">
      <c r="A73" s="35" t="s">
        <v>62</v>
      </c>
      <c r="B73" s="39" t="s">
        <v>63</v>
      </c>
      <c r="C73" s="49">
        <v>309.5</v>
      </c>
      <c r="D73" s="37">
        <v>214.69111000000001</v>
      </c>
      <c r="E73" s="38">
        <f t="shared" si="3"/>
        <v>69.367079159935386</v>
      </c>
      <c r="F73" s="38">
        <f t="shared" si="4"/>
        <v>-94.808889999999991</v>
      </c>
      <c r="G73" s="50"/>
    </row>
    <row r="74" spans="1:7">
      <c r="A74" s="35" t="s">
        <v>64</v>
      </c>
      <c r="B74" s="39" t="s">
        <v>65</v>
      </c>
      <c r="C74" s="49">
        <v>2311.4660100000001</v>
      </c>
      <c r="D74" s="37">
        <v>610.68484000000001</v>
      </c>
      <c r="E74" s="38">
        <f t="shared" si="3"/>
        <v>26.419806190444479</v>
      </c>
      <c r="F74" s="38">
        <f t="shared" si="4"/>
        <v>-1700.7811700000002</v>
      </c>
    </row>
    <row r="75" spans="1:7">
      <c r="A75" s="35" t="s">
        <v>66</v>
      </c>
      <c r="B75" s="39" t="s">
        <v>67</v>
      </c>
      <c r="C75" s="49">
        <v>200</v>
      </c>
      <c r="D75" s="37">
        <v>0</v>
      </c>
      <c r="E75" s="38">
        <f t="shared" si="3"/>
        <v>0</v>
      </c>
      <c r="F75" s="38">
        <f t="shared" si="4"/>
        <v>-200</v>
      </c>
    </row>
    <row r="76" spans="1:7" s="6" customFormat="1" ht="17.25" customHeight="1">
      <c r="A76" s="30" t="s">
        <v>68</v>
      </c>
      <c r="B76" s="31" t="s">
        <v>69</v>
      </c>
      <c r="C76" s="32">
        <f>SUM(C77:C80)</f>
        <v>944.15</v>
      </c>
      <c r="D76" s="32">
        <f>SUM(D77:D80)</f>
        <v>453.01116999999999</v>
      </c>
      <c r="E76" s="34">
        <f t="shared" si="3"/>
        <v>47.980847322988936</v>
      </c>
      <c r="F76" s="34">
        <f t="shared" si="4"/>
        <v>-491.13882999999998</v>
      </c>
    </row>
    <row r="77" spans="1:7" ht="17.25" hidden="1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5" hidden="1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8" customHeight="1">
      <c r="A79" s="35" t="s">
        <v>74</v>
      </c>
      <c r="B79" s="39" t="s">
        <v>75</v>
      </c>
      <c r="C79" s="37">
        <v>944.15</v>
      </c>
      <c r="D79" s="37">
        <v>453.01116999999999</v>
      </c>
      <c r="E79" s="38">
        <f t="shared" si="3"/>
        <v>47.980847322988936</v>
      </c>
      <c r="F79" s="38">
        <f t="shared" si="4"/>
        <v>-491.13882999999998</v>
      </c>
    </row>
    <row r="80" spans="1:7" hidden="1">
      <c r="A80" s="35" t="s">
        <v>264</v>
      </c>
      <c r="B80" s="39" t="s">
        <v>265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s="6" customFormat="1" ht="20.25" customHeight="1">
      <c r="A81" s="30" t="s">
        <v>86</v>
      </c>
      <c r="B81" s="31" t="s">
        <v>87</v>
      </c>
      <c r="C81" s="32">
        <f>C82+C83</f>
        <v>1107.5999999999999</v>
      </c>
      <c r="D81" s="32">
        <f>SUM(D82:D83)</f>
        <v>556.5</v>
      </c>
      <c r="E81" s="34">
        <f t="shared" si="3"/>
        <v>50.243770314192851</v>
      </c>
      <c r="F81" s="34">
        <f t="shared" si="4"/>
        <v>-551.09999999999991</v>
      </c>
    </row>
    <row r="82" spans="1:6" ht="18" customHeight="1">
      <c r="A82" s="35" t="s">
        <v>88</v>
      </c>
      <c r="B82" s="39" t="s">
        <v>234</v>
      </c>
      <c r="C82" s="37">
        <v>1107.5999999999999</v>
      </c>
      <c r="D82" s="37">
        <v>556.5</v>
      </c>
      <c r="E82" s="38">
        <f t="shared" si="3"/>
        <v>50.243770314192851</v>
      </c>
      <c r="F82" s="38">
        <f t="shared" si="4"/>
        <v>-551.09999999999991</v>
      </c>
    </row>
    <row r="83" spans="1:6" hidden="1">
      <c r="A83" s="35" t="s">
        <v>273</v>
      </c>
      <c r="B83" s="39" t="s">
        <v>274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s="6" customFormat="1" hidden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8" t="e">
        <f t="shared" si="3"/>
        <v>#DIV/0!</v>
      </c>
      <c r="F84" s="38">
        <f t="shared" si="4"/>
        <v>0</v>
      </c>
    </row>
    <row r="85" spans="1:6" hidden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" hidden="1" customHeight="1">
      <c r="A87" s="53">
        <v>1004</v>
      </c>
      <c r="B87" s="54" t="s">
        <v>92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8" hidden="1" customHeight="1">
      <c r="A88" s="35" t="s">
        <v>93</v>
      </c>
      <c r="B88" s="39" t="s">
        <v>94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8.75" hidden="1" customHeight="1">
      <c r="A89" s="52">
        <v>1000</v>
      </c>
      <c r="B89" s="31" t="s">
        <v>89</v>
      </c>
      <c r="C89" s="32">
        <f>SUM(C90)</f>
        <v>0</v>
      </c>
      <c r="D89" s="32">
        <f>SUM(D90)</f>
        <v>0</v>
      </c>
      <c r="E89" s="34" t="e">
        <f t="shared" si="3"/>
        <v>#DIV/0!</v>
      </c>
      <c r="F89" s="34">
        <f t="shared" si="4"/>
        <v>0</v>
      </c>
    </row>
    <row r="90" spans="1:6" ht="20.25" hidden="1" customHeight="1">
      <c r="A90" s="53">
        <v>1006</v>
      </c>
      <c r="B90" s="54" t="s">
        <v>90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6.5" customHeight="1">
      <c r="A91" s="53">
        <v>1100</v>
      </c>
      <c r="B91" s="56" t="s">
        <v>96</v>
      </c>
      <c r="C91" s="32">
        <f>C92+C93+C94+C95+C96</f>
        <v>23.302</v>
      </c>
      <c r="D91" s="32">
        <f>D92+D93+D94+D95+D96</f>
        <v>10</v>
      </c>
      <c r="E91" s="38">
        <f t="shared" si="3"/>
        <v>42.914771264269163</v>
      </c>
      <c r="F91" s="22">
        <f>F92+F93+F94+F95+F96</f>
        <v>-13.302</v>
      </c>
    </row>
    <row r="92" spans="1:6" ht="18.75" customHeight="1">
      <c r="A92" s="53">
        <v>1101</v>
      </c>
      <c r="B92" s="54" t="s">
        <v>98</v>
      </c>
      <c r="C92" s="37">
        <v>23.302</v>
      </c>
      <c r="D92" s="37">
        <v>10</v>
      </c>
      <c r="E92" s="38">
        <f t="shared" si="3"/>
        <v>42.914771264269163</v>
      </c>
      <c r="F92" s="38">
        <f>SUM(D92-C92)</f>
        <v>-13.302</v>
      </c>
    </row>
    <row r="93" spans="1:6" ht="0.75" hidden="1" customHeight="1">
      <c r="A93" s="35" t="s">
        <v>93</v>
      </c>
      <c r="B93" s="39" t="s">
        <v>94</v>
      </c>
      <c r="C93" s="37"/>
      <c r="D93" s="37"/>
      <c r="E93" s="38" t="e">
        <f t="shared" si="3"/>
        <v>#DIV/0!</v>
      </c>
      <c r="F93" s="38">
        <f>SUM(D93-C93)</f>
        <v>0</v>
      </c>
    </row>
    <row r="94" spans="1:6" ht="18" hidden="1" customHeight="1">
      <c r="A94" s="35" t="s">
        <v>101</v>
      </c>
      <c r="B94" s="39" t="s">
        <v>102</v>
      </c>
      <c r="C94" s="37"/>
      <c r="D94" s="37"/>
      <c r="E94" s="38" t="e">
        <f t="shared" si="3"/>
        <v>#DIV/0!</v>
      </c>
      <c r="F94" s="38"/>
    </row>
    <row r="95" spans="1:6" ht="17.25" hidden="1" customHeight="1">
      <c r="A95" s="35" t="s">
        <v>103</v>
      </c>
      <c r="B95" s="39" t="s">
        <v>104</v>
      </c>
      <c r="C95" s="37"/>
      <c r="D95" s="37"/>
      <c r="E95" s="38" t="e">
        <f t="shared" si="3"/>
        <v>#DIV/0!</v>
      </c>
      <c r="F95" s="38"/>
    </row>
    <row r="96" spans="1:6" ht="18" hidden="1" customHeight="1">
      <c r="A96" s="35" t="s">
        <v>105</v>
      </c>
      <c r="B96" s="39" t="s">
        <v>106</v>
      </c>
      <c r="C96" s="37"/>
      <c r="D96" s="37"/>
      <c r="E96" s="38" t="e">
        <f t="shared" si="3"/>
        <v>#DIV/0!</v>
      </c>
      <c r="F96" s="38"/>
    </row>
    <row r="97" spans="1:6" s="6" customFormat="1" ht="57.75" hidden="1" customHeight="1">
      <c r="A97" s="52">
        <v>1400</v>
      </c>
      <c r="B97" s="56" t="s">
        <v>115</v>
      </c>
      <c r="C97" s="48">
        <f>C98+C99+C100</f>
        <v>0</v>
      </c>
      <c r="D97" s="48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.5" hidden="1" customHeight="1">
      <c r="A98" s="53">
        <v>1401</v>
      </c>
      <c r="B98" s="54" t="s">
        <v>116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16.5" hidden="1" customHeight="1">
      <c r="A99" s="53">
        <v>1402</v>
      </c>
      <c r="B99" s="54" t="s">
        <v>117</v>
      </c>
      <c r="C99" s="49"/>
      <c r="D99" s="37"/>
      <c r="E99" s="38" t="e">
        <f t="shared" si="3"/>
        <v>#DIV/0!</v>
      </c>
      <c r="F99" s="38">
        <f t="shared" si="4"/>
        <v>0</v>
      </c>
    </row>
    <row r="100" spans="1:6" ht="20.25" hidden="1" customHeight="1">
      <c r="A100" s="53">
        <v>1403</v>
      </c>
      <c r="B100" s="54" t="s">
        <v>118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s="6" customFormat="1" ht="14.25" customHeight="1">
      <c r="A101" s="52"/>
      <c r="B101" s="57" t="s">
        <v>119</v>
      </c>
      <c r="C101" s="442">
        <f>C56+C64+C66+C71+C76+C81+C84+C91+C97+C89</f>
        <v>6863.3660099999997</v>
      </c>
      <c r="D101" s="442">
        <f>D56+D64+D66+D71+D76+D81+D84+D91+D97+D89</f>
        <v>3088.4971100000002</v>
      </c>
      <c r="E101" s="34">
        <f t="shared" si="3"/>
        <v>44.999743646193807</v>
      </c>
      <c r="F101" s="34">
        <f t="shared" si="4"/>
        <v>-3774.8688999999995</v>
      </c>
    </row>
    <row r="102" spans="1:6">
      <c r="D102" s="246"/>
    </row>
    <row r="103" spans="1:6" s="65" customFormat="1" ht="12.75">
      <c r="A103" s="63" t="s">
        <v>120</v>
      </c>
      <c r="B103" s="63"/>
      <c r="C103" s="119"/>
      <c r="D103" s="64"/>
    </row>
    <row r="104" spans="1:6" s="65" customFormat="1" ht="18.75" customHeight="1">
      <c r="A104" s="66" t="s">
        <v>121</v>
      </c>
      <c r="B104" s="66"/>
      <c r="C104" s="65" t="s">
        <v>122</v>
      </c>
    </row>
    <row r="141" hidden="1"/>
  </sheetData>
  <customSheetViews>
    <customSheetView guid="{A54C432C-6C68-4B53-A75C-446EB3A61B2B}" scale="70" showPageBreaks="1" hiddenRows="1" view="pageBreakPreview" topLeftCell="A53">
      <selection activeCell="C101" activeCellId="1" sqref="C51:D52 C101:D101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B30CE22D-C12F-4E12-8BB9-3AAE0A6991CC}" scale="70" showPageBreaks="1" hiddenRows="1" view="pageBreakPreview">
      <selection activeCell="A2" sqref="A2:F2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5BFCA170-DEAE-4D2C-98A0-1E68B427AC01}" showPageBreaks="1" hiddenRows="1" topLeftCell="A40">
      <selection activeCell="B100" sqref="B100"/>
      <pageMargins left="0.7" right="0.7" top="0.75" bottom="0.75" header="0.3" footer="0.3"/>
      <pageSetup paperSize="9" scale="53" orientation="portrait" r:id="rId3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4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7</vt:i4>
      </vt:variant>
    </vt:vector>
  </HeadingPairs>
  <TitlesOfParts>
    <vt:vector size="28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Лист1</vt:lpstr>
      <vt:lpstr>Лист2</vt:lpstr>
      <vt:lpstr>Иль!Область_печати</vt:lpstr>
      <vt:lpstr>Консол!Область_печати</vt:lpstr>
      <vt:lpstr>Мор!Область_печати</vt:lpstr>
      <vt:lpstr>Справка!Область_печати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Бухгалтер 1</cp:lastModifiedBy>
  <cp:lastPrinted>2018-09-06T11:44:44Z</cp:lastPrinted>
  <dcterms:created xsi:type="dcterms:W3CDTF">1996-10-08T23:32:33Z</dcterms:created>
  <dcterms:modified xsi:type="dcterms:W3CDTF">2018-09-06T11:49:35Z</dcterms:modified>
</cp:coreProperties>
</file>