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showPivotChartFilter="1" defaultThemeVersion="124226"/>
  <bookViews>
    <workbookView xWindow="7830" yWindow="-15" windowWidth="9975" windowHeight="11175" tabRatio="848"/>
  </bookViews>
  <sheets>
    <sheet name="Grig1" sheetId="4" r:id="rId1"/>
    <sheet name="OБПР" sheetId="19" r:id="rId2"/>
    <sheet name="Posled1" sheetId="6" r:id="rId3"/>
    <sheet name="Posled2" sheetId="7" r:id="rId4"/>
    <sheet name="Комментарии" sheetId="3" state="hidden" r:id="rId5"/>
    <sheet name="на 10 тыс главы" sheetId="11" state="hidden" r:id="rId6"/>
    <sheet name="На 10 тыс" sheetId="9" r:id="rId7"/>
    <sheet name="В блокнот" sheetId="8" r:id="rId8"/>
    <sheet name="НаселГлавы" sheetId="12" r:id="rId9"/>
    <sheet name="Население" sheetId="10" r:id="rId10"/>
    <sheet name="ГРАФИКИ" sheetId="16" r:id="rId11"/>
    <sheet name="ВНИИПО" sheetId="14" r:id="rId12"/>
    <sheet name="2017-2018" sheetId="21" r:id="rId13"/>
    <sheet name="Grig2" sheetId="5" r:id="rId14"/>
    <sheet name="обмен с регионами" sheetId="20" r:id="rId15"/>
    <sheet name="На 100 тыс" sheetId="23" r:id="rId16"/>
    <sheet name="Лист1" sheetId="24" r:id="rId17"/>
  </sheets>
  <definedNames>
    <definedName name="_xlnm.Database">Население!$A$1:$B$30</definedName>
    <definedName name="_xlnm.Print_Area" localSheetId="0">Grig1!$A$1:$P$62</definedName>
    <definedName name="_xlnm.Print_Area" localSheetId="1">OБПР!$A$1:$P$39</definedName>
    <definedName name="_xlnm.Print_Area" localSheetId="10">ГРАФИКИ!$A$1:$M$145</definedName>
  </definedNames>
  <calcPr calcId="145621"/>
  <webPublishing css="0" codePage="1251"/>
</workbook>
</file>

<file path=xl/calcChain.xml><?xml version="1.0" encoding="utf-8"?>
<calcChain xmlns="http://schemas.openxmlformats.org/spreadsheetml/2006/main">
  <c r="C54" i="4" l="1"/>
  <c r="B54" i="4"/>
  <c r="A1" i="19" l="1"/>
  <c r="E5" i="19"/>
  <c r="F5" i="19"/>
  <c r="H5" i="19"/>
  <c r="I5" i="19"/>
  <c r="K5" i="19"/>
  <c r="L5" i="19"/>
  <c r="N5" i="19"/>
  <c r="O5" i="19"/>
  <c r="D7" i="19"/>
  <c r="G7" i="19"/>
  <c r="J7" i="19"/>
  <c r="M7" i="19"/>
  <c r="P7" i="19"/>
  <c r="B8" i="19"/>
  <c r="C8" i="19"/>
  <c r="E8" i="19"/>
  <c r="F8" i="19"/>
  <c r="H8" i="19"/>
  <c r="J8" i="19" s="1"/>
  <c r="I8" i="19"/>
  <c r="K8" i="19"/>
  <c r="M8" i="19" s="1"/>
  <c r="L8" i="19"/>
  <c r="N8" i="19"/>
  <c r="P8" i="19" s="1"/>
  <c r="O8" i="19"/>
  <c r="B9" i="19"/>
  <c r="C9" i="19"/>
  <c r="E9" i="19"/>
  <c r="F9" i="19"/>
  <c r="H9" i="19"/>
  <c r="J9" i="19" s="1"/>
  <c r="I9" i="19"/>
  <c r="K9" i="19"/>
  <c r="M9" i="19" s="1"/>
  <c r="L9" i="19"/>
  <c r="N9" i="19"/>
  <c r="P9" i="19" s="1"/>
  <c r="O9" i="19"/>
  <c r="B10" i="19"/>
  <c r="C10" i="19"/>
  <c r="E10" i="19"/>
  <c r="F10" i="19"/>
  <c r="H10" i="19"/>
  <c r="J10" i="19" s="1"/>
  <c r="I10" i="19"/>
  <c r="K10" i="19"/>
  <c r="M10" i="19" s="1"/>
  <c r="L10" i="19"/>
  <c r="N10" i="19"/>
  <c r="P10" i="19" s="1"/>
  <c r="O10" i="19"/>
  <c r="B11" i="19"/>
  <c r="C11" i="19"/>
  <c r="E11" i="19"/>
  <c r="F11" i="19"/>
  <c r="H11" i="19"/>
  <c r="I11" i="19"/>
  <c r="K11" i="19"/>
  <c r="L11" i="19"/>
  <c r="N11" i="19"/>
  <c r="O11" i="19"/>
  <c r="B12" i="19"/>
  <c r="C12" i="19"/>
  <c r="E12" i="19"/>
  <c r="F12" i="19"/>
  <c r="H12" i="19"/>
  <c r="I12" i="19"/>
  <c r="K12" i="19"/>
  <c r="M12" i="19" s="1"/>
  <c r="L12" i="19"/>
  <c r="N12" i="19"/>
  <c r="P12" i="19" s="1"/>
  <c r="O12" i="19"/>
  <c r="B13" i="19"/>
  <c r="C13" i="19"/>
  <c r="E13" i="19"/>
  <c r="F13" i="19"/>
  <c r="H13" i="19"/>
  <c r="J13" i="19" s="1"/>
  <c r="I13" i="19"/>
  <c r="K13" i="19"/>
  <c r="M13" i="19" s="1"/>
  <c r="L13" i="19"/>
  <c r="N13" i="19"/>
  <c r="P13" i="19" s="1"/>
  <c r="O13" i="19"/>
  <c r="B14" i="19"/>
  <c r="D14" i="19" s="1"/>
  <c r="C14" i="19"/>
  <c r="E14" i="19"/>
  <c r="G14" i="19" s="1"/>
  <c r="F14" i="19"/>
  <c r="H14" i="19"/>
  <c r="J14" i="19" s="1"/>
  <c r="I14" i="19"/>
  <c r="K14" i="19"/>
  <c r="M14" i="19" s="1"/>
  <c r="L14" i="19"/>
  <c r="N14" i="19"/>
  <c r="P14" i="19" s="1"/>
  <c r="O14" i="19"/>
  <c r="B15" i="19"/>
  <c r="D15" i="19" s="1"/>
  <c r="C15" i="19"/>
  <c r="E15" i="19"/>
  <c r="G15" i="19" s="1"/>
  <c r="F15" i="19"/>
  <c r="H15" i="19"/>
  <c r="J15" i="19" s="1"/>
  <c r="I15" i="19"/>
  <c r="K15" i="19"/>
  <c r="M15" i="19" s="1"/>
  <c r="L15" i="19"/>
  <c r="N15" i="19"/>
  <c r="P15" i="19" s="1"/>
  <c r="O15" i="19"/>
  <c r="B16" i="19"/>
  <c r="D16" i="19" s="1"/>
  <c r="C16" i="19"/>
  <c r="E16" i="19"/>
  <c r="G16" i="19" s="1"/>
  <c r="F16" i="19"/>
  <c r="H16" i="19"/>
  <c r="J16" i="19" s="1"/>
  <c r="I16" i="19"/>
  <c r="K16" i="19"/>
  <c r="M16" i="19" s="1"/>
  <c r="L16" i="19"/>
  <c r="N16" i="19"/>
  <c r="P16" i="19" s="1"/>
  <c r="O16" i="19"/>
  <c r="B17" i="19"/>
  <c r="C17" i="19"/>
  <c r="E17" i="19"/>
  <c r="F17" i="19"/>
  <c r="H17" i="19"/>
  <c r="J17" i="19" s="1"/>
  <c r="I17" i="19"/>
  <c r="K17" i="19"/>
  <c r="M17" i="19" s="1"/>
  <c r="L17" i="19"/>
  <c r="N17" i="19"/>
  <c r="O17" i="19"/>
  <c r="B18" i="19"/>
  <c r="C18" i="19"/>
  <c r="E18" i="19"/>
  <c r="G18" i="19" s="1"/>
  <c r="F18" i="19"/>
  <c r="H18" i="19"/>
  <c r="J18" i="19" s="1"/>
  <c r="I18" i="19"/>
  <c r="K18" i="19"/>
  <c r="M18" i="19" s="1"/>
  <c r="L18" i="19"/>
  <c r="N18" i="19"/>
  <c r="P18" i="19" s="1"/>
  <c r="O18" i="19"/>
  <c r="B19" i="19"/>
  <c r="C19" i="19"/>
  <c r="E19" i="19"/>
  <c r="F19" i="19"/>
  <c r="H19" i="19"/>
  <c r="I19" i="19"/>
  <c r="K19" i="19"/>
  <c r="L19" i="19"/>
  <c r="N19" i="19"/>
  <c r="O19" i="19"/>
  <c r="B20" i="19"/>
  <c r="C20" i="19"/>
  <c r="E20" i="19"/>
  <c r="F20" i="19"/>
  <c r="H20" i="19"/>
  <c r="J20" i="19" s="1"/>
  <c r="I20" i="19"/>
  <c r="K20" i="19"/>
  <c r="L20" i="19"/>
  <c r="N20" i="19"/>
  <c r="O20" i="19"/>
  <c r="B21" i="19"/>
  <c r="D21" i="19" s="1"/>
  <c r="C21" i="19"/>
  <c r="E21" i="19"/>
  <c r="G21" i="19" s="1"/>
  <c r="F21" i="19"/>
  <c r="H21" i="19"/>
  <c r="J21" i="19" s="1"/>
  <c r="I21" i="19"/>
  <c r="K21" i="19"/>
  <c r="M21" i="19" s="1"/>
  <c r="L21" i="19"/>
  <c r="N21" i="19"/>
  <c r="P21" i="19" s="1"/>
  <c r="O21" i="19"/>
  <c r="B22" i="19"/>
  <c r="C22" i="19"/>
  <c r="E22" i="19"/>
  <c r="F22" i="19"/>
  <c r="H22" i="19"/>
  <c r="J22" i="19" s="1"/>
  <c r="I22" i="19"/>
  <c r="K22" i="19"/>
  <c r="M22" i="19" s="1"/>
  <c r="L22" i="19"/>
  <c r="N22" i="19"/>
  <c r="P22" i="19" s="1"/>
  <c r="O22" i="19"/>
  <c r="B23" i="19"/>
  <c r="C23" i="19"/>
  <c r="E23" i="19"/>
  <c r="F23" i="19"/>
  <c r="H23" i="19"/>
  <c r="J23" i="19" s="1"/>
  <c r="I23" i="19"/>
  <c r="K23" i="19"/>
  <c r="L23" i="19"/>
  <c r="N23" i="19"/>
  <c r="O23" i="19"/>
  <c r="B24" i="19"/>
  <c r="C24" i="19"/>
  <c r="E24" i="19"/>
  <c r="F24" i="19"/>
  <c r="H24" i="19"/>
  <c r="J24" i="19" s="1"/>
  <c r="I24" i="19"/>
  <c r="K24" i="19"/>
  <c r="M24" i="19" s="1"/>
  <c r="L24" i="19"/>
  <c r="N24" i="19"/>
  <c r="P24" i="19" s="1"/>
  <c r="O24" i="19"/>
  <c r="B25" i="19"/>
  <c r="C25" i="19"/>
  <c r="E25" i="19"/>
  <c r="F25" i="19"/>
  <c r="H25" i="19"/>
  <c r="J25" i="19" s="1"/>
  <c r="I25" i="19"/>
  <c r="K25" i="19"/>
  <c r="M25" i="19" s="1"/>
  <c r="L25" i="19"/>
  <c r="N25" i="19"/>
  <c r="P25" i="19" s="1"/>
  <c r="O25" i="19"/>
  <c r="B26" i="19"/>
  <c r="D26" i="19" s="1"/>
  <c r="C26" i="19"/>
  <c r="E26" i="19"/>
  <c r="G26" i="19" s="1"/>
  <c r="F26" i="19"/>
  <c r="H26" i="19"/>
  <c r="J26" i="19" s="1"/>
  <c r="I26" i="19"/>
  <c r="K26" i="19"/>
  <c r="M26" i="19" s="1"/>
  <c r="L26" i="19"/>
  <c r="N26" i="19"/>
  <c r="P26" i="19" s="1"/>
  <c r="O26" i="19"/>
  <c r="B27" i="19"/>
  <c r="C27" i="19"/>
  <c r="E27" i="19"/>
  <c r="F27" i="19"/>
  <c r="H27" i="19"/>
  <c r="J27" i="19" s="1"/>
  <c r="I27" i="19"/>
  <c r="K27" i="19"/>
  <c r="L27" i="19"/>
  <c r="N27" i="19"/>
  <c r="P27" i="19" s="1"/>
  <c r="O27" i="19"/>
  <c r="B28" i="19"/>
  <c r="C28" i="19"/>
  <c r="E28" i="19"/>
  <c r="F28" i="19"/>
  <c r="H28" i="19"/>
  <c r="I28" i="19"/>
  <c r="K28" i="19"/>
  <c r="L28" i="19"/>
  <c r="N28" i="19"/>
  <c r="O28" i="19"/>
  <c r="B29" i="19"/>
  <c r="C29" i="19"/>
  <c r="E29" i="19"/>
  <c r="F29" i="19"/>
  <c r="H29" i="19"/>
  <c r="I29" i="19"/>
  <c r="K29" i="19"/>
  <c r="L29" i="19"/>
  <c r="N29" i="19"/>
  <c r="O29" i="19"/>
  <c r="B30" i="19"/>
  <c r="D30" i="19" s="1"/>
  <c r="C30" i="19"/>
  <c r="E30" i="19"/>
  <c r="G30" i="19" s="1"/>
  <c r="F30" i="19"/>
  <c r="H30" i="19"/>
  <c r="J30" i="19" s="1"/>
  <c r="I30" i="19"/>
  <c r="K30" i="19"/>
  <c r="M30" i="19" s="1"/>
  <c r="L30" i="19"/>
  <c r="N30" i="19"/>
  <c r="P30" i="19" s="1"/>
  <c r="O30" i="19"/>
  <c r="B31" i="19"/>
  <c r="C31" i="19"/>
  <c r="E31" i="19"/>
  <c r="F31" i="19"/>
  <c r="H31" i="19"/>
  <c r="I31" i="19"/>
  <c r="K31" i="19"/>
  <c r="L31" i="19"/>
  <c r="N31" i="19"/>
  <c r="O31" i="19"/>
  <c r="B32" i="19"/>
  <c r="C32" i="19"/>
  <c r="E32" i="19"/>
  <c r="F32" i="19"/>
  <c r="H32" i="19"/>
  <c r="I32" i="19"/>
  <c r="K32" i="19"/>
  <c r="L32" i="19"/>
  <c r="N32" i="19"/>
  <c r="O32" i="19"/>
  <c r="B33" i="19"/>
  <c r="C33" i="19"/>
  <c r="E33" i="19"/>
  <c r="F33" i="19"/>
  <c r="H33" i="19"/>
  <c r="I33" i="19"/>
  <c r="K33" i="19"/>
  <c r="M33" i="19" s="1"/>
  <c r="L33" i="19"/>
  <c r="N33" i="19"/>
  <c r="O33" i="19"/>
  <c r="B34" i="19"/>
  <c r="C34" i="19"/>
  <c r="E34" i="19"/>
  <c r="F34" i="19"/>
  <c r="H34" i="19"/>
  <c r="I34" i="19"/>
  <c r="K34" i="19"/>
  <c r="L34" i="19"/>
  <c r="N34" i="19"/>
  <c r="O34" i="19"/>
  <c r="B35" i="19"/>
  <c r="C35" i="19"/>
  <c r="E35" i="19"/>
  <c r="F35" i="19"/>
  <c r="H35" i="19"/>
  <c r="I35" i="19"/>
  <c r="K35" i="19"/>
  <c r="L35" i="19"/>
  <c r="N35" i="19"/>
  <c r="O35" i="19"/>
  <c r="B36" i="19"/>
  <c r="C36" i="19"/>
  <c r="E36" i="19"/>
  <c r="F36" i="19"/>
  <c r="H36" i="19"/>
  <c r="J36" i="19" s="1"/>
  <c r="I36" i="19"/>
  <c r="K36" i="19"/>
  <c r="L36" i="19"/>
  <c r="N36" i="19"/>
  <c r="O36" i="19"/>
  <c r="B37" i="19"/>
  <c r="C37" i="19"/>
  <c r="E37" i="19"/>
  <c r="F37" i="19"/>
  <c r="H37" i="19"/>
  <c r="I37" i="19"/>
  <c r="K37" i="19"/>
  <c r="M37" i="19" s="1"/>
  <c r="L37" i="19"/>
  <c r="N37" i="19"/>
  <c r="P37" i="19" s="1"/>
  <c r="O37" i="19"/>
  <c r="B38" i="19"/>
  <c r="C38" i="19"/>
  <c r="E38" i="19"/>
  <c r="F38" i="19"/>
  <c r="H38" i="19"/>
  <c r="J38" i="19" s="1"/>
  <c r="I38" i="19"/>
  <c r="K38" i="19"/>
  <c r="L38" i="19"/>
  <c r="N38" i="19"/>
  <c r="O38" i="19"/>
  <c r="B39" i="19"/>
  <c r="C39" i="19"/>
  <c r="E39" i="19"/>
  <c r="F39" i="19"/>
  <c r="H39" i="19"/>
  <c r="I39" i="19"/>
  <c r="K39" i="19"/>
  <c r="L39" i="19"/>
  <c r="N39" i="19"/>
  <c r="O39" i="19"/>
  <c r="P19" i="19" l="1"/>
  <c r="M19" i="19"/>
  <c r="D25" i="19"/>
  <c r="G25" i="19"/>
  <c r="J37" i="19"/>
  <c r="J29" i="19"/>
  <c r="P17" i="19"/>
  <c r="D18" i="19"/>
  <c r="M29" i="19"/>
  <c r="D22" i="19"/>
  <c r="G22" i="19"/>
  <c r="J19" i="19"/>
  <c r="J12" i="19"/>
  <c r="J28" i="19"/>
  <c r="G33" i="19"/>
  <c r="P33" i="19"/>
  <c r="J33" i="19"/>
  <c r="D33" i="19"/>
  <c r="D9" i="19"/>
  <c r="G9" i="19"/>
  <c r="G13" i="19"/>
  <c r="D13" i="19"/>
  <c r="P36" i="19"/>
  <c r="M36" i="19"/>
  <c r="M39" i="19"/>
  <c r="D38" i="19"/>
  <c r="M23" i="19"/>
  <c r="P29" i="19"/>
  <c r="P20" i="19"/>
  <c r="M20" i="19"/>
  <c r="M27" i="19"/>
  <c r="J35" i="19"/>
  <c r="G32" i="19"/>
  <c r="G24" i="19"/>
  <c r="M38" i="19"/>
  <c r="D37" i="19"/>
  <c r="G12" i="19"/>
  <c r="P11" i="19"/>
  <c r="J11" i="19"/>
  <c r="D32" i="19"/>
  <c r="D29" i="19"/>
  <c r="D36" i="19"/>
  <c r="M35" i="19"/>
  <c r="P34" i="19"/>
  <c r="D10" i="19"/>
  <c r="P38" i="19"/>
  <c r="G35" i="19"/>
  <c r="D34" i="19"/>
  <c r="M32" i="19"/>
  <c r="G27" i="19"/>
  <c r="D24" i="19"/>
  <c r="G37" i="19"/>
  <c r="G36" i="19"/>
  <c r="P35" i="19"/>
  <c r="J31" i="19"/>
  <c r="D31" i="19"/>
  <c r="G29" i="19"/>
  <c r="G28" i="19"/>
  <c r="G19" i="19"/>
  <c r="D17" i="19"/>
  <c r="M11" i="19"/>
  <c r="D8" i="19"/>
  <c r="J39" i="19"/>
  <c r="D39" i="19"/>
  <c r="M34" i="19"/>
  <c r="G34" i="19"/>
  <c r="J32" i="19"/>
  <c r="M31" i="19"/>
  <c r="P28" i="19"/>
  <c r="D23" i="19"/>
  <c r="G20" i="19"/>
  <c r="G17" i="19"/>
  <c r="G8" i="19"/>
  <c r="G11" i="19"/>
  <c r="G10" i="19"/>
  <c r="P39" i="19"/>
  <c r="G39" i="19"/>
  <c r="G38" i="19"/>
  <c r="D35" i="19"/>
  <c r="J34" i="19"/>
  <c r="P32" i="19"/>
  <c r="P31" i="19"/>
  <c r="G31" i="19"/>
  <c r="M28" i="19"/>
  <c r="D28" i="19"/>
  <c r="D27" i="19"/>
  <c r="P23" i="19"/>
  <c r="G23" i="19"/>
  <c r="D20" i="19"/>
  <c r="D19" i="19"/>
  <c r="D12" i="19"/>
  <c r="D11" i="19"/>
  <c r="M35" i="14"/>
  <c r="L35" i="14"/>
  <c r="J35" i="14"/>
  <c r="I35" i="14"/>
  <c r="G35" i="14"/>
  <c r="F35" i="14"/>
  <c r="K12" i="4" l="1"/>
  <c r="Q37" i="16" l="1"/>
  <c r="P37" i="16"/>
  <c r="C4" i="23"/>
  <c r="B4" i="23"/>
  <c r="O415" i="16"/>
  <c r="O62" i="4" l="1"/>
  <c r="N62" i="4"/>
  <c r="L62" i="4"/>
  <c r="Q239" i="16" s="1"/>
  <c r="K62" i="4"/>
  <c r="P239" i="16" s="1"/>
  <c r="I62" i="4"/>
  <c r="H62" i="4"/>
  <c r="F62" i="4"/>
  <c r="E62" i="4"/>
  <c r="C62" i="4"/>
  <c r="O61" i="4"/>
  <c r="N61" i="4"/>
  <c r="L61" i="4"/>
  <c r="Q226" i="16" s="1"/>
  <c r="K61" i="4"/>
  <c r="P226" i="16" s="1"/>
  <c r="I61" i="4"/>
  <c r="H61" i="4"/>
  <c r="F61" i="4"/>
  <c r="E61" i="4"/>
  <c r="C61" i="4"/>
  <c r="B61" i="4"/>
  <c r="O60" i="4"/>
  <c r="N60" i="4"/>
  <c r="L60" i="4"/>
  <c r="Q221" i="16" s="1"/>
  <c r="K60" i="4"/>
  <c r="P221" i="16" s="1"/>
  <c r="I60" i="4"/>
  <c r="H60" i="4"/>
  <c r="F60" i="4"/>
  <c r="E60" i="4"/>
  <c r="C60" i="4"/>
  <c r="B60" i="4"/>
  <c r="B23" i="4"/>
  <c r="B12" i="9" s="1"/>
  <c r="B62" i="4"/>
  <c r="F5" i="4"/>
  <c r="E5" i="4"/>
  <c r="F7" i="4"/>
  <c r="E7" i="4"/>
  <c r="F8" i="4"/>
  <c r="E8" i="4"/>
  <c r="F9" i="4"/>
  <c r="E9" i="4"/>
  <c r="F11" i="4"/>
  <c r="E11" i="4"/>
  <c r="E6" i="9" s="1"/>
  <c r="F12" i="4"/>
  <c r="E12" i="4"/>
  <c r="F13" i="4"/>
  <c r="E13" i="4"/>
  <c r="F14" i="4"/>
  <c r="E14" i="4"/>
  <c r="F15" i="4"/>
  <c r="F8" i="9" s="1"/>
  <c r="E15" i="4"/>
  <c r="F16" i="4"/>
  <c r="E16" i="4"/>
  <c r="F17" i="4"/>
  <c r="F9" i="9" s="1"/>
  <c r="E17" i="4"/>
  <c r="F18" i="4"/>
  <c r="E18" i="4"/>
  <c r="F19" i="4"/>
  <c r="E19" i="4"/>
  <c r="F20" i="4"/>
  <c r="E20" i="4"/>
  <c r="F21" i="4"/>
  <c r="E21" i="4"/>
  <c r="F23" i="4"/>
  <c r="E23" i="4"/>
  <c r="E12" i="9" s="1"/>
  <c r="F24" i="4"/>
  <c r="F13" i="9" s="1"/>
  <c r="E24" i="4"/>
  <c r="F25" i="4"/>
  <c r="X298" i="16" s="1"/>
  <c r="E25" i="4"/>
  <c r="F26" i="4"/>
  <c r="E26" i="4"/>
  <c r="F27" i="4"/>
  <c r="E27" i="4"/>
  <c r="F28" i="4"/>
  <c r="F15" i="9" s="1"/>
  <c r="E28" i="4"/>
  <c r="F29" i="4"/>
  <c r="E29" i="4"/>
  <c r="F30" i="4"/>
  <c r="F16" i="9" s="1"/>
  <c r="E30" i="4"/>
  <c r="F31" i="4"/>
  <c r="E31" i="4"/>
  <c r="F32" i="4"/>
  <c r="F17" i="9" s="1"/>
  <c r="E32" i="4"/>
  <c r="F33" i="4"/>
  <c r="X299" i="16" s="1"/>
  <c r="E33" i="4"/>
  <c r="F34" i="4"/>
  <c r="E34" i="4"/>
  <c r="F35" i="4"/>
  <c r="E35" i="4"/>
  <c r="F36" i="4"/>
  <c r="E36" i="4"/>
  <c r="F37" i="4"/>
  <c r="E37" i="4"/>
  <c r="F38" i="4"/>
  <c r="E38" i="4"/>
  <c r="F39" i="4"/>
  <c r="E39" i="4"/>
  <c r="F40" i="4"/>
  <c r="F21" i="9" s="1"/>
  <c r="E40" i="4"/>
  <c r="F41" i="4"/>
  <c r="E41" i="4"/>
  <c r="F42" i="4"/>
  <c r="E42" i="4"/>
  <c r="F43" i="4"/>
  <c r="E43" i="4"/>
  <c r="F44" i="4"/>
  <c r="E44" i="4"/>
  <c r="F45" i="4"/>
  <c r="E45" i="4"/>
  <c r="F46" i="4"/>
  <c r="E46" i="4"/>
  <c r="F47" i="4"/>
  <c r="E47" i="4"/>
  <c r="F49" i="4"/>
  <c r="E49" i="4"/>
  <c r="E26" i="9" s="1"/>
  <c r="F50" i="4"/>
  <c r="E50" i="4"/>
  <c r="F51" i="4"/>
  <c r="E51" i="4"/>
  <c r="F52" i="4"/>
  <c r="E52" i="4"/>
  <c r="F53" i="4"/>
  <c r="E53" i="4"/>
  <c r="F54" i="4"/>
  <c r="E54" i="4"/>
  <c r="O23" i="4"/>
  <c r="O22" i="4" s="1"/>
  <c r="O414" i="16"/>
  <c r="O413" i="16"/>
  <c r="O412" i="16"/>
  <c r="O411" i="16"/>
  <c r="D29" i="14"/>
  <c r="D28" i="14"/>
  <c r="C29" i="14"/>
  <c r="C28" i="14"/>
  <c r="C24" i="14"/>
  <c r="D24" i="14"/>
  <c r="D26" i="14"/>
  <c r="D27" i="14"/>
  <c r="C26" i="14"/>
  <c r="C27" i="14"/>
  <c r="N45" i="4"/>
  <c r="O45" i="4"/>
  <c r="K45" i="4"/>
  <c r="L45" i="4"/>
  <c r="H45" i="4"/>
  <c r="I45" i="4"/>
  <c r="N43" i="4"/>
  <c r="N44" i="4"/>
  <c r="O43" i="4"/>
  <c r="K43" i="4"/>
  <c r="L43" i="4"/>
  <c r="AD301" i="16" s="1"/>
  <c r="H43" i="4"/>
  <c r="I43" i="4"/>
  <c r="AA301" i="16" s="1"/>
  <c r="N33" i="4"/>
  <c r="O33" i="4"/>
  <c r="K33" i="4"/>
  <c r="L33" i="4"/>
  <c r="H33" i="4"/>
  <c r="I33" i="4"/>
  <c r="N39" i="4"/>
  <c r="O39" i="4"/>
  <c r="K39" i="4"/>
  <c r="L39" i="4"/>
  <c r="H39" i="4"/>
  <c r="I39" i="4"/>
  <c r="N49" i="4"/>
  <c r="O49" i="4"/>
  <c r="AC285" i="16" s="1"/>
  <c r="K49" i="4"/>
  <c r="L49" i="4"/>
  <c r="Z285" i="16" s="1"/>
  <c r="AD302" i="16" s="1"/>
  <c r="H49" i="4"/>
  <c r="Q26" i="9" s="1"/>
  <c r="I49" i="4"/>
  <c r="N11" i="4"/>
  <c r="K11" i="4"/>
  <c r="O36" i="4"/>
  <c r="N36" i="4"/>
  <c r="N23" i="4"/>
  <c r="K23" i="4"/>
  <c r="L23" i="4"/>
  <c r="L22" i="4" s="1"/>
  <c r="H23" i="4"/>
  <c r="Q12" i="9" s="1"/>
  <c r="I23" i="4"/>
  <c r="N21" i="4"/>
  <c r="O21" i="4"/>
  <c r="K21" i="4"/>
  <c r="L21" i="4"/>
  <c r="H21" i="4"/>
  <c r="I21" i="4"/>
  <c r="L36" i="4"/>
  <c r="K36" i="4"/>
  <c r="I36" i="4"/>
  <c r="H36" i="4"/>
  <c r="H11" i="4"/>
  <c r="Q6" i="9" s="1"/>
  <c r="N55" i="4"/>
  <c r="K55" i="4"/>
  <c r="H55" i="4"/>
  <c r="E55" i="4"/>
  <c r="B53" i="4"/>
  <c r="C53" i="4"/>
  <c r="B51" i="4"/>
  <c r="C51" i="4"/>
  <c r="B47" i="4"/>
  <c r="C47" i="4"/>
  <c r="B45" i="4"/>
  <c r="C45" i="4"/>
  <c r="C41" i="4"/>
  <c r="B41" i="4"/>
  <c r="B39" i="4"/>
  <c r="C39" i="4"/>
  <c r="B31" i="4"/>
  <c r="C31" i="4"/>
  <c r="C29" i="4"/>
  <c r="B29" i="4"/>
  <c r="C20" i="4"/>
  <c r="B20" i="4"/>
  <c r="B18" i="4"/>
  <c r="C18" i="4"/>
  <c r="B16" i="4"/>
  <c r="C16" i="4"/>
  <c r="B14" i="4"/>
  <c r="C14" i="4"/>
  <c r="B12" i="4"/>
  <c r="B21" i="4"/>
  <c r="C21" i="4"/>
  <c r="C23" i="4"/>
  <c r="C25" i="4"/>
  <c r="B25" i="4"/>
  <c r="C49" i="4"/>
  <c r="B49" i="4"/>
  <c r="B26" i="9" s="1"/>
  <c r="C33" i="4"/>
  <c r="B33" i="4"/>
  <c r="B11" i="4"/>
  <c r="B6" i="9" s="1"/>
  <c r="O55" i="4"/>
  <c r="L55" i="4"/>
  <c r="I55" i="4"/>
  <c r="F55" i="4"/>
  <c r="C55" i="4"/>
  <c r="B55" i="4"/>
  <c r="M13" i="10"/>
  <c r="L12" i="4"/>
  <c r="K16" i="4"/>
  <c r="K14" i="4"/>
  <c r="L11" i="4"/>
  <c r="Z265" i="16" s="1"/>
  <c r="AD296" i="16" s="1"/>
  <c r="M12" i="4"/>
  <c r="I50" i="6"/>
  <c r="C50" i="6"/>
  <c r="I18" i="7"/>
  <c r="L18" i="6"/>
  <c r="I18" i="6"/>
  <c r="C50" i="7"/>
  <c r="F18" i="6"/>
  <c r="H50" i="6"/>
  <c r="B50" i="6"/>
  <c r="H18" i="7"/>
  <c r="H18" i="6"/>
  <c r="H50" i="7"/>
  <c r="B50" i="7"/>
  <c r="E18" i="6"/>
  <c r="I61" i="6"/>
  <c r="I29" i="7"/>
  <c r="L29" i="6"/>
  <c r="I29" i="6"/>
  <c r="I61" i="7"/>
  <c r="F29" i="6"/>
  <c r="H61" i="6"/>
  <c r="J61" i="6" s="1"/>
  <c r="B61" i="6"/>
  <c r="D61" i="6" s="1"/>
  <c r="K29" i="6"/>
  <c r="H29" i="6"/>
  <c r="H61" i="7"/>
  <c r="B61" i="7"/>
  <c r="I62" i="6"/>
  <c r="C62" i="6"/>
  <c r="I30" i="7"/>
  <c r="I30" i="6"/>
  <c r="C62" i="7"/>
  <c r="F30" i="6"/>
  <c r="H62" i="6"/>
  <c r="B62" i="6"/>
  <c r="D62" i="6" s="1"/>
  <c r="H30" i="7"/>
  <c r="J30" i="7" s="1"/>
  <c r="H30" i="6"/>
  <c r="H62" i="7"/>
  <c r="J62" i="7" s="1"/>
  <c r="B62" i="7"/>
  <c r="I28" i="7"/>
  <c r="L28" i="6"/>
  <c r="I28" i="6"/>
  <c r="I60" i="7"/>
  <c r="L7" i="4"/>
  <c r="Z261" i="16" s="1"/>
  <c r="H60" i="6"/>
  <c r="J60" i="6" s="1"/>
  <c r="B60" i="6"/>
  <c r="D60" i="6" s="1"/>
  <c r="K28" i="6"/>
  <c r="H60" i="7"/>
  <c r="J60" i="7" s="1"/>
  <c r="B60" i="7"/>
  <c r="I59" i="6"/>
  <c r="C59" i="6"/>
  <c r="L27" i="6"/>
  <c r="I27" i="6"/>
  <c r="I59" i="7"/>
  <c r="C59" i="7"/>
  <c r="H59" i="6"/>
  <c r="J59" i="6" s="1"/>
  <c r="B59" i="6"/>
  <c r="D59" i="6" s="1"/>
  <c r="H27" i="7"/>
  <c r="H27" i="6"/>
  <c r="B59" i="7"/>
  <c r="E27" i="6"/>
  <c r="I58" i="6"/>
  <c r="I26" i="7"/>
  <c r="L26" i="6"/>
  <c r="I26" i="6"/>
  <c r="I58" i="7"/>
  <c r="F26" i="6"/>
  <c r="H58" i="6"/>
  <c r="J58" i="6" s="1"/>
  <c r="B58" i="6"/>
  <c r="D58" i="6" s="1"/>
  <c r="H26" i="7"/>
  <c r="K26" i="6"/>
  <c r="H58" i="7"/>
  <c r="B58" i="7"/>
  <c r="E26" i="6"/>
  <c r="I57" i="6"/>
  <c r="C57" i="6"/>
  <c r="L25" i="6"/>
  <c r="I57" i="7"/>
  <c r="C57" i="7"/>
  <c r="H57" i="6"/>
  <c r="J57" i="6" s="1"/>
  <c r="B57" i="6"/>
  <c r="H25" i="7"/>
  <c r="H25" i="6"/>
  <c r="H57" i="7"/>
  <c r="B57" i="7"/>
  <c r="E25" i="6"/>
  <c r="I24" i="7"/>
  <c r="L24" i="6"/>
  <c r="I24" i="6"/>
  <c r="I56" i="7"/>
  <c r="F24" i="6"/>
  <c r="H56" i="6"/>
  <c r="B56" i="6"/>
  <c r="H24" i="7"/>
  <c r="K24" i="6"/>
  <c r="H56" i="7"/>
  <c r="B56" i="7"/>
  <c r="E24" i="6"/>
  <c r="I55" i="6"/>
  <c r="C55" i="6"/>
  <c r="L23" i="6"/>
  <c r="I23" i="6"/>
  <c r="I55" i="7"/>
  <c r="C55" i="7"/>
  <c r="H55" i="6"/>
  <c r="J55" i="6" s="1"/>
  <c r="B55" i="6"/>
  <c r="H23" i="7"/>
  <c r="H23" i="6"/>
  <c r="B55" i="7"/>
  <c r="E23" i="6"/>
  <c r="I54" i="6"/>
  <c r="I22" i="7"/>
  <c r="I22" i="6"/>
  <c r="I54" i="7"/>
  <c r="F22" i="6"/>
  <c r="H54" i="6"/>
  <c r="B54" i="6"/>
  <c r="H22" i="7"/>
  <c r="H22" i="6"/>
  <c r="H54" i="7"/>
  <c r="B54" i="7"/>
  <c r="E22" i="6"/>
  <c r="I53" i="6"/>
  <c r="I21" i="7"/>
  <c r="L21" i="6"/>
  <c r="I21" i="6"/>
  <c r="I53" i="7"/>
  <c r="F21" i="6"/>
  <c r="H53" i="6"/>
  <c r="B53" i="6"/>
  <c r="K21" i="6"/>
  <c r="H21" i="6"/>
  <c r="H53" i="7"/>
  <c r="B53" i="7"/>
  <c r="C52" i="6"/>
  <c r="I20" i="7"/>
  <c r="L20" i="6"/>
  <c r="I20" i="6"/>
  <c r="C52" i="7"/>
  <c r="H52" i="6"/>
  <c r="B52" i="6"/>
  <c r="K20" i="6"/>
  <c r="H20" i="6"/>
  <c r="H52" i="7"/>
  <c r="E20" i="6"/>
  <c r="I51" i="6"/>
  <c r="C51" i="6"/>
  <c r="I19" i="7"/>
  <c r="I19" i="6"/>
  <c r="I51" i="7"/>
  <c r="C51" i="7"/>
  <c r="F19" i="6"/>
  <c r="B51" i="6"/>
  <c r="D51" i="6" s="1"/>
  <c r="H19" i="7"/>
  <c r="J19" i="7" s="1"/>
  <c r="K19" i="6"/>
  <c r="H51" i="7"/>
  <c r="B51" i="7"/>
  <c r="E19" i="6"/>
  <c r="I49" i="6"/>
  <c r="I17" i="7"/>
  <c r="L17" i="6"/>
  <c r="I17" i="6"/>
  <c r="C49" i="7"/>
  <c r="F17" i="6"/>
  <c r="H49" i="6"/>
  <c r="J49" i="6" s="1"/>
  <c r="H17" i="7"/>
  <c r="K17" i="6"/>
  <c r="H17" i="6"/>
  <c r="B49" i="7"/>
  <c r="E17" i="6"/>
  <c r="C48" i="6"/>
  <c r="L16" i="6"/>
  <c r="I16" i="6"/>
  <c r="I48" i="7"/>
  <c r="H48" i="6"/>
  <c r="B48" i="6"/>
  <c r="D48" i="6" s="1"/>
  <c r="H16" i="7"/>
  <c r="H16" i="6"/>
  <c r="H48" i="7"/>
  <c r="B48" i="7"/>
  <c r="K32" i="4"/>
  <c r="I47" i="6"/>
  <c r="C47" i="6"/>
  <c r="I15" i="7"/>
  <c r="I15" i="6"/>
  <c r="I47" i="7"/>
  <c r="C47" i="7"/>
  <c r="H47" i="6"/>
  <c r="J47" i="6" s="1"/>
  <c r="B47" i="6"/>
  <c r="D47" i="6" s="1"/>
  <c r="K15" i="6"/>
  <c r="H15" i="6"/>
  <c r="B47" i="7"/>
  <c r="K30" i="4"/>
  <c r="I46" i="6"/>
  <c r="C46" i="6"/>
  <c r="I14" i="7"/>
  <c r="L14" i="6"/>
  <c r="L20" i="4"/>
  <c r="I46" i="7"/>
  <c r="C46" i="7"/>
  <c r="L28" i="4"/>
  <c r="AK356" i="16" s="1"/>
  <c r="AN356" i="16" s="1"/>
  <c r="H46" i="6"/>
  <c r="J46" i="6" s="1"/>
  <c r="B46" i="6"/>
  <c r="D46" i="6" s="1"/>
  <c r="H14" i="7"/>
  <c r="J14" i="7" s="1"/>
  <c r="H14" i="6"/>
  <c r="H46" i="7"/>
  <c r="B46" i="7"/>
  <c r="K28" i="4"/>
  <c r="I45" i="6"/>
  <c r="C45" i="6"/>
  <c r="I13" i="7"/>
  <c r="I13" i="6"/>
  <c r="I45" i="7"/>
  <c r="C45" i="7"/>
  <c r="F13" i="6"/>
  <c r="B45" i="6"/>
  <c r="D45" i="6" s="1"/>
  <c r="H13" i="7"/>
  <c r="K13" i="6"/>
  <c r="H45" i="7"/>
  <c r="B45" i="7"/>
  <c r="E13" i="6"/>
  <c r="I44" i="6"/>
  <c r="C44" i="6"/>
  <c r="I12" i="7"/>
  <c r="I12" i="6"/>
  <c r="I44" i="7"/>
  <c r="C44" i="7"/>
  <c r="H44" i="6"/>
  <c r="J44" i="6" s="1"/>
  <c r="B44" i="6"/>
  <c r="H12" i="7"/>
  <c r="J12" i="7" s="1"/>
  <c r="H12" i="6"/>
  <c r="H44" i="7"/>
  <c r="B44" i="7"/>
  <c r="I43" i="6"/>
  <c r="C43" i="6"/>
  <c r="I11" i="7"/>
  <c r="I11" i="6"/>
  <c r="I43" i="7"/>
  <c r="C43" i="7"/>
  <c r="H43" i="6"/>
  <c r="B43" i="6"/>
  <c r="D43" i="6" s="1"/>
  <c r="H11" i="7"/>
  <c r="H11" i="6"/>
  <c r="H43" i="7"/>
  <c r="B43" i="7"/>
  <c r="E11" i="6"/>
  <c r="I42" i="6"/>
  <c r="C42" i="6"/>
  <c r="I10" i="7"/>
  <c r="L10" i="6"/>
  <c r="I42" i="7"/>
  <c r="C42" i="7"/>
  <c r="F10" i="6"/>
  <c r="B42" i="6"/>
  <c r="D42" i="6" s="1"/>
  <c r="K10" i="6"/>
  <c r="H10" i="6"/>
  <c r="B42" i="7"/>
  <c r="E10" i="6"/>
  <c r="C41" i="6"/>
  <c r="I9" i="7"/>
  <c r="L9" i="6"/>
  <c r="I41" i="7"/>
  <c r="C41" i="7"/>
  <c r="F9" i="6"/>
  <c r="B41" i="6"/>
  <c r="D41" i="6" s="1"/>
  <c r="H9" i="7"/>
  <c r="K9" i="6"/>
  <c r="H41" i="7"/>
  <c r="B41" i="7"/>
  <c r="C40" i="6"/>
  <c r="I8" i="7"/>
  <c r="L8" i="6"/>
  <c r="I40" i="7"/>
  <c r="C40" i="7"/>
  <c r="B40" i="6"/>
  <c r="H8" i="7"/>
  <c r="K8" i="6"/>
  <c r="H40" i="7"/>
  <c r="B40" i="7"/>
  <c r="I39" i="6"/>
  <c r="I7" i="7"/>
  <c r="L7" i="6"/>
  <c r="I7" i="6"/>
  <c r="C39" i="7"/>
  <c r="F7" i="6"/>
  <c r="B39" i="6"/>
  <c r="H7" i="7"/>
  <c r="K7" i="6"/>
  <c r="H39" i="7"/>
  <c r="B39" i="7"/>
  <c r="I38" i="6"/>
  <c r="I6" i="7"/>
  <c r="L6" i="6"/>
  <c r="I6" i="6"/>
  <c r="C38" i="7"/>
  <c r="B38" i="6"/>
  <c r="H6" i="7"/>
  <c r="K6" i="6"/>
  <c r="H38" i="7"/>
  <c r="B38" i="7"/>
  <c r="E6" i="6"/>
  <c r="I50" i="7"/>
  <c r="K18" i="6"/>
  <c r="C61" i="6"/>
  <c r="C61" i="7"/>
  <c r="H29" i="7"/>
  <c r="I62" i="7"/>
  <c r="K30" i="6"/>
  <c r="C60" i="6"/>
  <c r="C60" i="7"/>
  <c r="H28" i="6"/>
  <c r="I27" i="7"/>
  <c r="F27" i="6"/>
  <c r="K27" i="6"/>
  <c r="C58" i="6"/>
  <c r="C58" i="7"/>
  <c r="H26" i="6"/>
  <c r="I25" i="7"/>
  <c r="F25" i="6"/>
  <c r="K25" i="6"/>
  <c r="C56" i="6"/>
  <c r="C56" i="7"/>
  <c r="H24" i="6"/>
  <c r="I23" i="7"/>
  <c r="F23" i="6"/>
  <c r="K23" i="6"/>
  <c r="M23" i="6" s="1"/>
  <c r="C54" i="6"/>
  <c r="C54" i="7"/>
  <c r="K22" i="6"/>
  <c r="C53" i="6"/>
  <c r="C53" i="7"/>
  <c r="H21" i="7"/>
  <c r="E21" i="6"/>
  <c r="I52" i="7"/>
  <c r="H20" i="7"/>
  <c r="B52" i="7"/>
  <c r="L19" i="6"/>
  <c r="H51" i="6"/>
  <c r="J51" i="6" s="1"/>
  <c r="H19" i="6"/>
  <c r="C49" i="6"/>
  <c r="I49" i="7"/>
  <c r="B49" i="6"/>
  <c r="H49" i="7"/>
  <c r="I16" i="7"/>
  <c r="C48" i="7"/>
  <c r="K16" i="6"/>
  <c r="E16" i="6"/>
  <c r="L15" i="6"/>
  <c r="F15" i="6"/>
  <c r="H15" i="7"/>
  <c r="E15" i="6"/>
  <c r="I14" i="6"/>
  <c r="K14" i="6"/>
  <c r="E14" i="6"/>
  <c r="L13" i="6"/>
  <c r="H45" i="6"/>
  <c r="H13" i="6"/>
  <c r="L12" i="6"/>
  <c r="F12" i="6"/>
  <c r="K12" i="6"/>
  <c r="E12" i="6"/>
  <c r="L11" i="6"/>
  <c r="F11" i="6"/>
  <c r="K11" i="6"/>
  <c r="I10" i="6"/>
  <c r="H42" i="6"/>
  <c r="H42" i="7"/>
  <c r="I41" i="6"/>
  <c r="I9" i="6"/>
  <c r="H41" i="6"/>
  <c r="H9" i="6"/>
  <c r="I40" i="6"/>
  <c r="I8" i="6"/>
  <c r="H40" i="6"/>
  <c r="J40" i="6" s="1"/>
  <c r="H8" i="6"/>
  <c r="C39" i="6"/>
  <c r="I39" i="7"/>
  <c r="H39" i="6"/>
  <c r="J39" i="6" s="1"/>
  <c r="H7" i="6"/>
  <c r="C38" i="6"/>
  <c r="I38" i="7"/>
  <c r="H38" i="6"/>
  <c r="H6" i="6"/>
  <c r="B36" i="4"/>
  <c r="C36" i="4"/>
  <c r="B35" i="4"/>
  <c r="C35" i="4"/>
  <c r="B43" i="4"/>
  <c r="B27" i="4"/>
  <c r="C27" i="4"/>
  <c r="A27" i="23"/>
  <c r="A28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I4" i="23"/>
  <c r="Q4" i="23"/>
  <c r="A2" i="23"/>
  <c r="O12" i="4"/>
  <c r="O11" i="4"/>
  <c r="O10" i="4" s="1"/>
  <c r="AC264" i="16" s="1"/>
  <c r="I12" i="4"/>
  <c r="I11" i="4"/>
  <c r="C12" i="4"/>
  <c r="C11" i="4"/>
  <c r="E5" i="5"/>
  <c r="F5" i="5"/>
  <c r="H5" i="5"/>
  <c r="I5" i="5"/>
  <c r="K5" i="5"/>
  <c r="L5" i="5"/>
  <c r="N5" i="5"/>
  <c r="O5" i="5"/>
  <c r="D7" i="5"/>
  <c r="G7" i="5"/>
  <c r="J7" i="5"/>
  <c r="M7" i="5"/>
  <c r="P7" i="5"/>
  <c r="D8" i="5"/>
  <c r="G8" i="5"/>
  <c r="J8" i="5"/>
  <c r="M8" i="5"/>
  <c r="P8" i="5"/>
  <c r="D9" i="5"/>
  <c r="G9" i="5"/>
  <c r="J9" i="5"/>
  <c r="M9" i="5"/>
  <c r="P9" i="5"/>
  <c r="D10" i="5"/>
  <c r="G10" i="5"/>
  <c r="J10" i="5"/>
  <c r="M10" i="5"/>
  <c r="P10" i="5"/>
  <c r="D11" i="5"/>
  <c r="G11" i="5"/>
  <c r="J11" i="5"/>
  <c r="M11" i="5"/>
  <c r="P11" i="5"/>
  <c r="D12" i="5"/>
  <c r="G12" i="5"/>
  <c r="J12" i="5"/>
  <c r="M12" i="5"/>
  <c r="P12" i="5"/>
  <c r="D13" i="5"/>
  <c r="G13" i="5"/>
  <c r="J13" i="5"/>
  <c r="M13" i="5"/>
  <c r="P13" i="5"/>
  <c r="D14" i="5"/>
  <c r="G14" i="5"/>
  <c r="J14" i="5"/>
  <c r="M14" i="5"/>
  <c r="P14" i="5"/>
  <c r="D15" i="5"/>
  <c r="G15" i="5"/>
  <c r="J15" i="5"/>
  <c r="M15" i="5"/>
  <c r="P15" i="5"/>
  <c r="D16" i="5"/>
  <c r="G16" i="5"/>
  <c r="J16" i="5"/>
  <c r="M16" i="5"/>
  <c r="P16" i="5"/>
  <c r="D17" i="5"/>
  <c r="G17" i="5"/>
  <c r="J17" i="5"/>
  <c r="M17" i="5"/>
  <c r="P17" i="5"/>
  <c r="D18" i="5"/>
  <c r="G18" i="5"/>
  <c r="J18" i="5"/>
  <c r="M18" i="5"/>
  <c r="P18" i="5"/>
  <c r="D19" i="5"/>
  <c r="G19" i="5"/>
  <c r="J19" i="5"/>
  <c r="M19" i="5"/>
  <c r="P19" i="5"/>
  <c r="D20" i="5"/>
  <c r="G20" i="5"/>
  <c r="J20" i="5"/>
  <c r="M20" i="5"/>
  <c r="P20" i="5"/>
  <c r="D21" i="5"/>
  <c r="G21" i="5"/>
  <c r="J21" i="5"/>
  <c r="M21" i="5"/>
  <c r="P21" i="5"/>
  <c r="D22" i="5"/>
  <c r="G22" i="5"/>
  <c r="J22" i="5"/>
  <c r="M22" i="5"/>
  <c r="P22" i="5"/>
  <c r="D23" i="5"/>
  <c r="G23" i="5"/>
  <c r="J23" i="5"/>
  <c r="M23" i="5"/>
  <c r="P23" i="5"/>
  <c r="D24" i="5"/>
  <c r="G24" i="5"/>
  <c r="J24" i="5"/>
  <c r="M24" i="5"/>
  <c r="P24" i="5"/>
  <c r="D25" i="5"/>
  <c r="G25" i="5"/>
  <c r="J25" i="5"/>
  <c r="M25" i="5"/>
  <c r="P25" i="5"/>
  <c r="D26" i="5"/>
  <c r="G26" i="5"/>
  <c r="J26" i="5"/>
  <c r="M26" i="5"/>
  <c r="P26" i="5"/>
  <c r="D27" i="5"/>
  <c r="G27" i="5"/>
  <c r="J27" i="5"/>
  <c r="M27" i="5"/>
  <c r="P27" i="5"/>
  <c r="D28" i="5"/>
  <c r="G28" i="5"/>
  <c r="J28" i="5"/>
  <c r="M28" i="5"/>
  <c r="P28" i="5"/>
  <c r="D29" i="5"/>
  <c r="G29" i="5"/>
  <c r="J29" i="5"/>
  <c r="M29" i="5"/>
  <c r="P29" i="5"/>
  <c r="D30" i="5"/>
  <c r="G30" i="5"/>
  <c r="J30" i="5"/>
  <c r="M30" i="5"/>
  <c r="P30" i="5"/>
  <c r="D31" i="5"/>
  <c r="G31" i="5"/>
  <c r="J31" i="5"/>
  <c r="M31" i="5"/>
  <c r="P31" i="5"/>
  <c r="D32" i="5"/>
  <c r="G32" i="5"/>
  <c r="J32" i="5"/>
  <c r="M32" i="5"/>
  <c r="P32" i="5"/>
  <c r="D33" i="5"/>
  <c r="G33" i="5"/>
  <c r="J33" i="5"/>
  <c r="M33" i="5"/>
  <c r="P33" i="5"/>
  <c r="D34" i="5"/>
  <c r="G34" i="5"/>
  <c r="J34" i="5"/>
  <c r="M34" i="5"/>
  <c r="P34" i="5"/>
  <c r="D35" i="5"/>
  <c r="G35" i="5"/>
  <c r="J35" i="5"/>
  <c r="M35" i="5"/>
  <c r="P35" i="5"/>
  <c r="D36" i="5"/>
  <c r="G36" i="5"/>
  <c r="J36" i="5"/>
  <c r="M36" i="5"/>
  <c r="P36" i="5"/>
  <c r="D37" i="5"/>
  <c r="G37" i="5"/>
  <c r="J37" i="5"/>
  <c r="M37" i="5"/>
  <c r="P37" i="5"/>
  <c r="D38" i="5"/>
  <c r="G38" i="5"/>
  <c r="J38" i="5"/>
  <c r="M38" i="5"/>
  <c r="P38" i="5"/>
  <c r="D39" i="5"/>
  <c r="G39" i="5"/>
  <c r="J39" i="5"/>
  <c r="M39" i="5"/>
  <c r="P39" i="5"/>
  <c r="D40" i="5"/>
  <c r="G40" i="5"/>
  <c r="J40" i="5"/>
  <c r="M40" i="5"/>
  <c r="P40" i="5"/>
  <c r="D41" i="5"/>
  <c r="G41" i="5"/>
  <c r="J41" i="5"/>
  <c r="M41" i="5"/>
  <c r="P41" i="5"/>
  <c r="D42" i="5"/>
  <c r="G42" i="5"/>
  <c r="J42" i="5"/>
  <c r="M42" i="5"/>
  <c r="P42" i="5"/>
  <c r="D43" i="5"/>
  <c r="G43" i="5"/>
  <c r="J43" i="5"/>
  <c r="M43" i="5"/>
  <c r="P43" i="5"/>
  <c r="D44" i="5"/>
  <c r="G44" i="5"/>
  <c r="J44" i="5"/>
  <c r="M44" i="5"/>
  <c r="P44" i="5"/>
  <c r="D45" i="5"/>
  <c r="G45" i="5"/>
  <c r="J45" i="5"/>
  <c r="M45" i="5"/>
  <c r="P45" i="5"/>
  <c r="D46" i="5"/>
  <c r="G46" i="5"/>
  <c r="J46" i="5"/>
  <c r="M46" i="5"/>
  <c r="P46" i="5"/>
  <c r="D47" i="5"/>
  <c r="G47" i="5"/>
  <c r="J47" i="5"/>
  <c r="M47" i="5"/>
  <c r="P47" i="5"/>
  <c r="D48" i="5"/>
  <c r="G48" i="5"/>
  <c r="J48" i="5"/>
  <c r="M48" i="5"/>
  <c r="P48" i="5"/>
  <c r="D49" i="5"/>
  <c r="G49" i="5"/>
  <c r="J49" i="5"/>
  <c r="M49" i="5"/>
  <c r="P49" i="5"/>
  <c r="D50" i="5"/>
  <c r="G50" i="5"/>
  <c r="J50" i="5"/>
  <c r="M50" i="5"/>
  <c r="P50" i="5"/>
  <c r="D51" i="5"/>
  <c r="G51" i="5"/>
  <c r="J51" i="5"/>
  <c r="M51" i="5"/>
  <c r="P51" i="5"/>
  <c r="D52" i="5"/>
  <c r="G52" i="5"/>
  <c r="J52" i="5"/>
  <c r="M52" i="5"/>
  <c r="P52" i="5"/>
  <c r="D53" i="5"/>
  <c r="G53" i="5"/>
  <c r="J53" i="5"/>
  <c r="M53" i="5"/>
  <c r="P53" i="5"/>
  <c r="D54" i="5"/>
  <c r="G54" i="5"/>
  <c r="J54" i="5"/>
  <c r="M54" i="5"/>
  <c r="P54" i="5"/>
  <c r="D55" i="5"/>
  <c r="G55" i="5"/>
  <c r="J55" i="5"/>
  <c r="M55" i="5"/>
  <c r="P55" i="5"/>
  <c r="D56" i="5"/>
  <c r="G56" i="5"/>
  <c r="J56" i="5"/>
  <c r="M56" i="5"/>
  <c r="P56" i="5"/>
  <c r="D57" i="5"/>
  <c r="G57" i="5"/>
  <c r="J57" i="5"/>
  <c r="M57" i="5"/>
  <c r="P57" i="5"/>
  <c r="D58" i="5"/>
  <c r="G58" i="5"/>
  <c r="J58" i="5"/>
  <c r="M58" i="5"/>
  <c r="P58" i="5"/>
  <c r="D59" i="5"/>
  <c r="G59" i="5"/>
  <c r="J59" i="5"/>
  <c r="M59" i="5"/>
  <c r="P59" i="5"/>
  <c r="D60" i="5"/>
  <c r="G60" i="5"/>
  <c r="J60" i="5"/>
  <c r="M60" i="5"/>
  <c r="P60" i="5"/>
  <c r="D61" i="5"/>
  <c r="G61" i="5"/>
  <c r="J61" i="5"/>
  <c r="M61" i="5"/>
  <c r="P61" i="5"/>
  <c r="D62" i="5"/>
  <c r="G62" i="5"/>
  <c r="J62" i="5"/>
  <c r="M62" i="5"/>
  <c r="P62" i="5"/>
  <c r="D63" i="5"/>
  <c r="G63" i="5"/>
  <c r="J63" i="5"/>
  <c r="M63" i="5"/>
  <c r="P63" i="5"/>
  <c r="D64" i="5"/>
  <c r="G64" i="5"/>
  <c r="J64" i="5"/>
  <c r="M64" i="5"/>
  <c r="P64" i="5"/>
  <c r="D65" i="5"/>
  <c r="G65" i="5"/>
  <c r="J65" i="5"/>
  <c r="M65" i="5"/>
  <c r="P65" i="5"/>
  <c r="D66" i="5"/>
  <c r="G66" i="5"/>
  <c r="J66" i="5"/>
  <c r="M66" i="5"/>
  <c r="P66" i="5"/>
  <c r="D67" i="5"/>
  <c r="G67" i="5"/>
  <c r="J67" i="5"/>
  <c r="M67" i="5"/>
  <c r="P67" i="5"/>
  <c r="D68" i="5"/>
  <c r="G68" i="5"/>
  <c r="J68" i="5"/>
  <c r="M68" i="5"/>
  <c r="P68" i="5"/>
  <c r="D69" i="5"/>
  <c r="G69" i="5"/>
  <c r="J69" i="5"/>
  <c r="M69" i="5"/>
  <c r="P69" i="5"/>
  <c r="D70" i="5"/>
  <c r="G70" i="5"/>
  <c r="J70" i="5"/>
  <c r="M70" i="5"/>
  <c r="P70" i="5"/>
  <c r="D71" i="5"/>
  <c r="G71" i="5"/>
  <c r="J71" i="5"/>
  <c r="M71" i="5"/>
  <c r="P71" i="5"/>
  <c r="F32" i="20"/>
  <c r="AG295" i="16"/>
  <c r="AG304" i="16" s="1"/>
  <c r="AH295" i="16"/>
  <c r="AI296" i="16"/>
  <c r="AI297" i="16"/>
  <c r="AI298" i="16"/>
  <c r="AI299" i="16"/>
  <c r="AI300" i="16"/>
  <c r="AI301" i="16"/>
  <c r="AI302" i="16"/>
  <c r="AI303" i="16"/>
  <c r="I17" i="10"/>
  <c r="I18" i="10"/>
  <c r="F2" i="12"/>
  <c r="G2" i="12"/>
  <c r="J2" i="12"/>
  <c r="G3" i="12"/>
  <c r="H3" i="12" s="1"/>
  <c r="J3" i="12"/>
  <c r="G4" i="12"/>
  <c r="H4" i="12"/>
  <c r="J4" i="12"/>
  <c r="G5" i="12"/>
  <c r="H5" i="12" s="1"/>
  <c r="J5" i="12"/>
  <c r="G6" i="12"/>
  <c r="H6" i="12" s="1"/>
  <c r="J6" i="12"/>
  <c r="G7" i="12"/>
  <c r="H7" i="12" s="1"/>
  <c r="J7" i="12"/>
  <c r="F8" i="12"/>
  <c r="G8" i="12"/>
  <c r="H8" i="12" s="1"/>
  <c r="J8" i="12"/>
  <c r="G9" i="12"/>
  <c r="H9" i="12" s="1"/>
  <c r="J9" i="12"/>
  <c r="G10" i="12"/>
  <c r="H10" i="12"/>
  <c r="J10" i="12"/>
  <c r="G11" i="12"/>
  <c r="H11" i="12" s="1"/>
  <c r="J11" i="12"/>
  <c r="G12" i="12"/>
  <c r="H12" i="12" s="1"/>
  <c r="J12" i="12"/>
  <c r="G13" i="12"/>
  <c r="H13" i="12" s="1"/>
  <c r="J13" i="12"/>
  <c r="G14" i="12"/>
  <c r="H14" i="12"/>
  <c r="J14" i="12"/>
  <c r="G16" i="12"/>
  <c r="H16" i="12" s="1"/>
  <c r="J16" i="12"/>
  <c r="G17" i="12"/>
  <c r="H17" i="12" s="1"/>
  <c r="J17" i="12"/>
  <c r="G18" i="12"/>
  <c r="H18" i="12" s="1"/>
  <c r="J18" i="12"/>
  <c r="G19" i="12"/>
  <c r="H19" i="12"/>
  <c r="J19" i="12"/>
  <c r="G20" i="12"/>
  <c r="H20" i="12" s="1"/>
  <c r="J20" i="12"/>
  <c r="F21" i="12"/>
  <c r="G21" i="12"/>
  <c r="J21" i="12"/>
  <c r="G22" i="12"/>
  <c r="H22" i="12" s="1"/>
  <c r="J22" i="12"/>
  <c r="G23" i="12"/>
  <c r="H23" i="12"/>
  <c r="J23" i="12"/>
  <c r="G24" i="12"/>
  <c r="H24" i="12" s="1"/>
  <c r="J24" i="12"/>
  <c r="G25" i="12"/>
  <c r="H25" i="12" s="1"/>
  <c r="J25" i="12"/>
  <c r="G26" i="12"/>
  <c r="H26" i="12" s="1"/>
  <c r="J26" i="12"/>
  <c r="G27" i="12"/>
  <c r="H27" i="12"/>
  <c r="J27" i="12"/>
  <c r="G28" i="12"/>
  <c r="H28" i="12" s="1"/>
  <c r="J28" i="12"/>
  <c r="G29" i="12"/>
  <c r="H29" i="12" s="1"/>
  <c r="J29" i="12"/>
  <c r="F30" i="12"/>
  <c r="G30" i="12"/>
  <c r="H30" i="12" s="1"/>
  <c r="J30" i="12"/>
  <c r="F31" i="12"/>
  <c r="G31" i="12"/>
  <c r="J31" i="12"/>
  <c r="F32" i="12"/>
  <c r="G32" i="12"/>
  <c r="H32" i="12" s="1"/>
  <c r="J32" i="12"/>
  <c r="F33" i="12"/>
  <c r="G33" i="12"/>
  <c r="J33" i="12"/>
  <c r="E3" i="8"/>
  <c r="F3" i="8"/>
  <c r="M3" i="8"/>
  <c r="N3" i="8"/>
  <c r="E4" i="8"/>
  <c r="F4" i="8"/>
  <c r="M4" i="8"/>
  <c r="N4" i="8"/>
  <c r="D7" i="8"/>
  <c r="D8" i="8"/>
  <c r="L8" i="8"/>
  <c r="M8" i="8"/>
  <c r="N8" i="8"/>
  <c r="D9" i="8"/>
  <c r="L9" i="8"/>
  <c r="M9" i="8"/>
  <c r="N9" i="8"/>
  <c r="D10" i="8"/>
  <c r="D11" i="8"/>
  <c r="L11" i="8"/>
  <c r="M11" i="8"/>
  <c r="N11" i="8"/>
  <c r="D12" i="8"/>
  <c r="D13" i="8"/>
  <c r="L13" i="8"/>
  <c r="M13" i="8"/>
  <c r="N13" i="8"/>
  <c r="D14" i="8"/>
  <c r="L14" i="8"/>
  <c r="M14" i="8"/>
  <c r="N14" i="8"/>
  <c r="D15" i="8"/>
  <c r="L16" i="8"/>
  <c r="M16" i="8"/>
  <c r="N16" i="8"/>
  <c r="E17" i="8"/>
  <c r="F17" i="8"/>
  <c r="L17" i="8"/>
  <c r="M17" i="8"/>
  <c r="N17" i="8"/>
  <c r="E18" i="8"/>
  <c r="F18" i="8"/>
  <c r="L19" i="8"/>
  <c r="M19" i="8"/>
  <c r="N19" i="8"/>
  <c r="L20" i="8"/>
  <c r="M20" i="8"/>
  <c r="N20" i="8"/>
  <c r="O20" i="8" s="1"/>
  <c r="D21" i="8"/>
  <c r="L21" i="8"/>
  <c r="M21" i="8"/>
  <c r="N21" i="8"/>
  <c r="O21" i="8" s="1"/>
  <c r="D22" i="8"/>
  <c r="L22" i="8"/>
  <c r="M22" i="8"/>
  <c r="N22" i="8"/>
  <c r="O22" i="8" s="1"/>
  <c r="D23" i="8"/>
  <c r="L23" i="8"/>
  <c r="M23" i="8"/>
  <c r="N23" i="8"/>
  <c r="O23" i="8" s="1"/>
  <c r="D24" i="8"/>
  <c r="D25" i="8"/>
  <c r="D26" i="8"/>
  <c r="D27" i="8"/>
  <c r="M27" i="8"/>
  <c r="N27" i="8"/>
  <c r="M28" i="8"/>
  <c r="N28" i="8"/>
  <c r="E29" i="8"/>
  <c r="F29" i="8"/>
  <c r="L29" i="8"/>
  <c r="M29" i="8"/>
  <c r="N29" i="8"/>
  <c r="E30" i="8"/>
  <c r="F30" i="8"/>
  <c r="L30" i="8"/>
  <c r="M30" i="8"/>
  <c r="N30" i="8"/>
  <c r="L31" i="8"/>
  <c r="M31" i="8"/>
  <c r="N31" i="8"/>
  <c r="L32" i="8"/>
  <c r="M32" i="8"/>
  <c r="N32" i="8"/>
  <c r="D33" i="8"/>
  <c r="L33" i="8"/>
  <c r="M33" i="8"/>
  <c r="N33" i="8"/>
  <c r="D34" i="8"/>
  <c r="L34" i="8"/>
  <c r="M34" i="8"/>
  <c r="N34" i="8"/>
  <c r="O34" i="8" s="1"/>
  <c r="D35" i="8"/>
  <c r="L35" i="8"/>
  <c r="M35" i="8"/>
  <c r="N35" i="8"/>
  <c r="D36" i="8"/>
  <c r="L36" i="8"/>
  <c r="M36" i="8"/>
  <c r="N36" i="8"/>
  <c r="D37" i="8"/>
  <c r="L37" i="8"/>
  <c r="M37" i="8"/>
  <c r="N37" i="8"/>
  <c r="L38" i="8"/>
  <c r="M38" i="8"/>
  <c r="N38" i="8"/>
  <c r="O38" i="8" s="1"/>
  <c r="L39" i="8"/>
  <c r="M39" i="8"/>
  <c r="N39" i="8"/>
  <c r="A2" i="9"/>
  <c r="C4" i="9"/>
  <c r="F4" i="9" s="1"/>
  <c r="B4" i="9"/>
  <c r="H4" i="9" s="1"/>
  <c r="A5" i="9"/>
  <c r="A7" i="9"/>
  <c r="A8" i="9"/>
  <c r="A9" i="9"/>
  <c r="A10" i="9"/>
  <c r="A11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7" i="9"/>
  <c r="A28" i="9"/>
  <c r="A29" i="9"/>
  <c r="A31" i="9"/>
  <c r="B4" i="11"/>
  <c r="E4" i="11" s="1"/>
  <c r="C4" i="11"/>
  <c r="I4" i="11" s="1"/>
  <c r="A5" i="11"/>
  <c r="A7" i="11"/>
  <c r="A8" i="11"/>
  <c r="A9" i="11"/>
  <c r="A10" i="11"/>
  <c r="A11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7" i="11"/>
  <c r="A28" i="11"/>
  <c r="A29" i="11"/>
  <c r="A30" i="11"/>
  <c r="A31" i="11"/>
  <c r="A32" i="11"/>
  <c r="A33" i="11"/>
  <c r="A2" i="7"/>
  <c r="F5" i="7"/>
  <c r="E5" i="7"/>
  <c r="I5" i="7"/>
  <c r="H5" i="7"/>
  <c r="L5" i="7"/>
  <c r="K5" i="7"/>
  <c r="C6" i="7"/>
  <c r="B6" i="7"/>
  <c r="D6" i="7" s="1"/>
  <c r="F6" i="7"/>
  <c r="E6" i="7"/>
  <c r="G6" i="7" s="1"/>
  <c r="L6" i="7"/>
  <c r="K6" i="7"/>
  <c r="C7" i="7"/>
  <c r="B7" i="7"/>
  <c r="F7" i="7"/>
  <c r="E7" i="7"/>
  <c r="G7" i="7" s="1"/>
  <c r="L7" i="7"/>
  <c r="K7" i="7"/>
  <c r="C8" i="7"/>
  <c r="B8" i="7"/>
  <c r="D8" i="7" s="1"/>
  <c r="F8" i="7"/>
  <c r="E8" i="7"/>
  <c r="G8" i="7" s="1"/>
  <c r="L8" i="7"/>
  <c r="K8" i="7"/>
  <c r="C9" i="7"/>
  <c r="B9" i="7"/>
  <c r="F9" i="7"/>
  <c r="E9" i="7"/>
  <c r="G9" i="7" s="1"/>
  <c r="L9" i="7"/>
  <c r="K9" i="7"/>
  <c r="C10" i="7"/>
  <c r="B10" i="7"/>
  <c r="D10" i="7" s="1"/>
  <c r="F10" i="7"/>
  <c r="E10" i="7"/>
  <c r="G10" i="7" s="1"/>
  <c r="H10" i="7"/>
  <c r="L10" i="7"/>
  <c r="K10" i="7"/>
  <c r="C11" i="7"/>
  <c r="B11" i="7"/>
  <c r="F11" i="7"/>
  <c r="E11" i="7"/>
  <c r="G11" i="7" s="1"/>
  <c r="L11" i="7"/>
  <c r="K11" i="7"/>
  <c r="C12" i="7"/>
  <c r="B12" i="7"/>
  <c r="D12" i="7" s="1"/>
  <c r="F12" i="7"/>
  <c r="E12" i="7"/>
  <c r="G12" i="7" s="1"/>
  <c r="L12" i="7"/>
  <c r="K12" i="7"/>
  <c r="C13" i="7"/>
  <c r="B13" i="7"/>
  <c r="D13" i="7" s="1"/>
  <c r="F13" i="7"/>
  <c r="E13" i="7"/>
  <c r="G13" i="7" s="1"/>
  <c r="L13" i="7"/>
  <c r="K13" i="7"/>
  <c r="C14" i="7"/>
  <c r="B14" i="7"/>
  <c r="D14" i="7" s="1"/>
  <c r="F14" i="7"/>
  <c r="E14" i="7"/>
  <c r="G14" i="7" s="1"/>
  <c r="L14" i="7"/>
  <c r="K14" i="7"/>
  <c r="C15" i="7"/>
  <c r="B15" i="7"/>
  <c r="D15" i="7" s="1"/>
  <c r="F15" i="7"/>
  <c r="E15" i="7"/>
  <c r="G15" i="7" s="1"/>
  <c r="L15" i="7"/>
  <c r="K15" i="7"/>
  <c r="C16" i="7"/>
  <c r="B16" i="7"/>
  <c r="D16" i="7" s="1"/>
  <c r="F16" i="7"/>
  <c r="E16" i="7"/>
  <c r="G16" i="7" s="1"/>
  <c r="L16" i="7"/>
  <c r="K16" i="7"/>
  <c r="C17" i="7"/>
  <c r="B17" i="7"/>
  <c r="F17" i="7"/>
  <c r="E17" i="7"/>
  <c r="G17" i="7" s="1"/>
  <c r="L17" i="7"/>
  <c r="K17" i="7"/>
  <c r="C18" i="7"/>
  <c r="B18" i="7"/>
  <c r="F18" i="7"/>
  <c r="E18" i="7"/>
  <c r="L18" i="7"/>
  <c r="K18" i="7"/>
  <c r="C19" i="7"/>
  <c r="B19" i="7"/>
  <c r="D19" i="7" s="1"/>
  <c r="F19" i="7"/>
  <c r="E19" i="7"/>
  <c r="G19" i="7" s="1"/>
  <c r="L19" i="7"/>
  <c r="K19" i="7"/>
  <c r="C20" i="7"/>
  <c r="B20" i="7"/>
  <c r="F20" i="7"/>
  <c r="E20" i="7"/>
  <c r="L20" i="7"/>
  <c r="K20" i="7"/>
  <c r="C21" i="7"/>
  <c r="B21" i="7"/>
  <c r="F21" i="7"/>
  <c r="E21" i="7"/>
  <c r="L21" i="7"/>
  <c r="K21" i="7"/>
  <c r="C22" i="7"/>
  <c r="B22" i="7"/>
  <c r="F22" i="7"/>
  <c r="E22" i="7"/>
  <c r="L22" i="7"/>
  <c r="K22" i="7"/>
  <c r="C23" i="7"/>
  <c r="B23" i="7"/>
  <c r="F23" i="7"/>
  <c r="E23" i="7"/>
  <c r="G23" i="7" s="1"/>
  <c r="L23" i="7"/>
  <c r="K23" i="7"/>
  <c r="C24" i="7"/>
  <c r="B24" i="7"/>
  <c r="F24" i="7"/>
  <c r="E24" i="7"/>
  <c r="G24" i="7" s="1"/>
  <c r="L24" i="7"/>
  <c r="K24" i="7"/>
  <c r="C25" i="7"/>
  <c r="B25" i="7"/>
  <c r="D25" i="7" s="1"/>
  <c r="F25" i="7"/>
  <c r="E25" i="7"/>
  <c r="G25" i="7" s="1"/>
  <c r="L25" i="7"/>
  <c r="K25" i="7"/>
  <c r="C26" i="7"/>
  <c r="B26" i="7"/>
  <c r="D26" i="7" s="1"/>
  <c r="F26" i="7"/>
  <c r="E26" i="7"/>
  <c r="G26" i="7" s="1"/>
  <c r="L26" i="7"/>
  <c r="K26" i="7"/>
  <c r="C27" i="7"/>
  <c r="B27" i="7"/>
  <c r="F27" i="7"/>
  <c r="E27" i="7"/>
  <c r="G27" i="7" s="1"/>
  <c r="L27" i="7"/>
  <c r="K27" i="7"/>
  <c r="C28" i="7"/>
  <c r="B28" i="7"/>
  <c r="D28" i="7" s="1"/>
  <c r="F28" i="7"/>
  <c r="E28" i="7"/>
  <c r="G28" i="7" s="1"/>
  <c r="H28" i="7"/>
  <c r="J28" i="7" s="1"/>
  <c r="L28" i="7"/>
  <c r="K28" i="7"/>
  <c r="C29" i="7"/>
  <c r="B29" i="7"/>
  <c r="D29" i="7" s="1"/>
  <c r="F29" i="7"/>
  <c r="E29" i="7"/>
  <c r="G29" i="7" s="1"/>
  <c r="L29" i="7"/>
  <c r="K29" i="7"/>
  <c r="C30" i="7"/>
  <c r="B30" i="7"/>
  <c r="D30" i="7" s="1"/>
  <c r="F30" i="7"/>
  <c r="E30" i="7"/>
  <c r="G30" i="7" s="1"/>
  <c r="L30" i="7"/>
  <c r="K30" i="7"/>
  <c r="D32" i="7"/>
  <c r="G32" i="7"/>
  <c r="J32" i="7"/>
  <c r="M32" i="7"/>
  <c r="D33" i="7"/>
  <c r="G33" i="7"/>
  <c r="J33" i="7"/>
  <c r="M33" i="7"/>
  <c r="C37" i="7"/>
  <c r="F37" i="7" s="1"/>
  <c r="B37" i="7"/>
  <c r="E37" i="7" s="1"/>
  <c r="F38" i="7"/>
  <c r="E38" i="7"/>
  <c r="L38" i="7"/>
  <c r="K38" i="7"/>
  <c r="M38" i="7" s="1"/>
  <c r="F39" i="7"/>
  <c r="E39" i="7"/>
  <c r="L39" i="7"/>
  <c r="K39" i="7"/>
  <c r="F40" i="7"/>
  <c r="E40" i="7"/>
  <c r="L40" i="7"/>
  <c r="K40" i="7"/>
  <c r="F41" i="7"/>
  <c r="E41" i="7"/>
  <c r="L41" i="7"/>
  <c r="K41" i="7"/>
  <c r="F42" i="7"/>
  <c r="E42" i="7"/>
  <c r="L42" i="7"/>
  <c r="K42" i="7"/>
  <c r="M42" i="7" s="1"/>
  <c r="F43" i="7"/>
  <c r="E43" i="7"/>
  <c r="L43" i="7"/>
  <c r="K43" i="7"/>
  <c r="F44" i="7"/>
  <c r="E44" i="7"/>
  <c r="L44" i="7"/>
  <c r="K44" i="7"/>
  <c r="F45" i="7"/>
  <c r="E45" i="7"/>
  <c r="L45" i="7"/>
  <c r="K45" i="7"/>
  <c r="F46" i="7"/>
  <c r="E46" i="7"/>
  <c r="L46" i="7"/>
  <c r="K46" i="7"/>
  <c r="F47" i="7"/>
  <c r="E47" i="7"/>
  <c r="H47" i="7"/>
  <c r="L47" i="7"/>
  <c r="K47" i="7"/>
  <c r="F48" i="7"/>
  <c r="E48" i="7"/>
  <c r="L48" i="7"/>
  <c r="K48" i="7"/>
  <c r="F49" i="7"/>
  <c r="E49" i="7"/>
  <c r="L49" i="7"/>
  <c r="K49" i="7"/>
  <c r="F50" i="7"/>
  <c r="E50" i="7"/>
  <c r="L50" i="7"/>
  <c r="K50" i="7"/>
  <c r="F51" i="7"/>
  <c r="E51" i="7"/>
  <c r="L51" i="7"/>
  <c r="K51" i="7"/>
  <c r="F52" i="7"/>
  <c r="E52" i="7"/>
  <c r="L52" i="7"/>
  <c r="K52" i="7"/>
  <c r="F53" i="7"/>
  <c r="E53" i="7"/>
  <c r="L53" i="7"/>
  <c r="K53" i="7"/>
  <c r="F54" i="7"/>
  <c r="E54" i="7"/>
  <c r="L54" i="7"/>
  <c r="K54" i="7"/>
  <c r="F55" i="7"/>
  <c r="E55" i="7"/>
  <c r="H55" i="7"/>
  <c r="L55" i="7"/>
  <c r="K55" i="7"/>
  <c r="F56" i="7"/>
  <c r="E56" i="7"/>
  <c r="L56" i="7"/>
  <c r="K56" i="7"/>
  <c r="F57" i="7"/>
  <c r="E57" i="7"/>
  <c r="L57" i="7"/>
  <c r="K57" i="7"/>
  <c r="F58" i="7"/>
  <c r="E58" i="7"/>
  <c r="L58" i="7"/>
  <c r="K58" i="7"/>
  <c r="F59" i="7"/>
  <c r="E59" i="7"/>
  <c r="H59" i="7"/>
  <c r="J59" i="7" s="1"/>
  <c r="L59" i="7"/>
  <c r="K59" i="7"/>
  <c r="M59" i="7" s="1"/>
  <c r="F60" i="7"/>
  <c r="E60" i="7"/>
  <c r="L60" i="7"/>
  <c r="K60" i="7"/>
  <c r="M60" i="7" s="1"/>
  <c r="F61" i="7"/>
  <c r="E61" i="7"/>
  <c r="L61" i="7"/>
  <c r="K61" i="7"/>
  <c r="F62" i="7"/>
  <c r="E62" i="7"/>
  <c r="L62" i="7"/>
  <c r="K62" i="7"/>
  <c r="D64" i="7"/>
  <c r="G64" i="7"/>
  <c r="J64" i="7"/>
  <c r="M64" i="7"/>
  <c r="D65" i="7"/>
  <c r="G65" i="7"/>
  <c r="J65" i="7"/>
  <c r="M65" i="7"/>
  <c r="A2" i="6"/>
  <c r="F5" i="6"/>
  <c r="E5" i="6"/>
  <c r="I5" i="6"/>
  <c r="H5" i="6"/>
  <c r="L5" i="6"/>
  <c r="K5" i="6"/>
  <c r="C6" i="6"/>
  <c r="B6" i="6"/>
  <c r="C7" i="6"/>
  <c r="B7" i="6"/>
  <c r="C8" i="6"/>
  <c r="B8" i="6"/>
  <c r="C9" i="6"/>
  <c r="B9" i="6"/>
  <c r="C10" i="6"/>
  <c r="B10" i="6"/>
  <c r="C11" i="6"/>
  <c r="B11" i="6"/>
  <c r="C12" i="6"/>
  <c r="B12" i="6"/>
  <c r="C13" i="6"/>
  <c r="B13" i="6"/>
  <c r="C14" i="6"/>
  <c r="B14" i="6"/>
  <c r="C15" i="6"/>
  <c r="B15" i="6"/>
  <c r="C16" i="6"/>
  <c r="B16" i="6"/>
  <c r="F16" i="6"/>
  <c r="C17" i="6"/>
  <c r="B17" i="6"/>
  <c r="C18" i="6"/>
  <c r="B18" i="6"/>
  <c r="C19" i="6"/>
  <c r="B19" i="6"/>
  <c r="C20" i="6"/>
  <c r="B20" i="6"/>
  <c r="F20" i="6"/>
  <c r="C21" i="6"/>
  <c r="B21" i="6"/>
  <c r="C22" i="6"/>
  <c r="B22" i="6"/>
  <c r="L22" i="6"/>
  <c r="C23" i="6"/>
  <c r="B23" i="6"/>
  <c r="C24" i="6"/>
  <c r="B24" i="6"/>
  <c r="C25" i="6"/>
  <c r="B25" i="6"/>
  <c r="I25" i="6"/>
  <c r="C26" i="6"/>
  <c r="B26" i="6"/>
  <c r="C27" i="6"/>
  <c r="B27" i="6"/>
  <c r="C28" i="6"/>
  <c r="B28" i="6"/>
  <c r="F28" i="6"/>
  <c r="C29" i="6"/>
  <c r="B29" i="6"/>
  <c r="C30" i="6"/>
  <c r="B30" i="6"/>
  <c r="L30" i="6"/>
  <c r="D32" i="6"/>
  <c r="G32" i="6"/>
  <c r="J32" i="6"/>
  <c r="M32" i="6"/>
  <c r="D33" i="6"/>
  <c r="G33" i="6"/>
  <c r="J33" i="6"/>
  <c r="M33" i="6"/>
  <c r="C37" i="6"/>
  <c r="B37" i="6"/>
  <c r="F37" i="6"/>
  <c r="E37" i="6"/>
  <c r="I37" i="6"/>
  <c r="H37" i="6"/>
  <c r="L37" i="6"/>
  <c r="K37" i="6"/>
  <c r="F38" i="6"/>
  <c r="E38" i="6"/>
  <c r="L38" i="6"/>
  <c r="K38" i="6"/>
  <c r="F39" i="6"/>
  <c r="E39" i="6"/>
  <c r="G39" i="6" s="1"/>
  <c r="L39" i="6"/>
  <c r="K39" i="6"/>
  <c r="F40" i="6"/>
  <c r="E40" i="6"/>
  <c r="L40" i="6"/>
  <c r="K40" i="6"/>
  <c r="F41" i="6"/>
  <c r="E41" i="6"/>
  <c r="L41" i="6"/>
  <c r="K41" i="6"/>
  <c r="F42" i="6"/>
  <c r="E42" i="6"/>
  <c r="L42" i="6"/>
  <c r="K42" i="6"/>
  <c r="F43" i="6"/>
  <c r="E43" i="6"/>
  <c r="L43" i="6"/>
  <c r="K43" i="6"/>
  <c r="F44" i="6"/>
  <c r="E44" i="6"/>
  <c r="L44" i="6"/>
  <c r="K44" i="6"/>
  <c r="F45" i="6"/>
  <c r="E45" i="6"/>
  <c r="L45" i="6"/>
  <c r="K45" i="6"/>
  <c r="F46" i="6"/>
  <c r="E46" i="6"/>
  <c r="G46" i="6" s="1"/>
  <c r="L46" i="6"/>
  <c r="K46" i="6"/>
  <c r="F47" i="6"/>
  <c r="E47" i="6"/>
  <c r="L47" i="6"/>
  <c r="K47" i="6"/>
  <c r="F48" i="6"/>
  <c r="E48" i="6"/>
  <c r="I48" i="6"/>
  <c r="L48" i="6"/>
  <c r="K48" i="6"/>
  <c r="F49" i="6"/>
  <c r="E49" i="6"/>
  <c r="L49" i="6"/>
  <c r="K49" i="6"/>
  <c r="F50" i="6"/>
  <c r="E50" i="6"/>
  <c r="L50" i="6"/>
  <c r="K50" i="6"/>
  <c r="F51" i="6"/>
  <c r="E51" i="6"/>
  <c r="G51" i="6" s="1"/>
  <c r="L51" i="6"/>
  <c r="K51" i="6"/>
  <c r="F52" i="6"/>
  <c r="E52" i="6"/>
  <c r="I52" i="6"/>
  <c r="L52" i="6"/>
  <c r="K52" i="6"/>
  <c r="F53" i="6"/>
  <c r="E53" i="6"/>
  <c r="L53" i="6"/>
  <c r="K53" i="6"/>
  <c r="F54" i="6"/>
  <c r="E54" i="6"/>
  <c r="L54" i="6"/>
  <c r="K54" i="6"/>
  <c r="F55" i="6"/>
  <c r="E55" i="6"/>
  <c r="L55" i="6"/>
  <c r="K55" i="6"/>
  <c r="F56" i="6"/>
  <c r="E56" i="6"/>
  <c r="I56" i="6"/>
  <c r="L56" i="6"/>
  <c r="K56" i="6"/>
  <c r="F57" i="6"/>
  <c r="E57" i="6"/>
  <c r="L57" i="6"/>
  <c r="K57" i="6"/>
  <c r="F58" i="6"/>
  <c r="E58" i="6"/>
  <c r="G58" i="6" s="1"/>
  <c r="L58" i="6"/>
  <c r="K58" i="6"/>
  <c r="F59" i="6"/>
  <c r="E59" i="6"/>
  <c r="G59" i="6" s="1"/>
  <c r="L59" i="6"/>
  <c r="K59" i="6"/>
  <c r="F60" i="6"/>
  <c r="E60" i="6"/>
  <c r="G60" i="6" s="1"/>
  <c r="I60" i="6"/>
  <c r="L60" i="6"/>
  <c r="K60" i="6"/>
  <c r="F61" i="6"/>
  <c r="E61" i="6"/>
  <c r="G61" i="6" s="1"/>
  <c r="L61" i="6"/>
  <c r="K61" i="6"/>
  <c r="F62" i="6"/>
  <c r="E62" i="6"/>
  <c r="L62" i="6"/>
  <c r="K62" i="6"/>
  <c r="D64" i="6"/>
  <c r="G64" i="6"/>
  <c r="J64" i="6"/>
  <c r="M64" i="6"/>
  <c r="D65" i="6"/>
  <c r="G65" i="6"/>
  <c r="J65" i="6"/>
  <c r="M65" i="6"/>
  <c r="Q39" i="16"/>
  <c r="P39" i="16"/>
  <c r="Q40" i="16"/>
  <c r="P40" i="16"/>
  <c r="P35" i="16"/>
  <c r="I9" i="10"/>
  <c r="Q36" i="16"/>
  <c r="P36" i="16"/>
  <c r="Q38" i="16"/>
  <c r="I6" i="10"/>
  <c r="I11" i="10"/>
  <c r="I2" i="10"/>
  <c r="P22" i="16"/>
  <c r="I12" i="10"/>
  <c r="M11" i="10"/>
  <c r="Q21" i="16"/>
  <c r="P21" i="16"/>
  <c r="I13" i="10"/>
  <c r="M12" i="10"/>
  <c r="P20" i="16"/>
  <c r="I10" i="10"/>
  <c r="M10" i="10"/>
  <c r="I4" i="10"/>
  <c r="I14" i="10"/>
  <c r="J14" i="10" s="1"/>
  <c r="M14" i="10"/>
  <c r="I5" i="10"/>
  <c r="I5" i="4"/>
  <c r="H5" i="4"/>
  <c r="L5" i="4"/>
  <c r="K5" i="4"/>
  <c r="O5" i="4"/>
  <c r="N5" i="4"/>
  <c r="C7" i="4"/>
  <c r="B7" i="4"/>
  <c r="I7" i="4"/>
  <c r="H7" i="4"/>
  <c r="O7" i="4"/>
  <c r="N7" i="4"/>
  <c r="C8" i="4"/>
  <c r="B8" i="4"/>
  <c r="I8" i="4"/>
  <c r="H8" i="4"/>
  <c r="O8" i="4"/>
  <c r="AC262" i="16" s="1"/>
  <c r="N8" i="4"/>
  <c r="C9" i="4"/>
  <c r="B9" i="4"/>
  <c r="I9" i="4"/>
  <c r="H9" i="4"/>
  <c r="O9" i="4"/>
  <c r="N9" i="4"/>
  <c r="H12" i="4"/>
  <c r="N12" i="4"/>
  <c r="C13" i="4"/>
  <c r="C7" i="9" s="1"/>
  <c r="B13" i="4"/>
  <c r="I13" i="4"/>
  <c r="R6" i="23" s="1"/>
  <c r="H13" i="4"/>
  <c r="Q6" i="23" s="1"/>
  <c r="O13" i="4"/>
  <c r="P381" i="16" s="1"/>
  <c r="N13" i="4"/>
  <c r="I14" i="4"/>
  <c r="H14" i="4"/>
  <c r="O14" i="4"/>
  <c r="N14" i="4"/>
  <c r="C15" i="4"/>
  <c r="B15" i="4"/>
  <c r="I15" i="4"/>
  <c r="H15" i="4"/>
  <c r="O15" i="4"/>
  <c r="N15" i="4"/>
  <c r="I16" i="4"/>
  <c r="H16" i="4"/>
  <c r="O16" i="4"/>
  <c r="N16" i="4"/>
  <c r="C17" i="4"/>
  <c r="C9" i="9" s="1"/>
  <c r="B17" i="4"/>
  <c r="I17" i="4"/>
  <c r="H17" i="4"/>
  <c r="O17" i="4"/>
  <c r="P383" i="16" s="1"/>
  <c r="N17" i="4"/>
  <c r="I18" i="4"/>
  <c r="H18" i="4"/>
  <c r="K18" i="4"/>
  <c r="O18" i="4"/>
  <c r="N18" i="4"/>
  <c r="C19" i="4"/>
  <c r="C10" i="9" s="1"/>
  <c r="B19" i="4"/>
  <c r="I19" i="4"/>
  <c r="R10" i="9" s="1"/>
  <c r="H19" i="4"/>
  <c r="L19" i="4"/>
  <c r="Q225" i="16" s="1"/>
  <c r="O19" i="4"/>
  <c r="P384" i="16" s="1"/>
  <c r="N19" i="4"/>
  <c r="I20" i="4"/>
  <c r="H20" i="4"/>
  <c r="K20" i="4"/>
  <c r="O20" i="4"/>
  <c r="N20" i="4"/>
  <c r="C24" i="4"/>
  <c r="B24" i="4"/>
  <c r="I24" i="4"/>
  <c r="R13" i="9" s="1"/>
  <c r="H24" i="4"/>
  <c r="L24" i="4"/>
  <c r="O24" i="4"/>
  <c r="N24" i="4"/>
  <c r="U298" i="16"/>
  <c r="I25" i="4"/>
  <c r="AA298" i="16" s="1"/>
  <c r="H25" i="4"/>
  <c r="K25" i="4"/>
  <c r="O25" i="4"/>
  <c r="N25" i="4"/>
  <c r="C26" i="4"/>
  <c r="C14" i="9" s="1"/>
  <c r="B26" i="4"/>
  <c r="I26" i="4"/>
  <c r="R14" i="9" s="1"/>
  <c r="H26" i="4"/>
  <c r="L26" i="4"/>
  <c r="Q228" i="16" s="1"/>
  <c r="O26" i="4"/>
  <c r="AC273" i="16" s="1"/>
  <c r="N26" i="4"/>
  <c r="I27" i="4"/>
  <c r="H27" i="4"/>
  <c r="L27" i="4"/>
  <c r="K27" i="4"/>
  <c r="O27" i="4"/>
  <c r="N27" i="4"/>
  <c r="C28" i="4"/>
  <c r="C15" i="9" s="1"/>
  <c r="B28" i="4"/>
  <c r="I28" i="4"/>
  <c r="R15" i="9" s="1"/>
  <c r="H28" i="4"/>
  <c r="O28" i="4"/>
  <c r="N28" i="4"/>
  <c r="I29" i="4"/>
  <c r="H29" i="4"/>
  <c r="L29" i="4"/>
  <c r="K29" i="4"/>
  <c r="O29" i="4"/>
  <c r="N29" i="4"/>
  <c r="C30" i="4"/>
  <c r="B30" i="4"/>
  <c r="I30" i="4"/>
  <c r="R16" i="9" s="1"/>
  <c r="H30" i="4"/>
  <c r="O30" i="4"/>
  <c r="N30" i="4"/>
  <c r="I31" i="4"/>
  <c r="H31" i="4"/>
  <c r="L31" i="4"/>
  <c r="K31" i="4"/>
  <c r="O31" i="4"/>
  <c r="N31" i="4"/>
  <c r="C32" i="4"/>
  <c r="B32" i="4"/>
  <c r="I32" i="4"/>
  <c r="H32" i="4"/>
  <c r="L32" i="4"/>
  <c r="O32" i="4"/>
  <c r="P390" i="16" s="1"/>
  <c r="N32" i="4"/>
  <c r="AD299" i="16"/>
  <c r="C34" i="4"/>
  <c r="C18" i="9" s="1"/>
  <c r="B34" i="4"/>
  <c r="I34" i="4"/>
  <c r="H34" i="4"/>
  <c r="L34" i="4"/>
  <c r="Q232" i="16" s="1"/>
  <c r="O34" i="4"/>
  <c r="AC277" i="16" s="1"/>
  <c r="N34" i="4"/>
  <c r="I35" i="4"/>
  <c r="H35" i="4"/>
  <c r="L35" i="4"/>
  <c r="K35" i="4"/>
  <c r="O35" i="4"/>
  <c r="N35" i="4"/>
  <c r="C37" i="4"/>
  <c r="B37" i="4"/>
  <c r="I37" i="4"/>
  <c r="H37" i="4"/>
  <c r="L37" i="4"/>
  <c r="AK360" i="16" s="1"/>
  <c r="AN360" i="16" s="1"/>
  <c r="K37" i="4"/>
  <c r="O37" i="4"/>
  <c r="AC278" i="16" s="1"/>
  <c r="N37" i="4"/>
  <c r="C38" i="4"/>
  <c r="B38" i="4"/>
  <c r="I38" i="4"/>
  <c r="H38" i="4"/>
  <c r="L38" i="4"/>
  <c r="Q234" i="16" s="1"/>
  <c r="O38" i="4"/>
  <c r="P393" i="16" s="1"/>
  <c r="N38" i="4"/>
  <c r="C40" i="4"/>
  <c r="B40" i="4"/>
  <c r="I40" i="4"/>
  <c r="H40" i="4"/>
  <c r="L40" i="4"/>
  <c r="AK362" i="16" s="1"/>
  <c r="AN362" i="16" s="1"/>
  <c r="O40" i="4"/>
  <c r="AC280" i="16" s="1"/>
  <c r="N40" i="4"/>
  <c r="I41" i="4"/>
  <c r="H41" i="4"/>
  <c r="L41" i="4"/>
  <c r="K41" i="4"/>
  <c r="O41" i="4"/>
  <c r="N41" i="4"/>
  <c r="C42" i="4"/>
  <c r="B42" i="4"/>
  <c r="I42" i="4"/>
  <c r="H42" i="4"/>
  <c r="L42" i="4"/>
  <c r="Z281" i="16" s="1"/>
  <c r="K42" i="4"/>
  <c r="O42" i="4"/>
  <c r="P395" i="16" s="1"/>
  <c r="N42" i="4"/>
  <c r="C43" i="4"/>
  <c r="C44" i="4"/>
  <c r="B44" i="4"/>
  <c r="I44" i="4"/>
  <c r="R23" i="9" s="1"/>
  <c r="H44" i="4"/>
  <c r="L44" i="4"/>
  <c r="Z282" i="16" s="1"/>
  <c r="V335" i="16" s="1"/>
  <c r="K44" i="4"/>
  <c r="O44" i="4"/>
  <c r="P396" i="16" s="1"/>
  <c r="C46" i="4"/>
  <c r="B46" i="4"/>
  <c r="I46" i="4"/>
  <c r="R24" i="9" s="1"/>
  <c r="H46" i="4"/>
  <c r="L46" i="4"/>
  <c r="Z283" i="16" s="1"/>
  <c r="V336" i="16" s="1"/>
  <c r="K46" i="4"/>
  <c r="O46" i="4"/>
  <c r="AC283" i="16" s="1"/>
  <c r="N46" i="4"/>
  <c r="I47" i="4"/>
  <c r="H47" i="4"/>
  <c r="L47" i="4"/>
  <c r="K47" i="4"/>
  <c r="O47" i="4"/>
  <c r="N47" i="4"/>
  <c r="C50" i="4"/>
  <c r="B50" i="4"/>
  <c r="I50" i="4"/>
  <c r="H50" i="4"/>
  <c r="L50" i="4"/>
  <c r="K50" i="4"/>
  <c r="O50" i="4"/>
  <c r="P399" i="16" s="1"/>
  <c r="N50" i="4"/>
  <c r="X303" i="16"/>
  <c r="I51" i="4"/>
  <c r="AA303" i="16" s="1"/>
  <c r="H51" i="4"/>
  <c r="L51" i="4"/>
  <c r="AD303" i="16" s="1"/>
  <c r="K51" i="4"/>
  <c r="O51" i="4"/>
  <c r="N51" i="4"/>
  <c r="C52" i="4"/>
  <c r="B52" i="4"/>
  <c r="I52" i="4"/>
  <c r="H52" i="4"/>
  <c r="L52" i="4"/>
  <c r="Q241" i="16" s="1"/>
  <c r="K52" i="4"/>
  <c r="O52" i="4"/>
  <c r="P400" i="16" s="1"/>
  <c r="N52" i="4"/>
  <c r="I53" i="4"/>
  <c r="H53" i="4"/>
  <c r="L53" i="4"/>
  <c r="K53" i="4"/>
  <c r="O53" i="4"/>
  <c r="N53" i="4"/>
  <c r="C29" i="9"/>
  <c r="I54" i="4"/>
  <c r="H54" i="4"/>
  <c r="L54" i="4"/>
  <c r="Q242" i="16" s="1"/>
  <c r="K54" i="4"/>
  <c r="O54" i="4"/>
  <c r="P401" i="16" s="1"/>
  <c r="N54" i="4"/>
  <c r="AH304" i="16"/>
  <c r="E4" i="23"/>
  <c r="L15" i="4"/>
  <c r="Q223" i="16" s="1"/>
  <c r="F8" i="6"/>
  <c r="K40" i="4"/>
  <c r="K38" i="4"/>
  <c r="K34" i="4"/>
  <c r="L25" i="4"/>
  <c r="L18" i="4"/>
  <c r="L9" i="4"/>
  <c r="Q220" i="16" s="1"/>
  <c r="L8" i="4"/>
  <c r="AK371" i="16" s="1"/>
  <c r="AN371" i="16" s="1"/>
  <c r="F14" i="6"/>
  <c r="F6" i="6"/>
  <c r="E7" i="6"/>
  <c r="K13" i="4"/>
  <c r="E8" i="6"/>
  <c r="K15" i="4"/>
  <c r="E9" i="6"/>
  <c r="K17" i="4"/>
  <c r="E28" i="6"/>
  <c r="K7" i="4"/>
  <c r="E30" i="6"/>
  <c r="K9" i="4"/>
  <c r="E29" i="6"/>
  <c r="K8" i="4"/>
  <c r="L30" i="4"/>
  <c r="Z275" i="16" s="1"/>
  <c r="V329" i="16" s="1"/>
  <c r="K26" i="4"/>
  <c r="K24" i="4"/>
  <c r="K19" i="4"/>
  <c r="L17" i="4"/>
  <c r="AK351" i="16" s="1"/>
  <c r="AN351" i="16" s="1"/>
  <c r="L16" i="4"/>
  <c r="L14" i="4"/>
  <c r="L13" i="4"/>
  <c r="AK349" i="16" s="1"/>
  <c r="AN349" i="16" s="1"/>
  <c r="X301" i="16"/>
  <c r="J57" i="7" l="1"/>
  <c r="D49" i="6"/>
  <c r="J29" i="7"/>
  <c r="D17" i="7"/>
  <c r="J58" i="7"/>
  <c r="I37" i="7"/>
  <c r="M61" i="7"/>
  <c r="G52" i="6"/>
  <c r="D52" i="6"/>
  <c r="G22" i="7"/>
  <c r="S6" i="23"/>
  <c r="J38" i="7"/>
  <c r="D55" i="6"/>
  <c r="J38" i="6"/>
  <c r="G38" i="6"/>
  <c r="D27" i="7"/>
  <c r="J44" i="7"/>
  <c r="D40" i="6"/>
  <c r="J49" i="7"/>
  <c r="J43" i="7"/>
  <c r="D44" i="6"/>
  <c r="M10" i="6"/>
  <c r="J56" i="7"/>
  <c r="W265" i="16"/>
  <c r="AA296" i="16" s="1"/>
  <c r="R6" i="9"/>
  <c r="U6" i="9" s="1"/>
  <c r="H26" i="9"/>
  <c r="Q271" i="16"/>
  <c r="U297" i="16" s="1"/>
  <c r="C12" i="9"/>
  <c r="I12" i="9" s="1"/>
  <c r="T6" i="9"/>
  <c r="T12" i="9"/>
  <c r="W285" i="16"/>
  <c r="AA302" i="16" s="1"/>
  <c r="R26" i="9"/>
  <c r="U26" i="9" s="1"/>
  <c r="N26" i="9"/>
  <c r="K26" i="9"/>
  <c r="K6" i="9"/>
  <c r="N6" i="9"/>
  <c r="H6" i="9"/>
  <c r="Q285" i="16"/>
  <c r="U302" i="16" s="1"/>
  <c r="C26" i="9"/>
  <c r="I26" i="9" s="1"/>
  <c r="T26" i="9"/>
  <c r="T285" i="16"/>
  <c r="X302" i="16" s="1"/>
  <c r="F26" i="9"/>
  <c r="G26" i="9" s="1"/>
  <c r="F10" i="4"/>
  <c r="F5" i="11" s="1"/>
  <c r="O5" i="11" s="1"/>
  <c r="F6" i="9"/>
  <c r="G6" i="9" s="1"/>
  <c r="Q265" i="16"/>
  <c r="U296" i="16" s="1"/>
  <c r="C6" i="9"/>
  <c r="I6" i="9" s="1"/>
  <c r="K12" i="9"/>
  <c r="N12" i="9"/>
  <c r="W271" i="16"/>
  <c r="AA297" i="16" s="1"/>
  <c r="R12" i="9"/>
  <c r="U12" i="9" s="1"/>
  <c r="F22" i="4"/>
  <c r="F11" i="11" s="1"/>
  <c r="O11" i="11" s="1"/>
  <c r="F12" i="9"/>
  <c r="G12" i="9" s="1"/>
  <c r="H12" i="9"/>
  <c r="G62" i="6"/>
  <c r="M62" i="7"/>
  <c r="J62" i="6"/>
  <c r="M27" i="6"/>
  <c r="J45" i="7"/>
  <c r="J45" i="6"/>
  <c r="J53" i="6"/>
  <c r="M51" i="7"/>
  <c r="J51" i="7"/>
  <c r="M39" i="7"/>
  <c r="J39" i="7"/>
  <c r="J61" i="7"/>
  <c r="D38" i="6"/>
  <c r="G19" i="6"/>
  <c r="M9" i="6"/>
  <c r="J41" i="6"/>
  <c r="D22" i="7"/>
  <c r="M47" i="7"/>
  <c r="M17" i="6"/>
  <c r="M21" i="6"/>
  <c r="J27" i="6"/>
  <c r="M28" i="6"/>
  <c r="G12" i="6"/>
  <c r="J41" i="7"/>
  <c r="D45" i="7"/>
  <c r="J17" i="6"/>
  <c r="J21" i="6"/>
  <c r="J54" i="7"/>
  <c r="J23" i="6"/>
  <c r="M29" i="6"/>
  <c r="J18" i="6"/>
  <c r="T271" i="16"/>
  <c r="X297" i="16" s="1"/>
  <c r="M12" i="6"/>
  <c r="K37" i="7"/>
  <c r="H33" i="12"/>
  <c r="H21" i="12"/>
  <c r="H31" i="12"/>
  <c r="H2" i="12"/>
  <c r="J52" i="7"/>
  <c r="M8" i="7"/>
  <c r="H37" i="7"/>
  <c r="D20" i="6"/>
  <c r="J47" i="7"/>
  <c r="M40" i="7"/>
  <c r="I4" i="9"/>
  <c r="D53" i="6"/>
  <c r="D23" i="6"/>
  <c r="G44" i="6"/>
  <c r="M11" i="6"/>
  <c r="M7" i="7"/>
  <c r="G51" i="7"/>
  <c r="Q23" i="16"/>
  <c r="G7" i="6"/>
  <c r="J55" i="7"/>
  <c r="K4" i="11"/>
  <c r="G53" i="6"/>
  <c r="G49" i="6"/>
  <c r="M14" i="7"/>
  <c r="J46" i="7"/>
  <c r="M55" i="7"/>
  <c r="M48" i="7"/>
  <c r="J48" i="7"/>
  <c r="J52" i="6"/>
  <c r="M45" i="7"/>
  <c r="M57" i="7"/>
  <c r="M6" i="6"/>
  <c r="L37" i="7"/>
  <c r="O4" i="9"/>
  <c r="N4" i="9"/>
  <c r="M25" i="6"/>
  <c r="J22" i="6"/>
  <c r="J12" i="4"/>
  <c r="G25" i="6"/>
  <c r="A2" i="11"/>
  <c r="M7" i="4"/>
  <c r="Q4" i="9"/>
  <c r="T4" i="9" s="1"/>
  <c r="K4" i="9"/>
  <c r="E4" i="9"/>
  <c r="J8" i="6"/>
  <c r="J9" i="6"/>
  <c r="G15" i="6"/>
  <c r="J9" i="7"/>
  <c r="J11" i="7"/>
  <c r="G17" i="6"/>
  <c r="J17" i="7"/>
  <c r="J22" i="7"/>
  <c r="R4" i="9"/>
  <c r="U4" i="9" s="1"/>
  <c r="L4" i="9"/>
  <c r="J42" i="6"/>
  <c r="D41" i="7"/>
  <c r="D43" i="7"/>
  <c r="D44" i="7"/>
  <c r="D51" i="7"/>
  <c r="J53" i="7"/>
  <c r="D57" i="7"/>
  <c r="J30" i="6"/>
  <c r="J29" i="6"/>
  <c r="P12" i="4"/>
  <c r="P54" i="4"/>
  <c r="J54" i="4"/>
  <c r="P53" i="4"/>
  <c r="M53" i="4"/>
  <c r="J53" i="4"/>
  <c r="J52" i="4"/>
  <c r="D52" i="4"/>
  <c r="P51" i="4"/>
  <c r="M51" i="4"/>
  <c r="J51" i="4"/>
  <c r="M44" i="4"/>
  <c r="J44" i="4"/>
  <c r="D40" i="4"/>
  <c r="P38" i="4"/>
  <c r="J34" i="4"/>
  <c r="D34" i="4"/>
  <c r="J32" i="4"/>
  <c r="D32" i="4"/>
  <c r="P31" i="4"/>
  <c r="M31" i="4"/>
  <c r="J31" i="4"/>
  <c r="J30" i="4"/>
  <c r="D30" i="4"/>
  <c r="P29" i="4"/>
  <c r="M29" i="4"/>
  <c r="J29" i="4"/>
  <c r="J28" i="4"/>
  <c r="D28" i="4"/>
  <c r="P27" i="4"/>
  <c r="M27" i="4"/>
  <c r="J27" i="4"/>
  <c r="P26" i="4"/>
  <c r="J25" i="4"/>
  <c r="J24" i="4"/>
  <c r="D24" i="4"/>
  <c r="P20" i="4"/>
  <c r="M20" i="4"/>
  <c r="D19" i="4"/>
  <c r="P18" i="4"/>
  <c r="D35" i="4"/>
  <c r="D36" i="4"/>
  <c r="J21" i="7"/>
  <c r="D55" i="4"/>
  <c r="D14" i="4"/>
  <c r="D16" i="4"/>
  <c r="D18" i="4"/>
  <c r="D31" i="4"/>
  <c r="D39" i="4"/>
  <c r="D45" i="4"/>
  <c r="D47" i="4"/>
  <c r="D53" i="4"/>
  <c r="J55" i="4"/>
  <c r="P55" i="4"/>
  <c r="J36" i="4"/>
  <c r="M36" i="4"/>
  <c r="P49" i="4"/>
  <c r="J39" i="4"/>
  <c r="M39" i="4"/>
  <c r="P39" i="4"/>
  <c r="J33" i="4"/>
  <c r="M33" i="4"/>
  <c r="P33" i="4"/>
  <c r="J43" i="4"/>
  <c r="G54" i="4"/>
  <c r="G53" i="4"/>
  <c r="G52" i="4"/>
  <c r="G51" i="4"/>
  <c r="G50" i="4"/>
  <c r="G47" i="4"/>
  <c r="G46" i="4"/>
  <c r="G45" i="4"/>
  <c r="G44" i="4"/>
  <c r="G43" i="4"/>
  <c r="G41" i="4"/>
  <c r="G40" i="4"/>
  <c r="G39" i="4"/>
  <c r="G38" i="4"/>
  <c r="G36" i="4"/>
  <c r="G35" i="4"/>
  <c r="G34" i="4"/>
  <c r="G33" i="4"/>
  <c r="G32" i="4"/>
  <c r="G31" i="4"/>
  <c r="G29" i="4"/>
  <c r="G28" i="4"/>
  <c r="G27" i="4"/>
  <c r="G26" i="4"/>
  <c r="G25" i="4"/>
  <c r="G24" i="4"/>
  <c r="G21" i="4"/>
  <c r="G20" i="4"/>
  <c r="G18" i="4"/>
  <c r="G17" i="4"/>
  <c r="G16" i="4"/>
  <c r="G14" i="4"/>
  <c r="G12" i="4"/>
  <c r="G45" i="7"/>
  <c r="AL354" i="16"/>
  <c r="AO354" i="16" s="1"/>
  <c r="M24" i="4"/>
  <c r="P234" i="16"/>
  <c r="R234" i="16" s="1"/>
  <c r="M38" i="4"/>
  <c r="B29" i="9"/>
  <c r="H29" i="9" s="1"/>
  <c r="W369" i="16" s="1"/>
  <c r="D54" i="4"/>
  <c r="AB287" i="16"/>
  <c r="P52" i="4"/>
  <c r="AL368" i="16"/>
  <c r="AO368" i="16" s="1"/>
  <c r="M52" i="4"/>
  <c r="B23" i="9"/>
  <c r="Q364" i="16" s="1"/>
  <c r="D44" i="4"/>
  <c r="AB275" i="16"/>
  <c r="P30" i="4"/>
  <c r="AB274" i="16"/>
  <c r="P28" i="4"/>
  <c r="Q10" i="9"/>
  <c r="T10" i="9" s="1"/>
  <c r="J19" i="4"/>
  <c r="V301" i="16"/>
  <c r="D43" i="4"/>
  <c r="AL357" i="16"/>
  <c r="AO357" i="16" s="1"/>
  <c r="M30" i="4"/>
  <c r="Y276" i="16"/>
  <c r="W330" i="16" s="1"/>
  <c r="M32" i="4"/>
  <c r="P265" i="16"/>
  <c r="V296" i="16" s="1"/>
  <c r="D11" i="4"/>
  <c r="V303" i="16"/>
  <c r="D51" i="4"/>
  <c r="N22" i="4"/>
  <c r="P22" i="4" s="1"/>
  <c r="P23" i="4"/>
  <c r="N10" i="4"/>
  <c r="Q380" i="16" s="1"/>
  <c r="P11" i="4"/>
  <c r="H48" i="4"/>
  <c r="J49" i="4"/>
  <c r="Y285" i="16"/>
  <c r="AE302" i="16" s="1"/>
  <c r="AF302" i="16" s="1"/>
  <c r="M49" i="4"/>
  <c r="AE301" i="16"/>
  <c r="M43" i="4"/>
  <c r="Q396" i="16"/>
  <c r="R396" i="16" s="1"/>
  <c r="P44" i="4"/>
  <c r="S285" i="16"/>
  <c r="Y302" i="16" s="1"/>
  <c r="G49" i="4"/>
  <c r="E22" i="9"/>
  <c r="T363" i="16" s="1"/>
  <c r="G42" i="4"/>
  <c r="E19" i="9"/>
  <c r="N19" i="9" s="1"/>
  <c r="AC360" i="16" s="1"/>
  <c r="G37" i="4"/>
  <c r="E16" i="9"/>
  <c r="G16" i="9" s="1"/>
  <c r="G30" i="4"/>
  <c r="E22" i="4"/>
  <c r="G23" i="4"/>
  <c r="E10" i="9"/>
  <c r="G19" i="4"/>
  <c r="E8" i="9"/>
  <c r="N8" i="9" s="1"/>
  <c r="AC350" i="16" s="1"/>
  <c r="G15" i="4"/>
  <c r="E7" i="9"/>
  <c r="N7" i="9" s="1"/>
  <c r="AC349" i="16" s="1"/>
  <c r="G13" i="4"/>
  <c r="E10" i="4"/>
  <c r="G11" i="4"/>
  <c r="G9" i="4"/>
  <c r="G8" i="4"/>
  <c r="G7" i="4"/>
  <c r="M18" i="4"/>
  <c r="M14" i="4"/>
  <c r="D12" i="4"/>
  <c r="AL369" i="16"/>
  <c r="AO369" i="16" s="1"/>
  <c r="M54" i="4"/>
  <c r="Q21" i="9"/>
  <c r="J40" i="4"/>
  <c r="Y269" i="16"/>
  <c r="W324" i="16" s="1"/>
  <c r="M19" i="4"/>
  <c r="P228" i="16"/>
  <c r="R228" i="16" s="1"/>
  <c r="M26" i="4"/>
  <c r="P219" i="16"/>
  <c r="M8" i="4"/>
  <c r="Y268" i="16"/>
  <c r="W323" i="16" s="1"/>
  <c r="M17" i="4"/>
  <c r="P223" i="16"/>
  <c r="R223" i="16" s="1"/>
  <c r="M15" i="4"/>
  <c r="P222" i="16"/>
  <c r="M13" i="4"/>
  <c r="P232" i="16"/>
  <c r="R232" i="16" s="1"/>
  <c r="M34" i="4"/>
  <c r="Y280" i="16"/>
  <c r="W333" i="16" s="1"/>
  <c r="M40" i="4"/>
  <c r="Y286" i="16"/>
  <c r="M50" i="4"/>
  <c r="AB283" i="16"/>
  <c r="AD283" i="16" s="1"/>
  <c r="P46" i="4"/>
  <c r="AL365" i="16"/>
  <c r="AO365" i="16" s="1"/>
  <c r="M46" i="4"/>
  <c r="AB281" i="16"/>
  <c r="P42" i="4"/>
  <c r="Y281" i="16"/>
  <c r="W334" i="16" s="1"/>
  <c r="M42" i="4"/>
  <c r="Q22" i="9"/>
  <c r="T22" i="9" s="1"/>
  <c r="J42" i="4"/>
  <c r="B20" i="9"/>
  <c r="H20" i="9" s="1"/>
  <c r="W361" i="16" s="1"/>
  <c r="D38" i="4"/>
  <c r="AB278" i="16"/>
  <c r="AD278" i="16" s="1"/>
  <c r="P37" i="4"/>
  <c r="Y278" i="16"/>
  <c r="AE300" i="16" s="1"/>
  <c r="M37" i="4"/>
  <c r="Q19" i="9"/>
  <c r="J37" i="4"/>
  <c r="B19" i="9"/>
  <c r="Q360" i="16" s="1"/>
  <c r="D37" i="4"/>
  <c r="Q391" i="16"/>
  <c r="P34" i="4"/>
  <c r="Q390" i="16"/>
  <c r="R390" i="16" s="1"/>
  <c r="P32" i="4"/>
  <c r="Q14" i="9"/>
  <c r="AF355" i="16" s="1"/>
  <c r="AI355" i="16" s="1"/>
  <c r="J26" i="4"/>
  <c r="Q386" i="16"/>
  <c r="P24" i="4"/>
  <c r="Q384" i="16"/>
  <c r="R384" i="16" s="1"/>
  <c r="P19" i="4"/>
  <c r="AB268" i="16"/>
  <c r="P17" i="4"/>
  <c r="AB267" i="16"/>
  <c r="P15" i="4"/>
  <c r="B8" i="9"/>
  <c r="Q350" i="16" s="1"/>
  <c r="D15" i="4"/>
  <c r="AB266" i="16"/>
  <c r="P13" i="4"/>
  <c r="Q379" i="16"/>
  <c r="P9" i="4"/>
  <c r="J9" i="4"/>
  <c r="AB262" i="16"/>
  <c r="AD262" i="16" s="1"/>
  <c r="P8" i="4"/>
  <c r="D8" i="4"/>
  <c r="Q377" i="16"/>
  <c r="P7" i="4"/>
  <c r="J7" i="4"/>
  <c r="W370" i="16"/>
  <c r="D7" i="4"/>
  <c r="Y274" i="16"/>
  <c r="W328" i="16" s="1"/>
  <c r="M28" i="4"/>
  <c r="V299" i="16"/>
  <c r="D33" i="4"/>
  <c r="B48" i="4"/>
  <c r="D49" i="4"/>
  <c r="V298" i="16"/>
  <c r="W298" i="16" s="1"/>
  <c r="D25" i="4"/>
  <c r="V265" i="16"/>
  <c r="J11" i="4"/>
  <c r="V271" i="16"/>
  <c r="AB297" i="16" s="1"/>
  <c r="J23" i="4"/>
  <c r="Y271" i="16"/>
  <c r="AE297" i="16" s="1"/>
  <c r="M23" i="4"/>
  <c r="K10" i="4"/>
  <c r="AL348" i="16" s="1"/>
  <c r="M11" i="4"/>
  <c r="B22" i="4"/>
  <c r="D23" i="4"/>
  <c r="M9" i="4"/>
  <c r="P50" i="4"/>
  <c r="J50" i="4"/>
  <c r="D50" i="4"/>
  <c r="P47" i="4"/>
  <c r="M47" i="4"/>
  <c r="J47" i="4"/>
  <c r="J46" i="4"/>
  <c r="D46" i="4"/>
  <c r="D42" i="4"/>
  <c r="P41" i="4"/>
  <c r="M41" i="4"/>
  <c r="J41" i="4"/>
  <c r="P40" i="4"/>
  <c r="J38" i="4"/>
  <c r="P35" i="4"/>
  <c r="M35" i="4"/>
  <c r="J35" i="4"/>
  <c r="D26" i="4"/>
  <c r="P25" i="4"/>
  <c r="M25" i="4"/>
  <c r="J20" i="4"/>
  <c r="J18" i="4"/>
  <c r="J17" i="4"/>
  <c r="D17" i="4"/>
  <c r="P16" i="4"/>
  <c r="J16" i="4"/>
  <c r="J15" i="4"/>
  <c r="P14" i="4"/>
  <c r="J14" i="4"/>
  <c r="J13" i="4"/>
  <c r="D13" i="4"/>
  <c r="D9" i="4"/>
  <c r="J8" i="4"/>
  <c r="D27" i="4"/>
  <c r="M16" i="4"/>
  <c r="D21" i="4"/>
  <c r="D20" i="4"/>
  <c r="D29" i="4"/>
  <c r="D41" i="4"/>
  <c r="G55" i="4"/>
  <c r="M55" i="4"/>
  <c r="J21" i="4"/>
  <c r="M21" i="4"/>
  <c r="P21" i="4"/>
  <c r="P36" i="4"/>
  <c r="P43" i="4"/>
  <c r="J45" i="4"/>
  <c r="M45" i="4"/>
  <c r="P45" i="4"/>
  <c r="D11" i="7"/>
  <c r="G41" i="6"/>
  <c r="M56" i="7"/>
  <c r="M44" i="7"/>
  <c r="M20" i="6"/>
  <c r="D26" i="6"/>
  <c r="D17" i="6"/>
  <c r="M26" i="7"/>
  <c r="Q4" i="11"/>
  <c r="M14" i="6"/>
  <c r="J54" i="6"/>
  <c r="M16" i="6"/>
  <c r="J27" i="7"/>
  <c r="G26" i="6"/>
  <c r="D21" i="7"/>
  <c r="N4" i="11"/>
  <c r="J16" i="7"/>
  <c r="J48" i="6"/>
  <c r="G48" i="6"/>
  <c r="D14" i="6"/>
  <c r="G46" i="7"/>
  <c r="G16" i="6"/>
  <c r="R4" i="11"/>
  <c r="O4" i="11"/>
  <c r="F4" i="11"/>
  <c r="L4" i="11"/>
  <c r="M19" i="7"/>
  <c r="H4" i="11"/>
  <c r="J10" i="7"/>
  <c r="D39" i="6"/>
  <c r="AC271" i="16"/>
  <c r="AB265" i="16"/>
  <c r="E31" i="11"/>
  <c r="N31" i="11" s="1"/>
  <c r="E24" i="11"/>
  <c r="N24" i="11" s="1"/>
  <c r="E18" i="11"/>
  <c r="N18" i="11" s="1"/>
  <c r="E14" i="23"/>
  <c r="N14" i="23" s="1"/>
  <c r="J42" i="7"/>
  <c r="D47" i="7"/>
  <c r="S261" i="16"/>
  <c r="AA4" i="23"/>
  <c r="X4" i="23"/>
  <c r="T4" i="23"/>
  <c r="X21" i="23"/>
  <c r="AA21" i="23" s="1"/>
  <c r="M50" i="6"/>
  <c r="O16" i="9"/>
  <c r="AB357" i="16" s="1"/>
  <c r="Y265" i="16"/>
  <c r="AA265" i="16" s="1"/>
  <c r="T275" i="16"/>
  <c r="P329" i="16" s="1"/>
  <c r="G11" i="6"/>
  <c r="P271" i="16"/>
  <c r="V297" i="16" s="1"/>
  <c r="P61" i="4"/>
  <c r="P287" i="16"/>
  <c r="Q314" i="16" s="1"/>
  <c r="B28" i="9"/>
  <c r="H28" i="9" s="1"/>
  <c r="W368" i="16" s="1"/>
  <c r="W286" i="16"/>
  <c r="S338" i="16" s="1"/>
  <c r="R27" i="9"/>
  <c r="AE367" i="16" s="1"/>
  <c r="AH367" i="16" s="1"/>
  <c r="Q286" i="16"/>
  <c r="P313" i="16" s="1"/>
  <c r="C27" i="9"/>
  <c r="Q180" i="16"/>
  <c r="C24" i="9"/>
  <c r="W281" i="16"/>
  <c r="S334" i="16" s="1"/>
  <c r="R22" i="9"/>
  <c r="C22" i="11"/>
  <c r="I22" i="11" s="1"/>
  <c r="C22" i="9"/>
  <c r="I22" i="9" s="1"/>
  <c r="V363" i="16" s="1"/>
  <c r="P280" i="16"/>
  <c r="Q308" i="16" s="1"/>
  <c r="B21" i="9"/>
  <c r="Q205" i="16"/>
  <c r="R20" i="9"/>
  <c r="Q204" i="16"/>
  <c r="R19" i="9"/>
  <c r="U19" i="9" s="1"/>
  <c r="Q278" i="16"/>
  <c r="U300" i="16" s="1"/>
  <c r="C19" i="9"/>
  <c r="V277" i="16"/>
  <c r="T331" i="16" s="1"/>
  <c r="Q18" i="9"/>
  <c r="T18" i="9" s="1"/>
  <c r="P277" i="16"/>
  <c r="Q306" i="16" s="1"/>
  <c r="B18" i="9"/>
  <c r="P202" i="16"/>
  <c r="Q17" i="9"/>
  <c r="T17" i="9" s="1"/>
  <c r="P173" i="16"/>
  <c r="B17" i="9"/>
  <c r="Q358" i="16" s="1"/>
  <c r="P201" i="16"/>
  <c r="Q16" i="9"/>
  <c r="T16" i="9" s="1"/>
  <c r="P275" i="16"/>
  <c r="Q304" i="16" s="1"/>
  <c r="B16" i="9"/>
  <c r="V274" i="16"/>
  <c r="T328" i="16" s="1"/>
  <c r="Q15" i="9"/>
  <c r="T15" i="9" s="1"/>
  <c r="P171" i="16"/>
  <c r="B15" i="9"/>
  <c r="V272" i="16"/>
  <c r="T326" i="16" s="1"/>
  <c r="U326" i="16" s="1"/>
  <c r="Q13" i="9"/>
  <c r="AF354" i="16" s="1"/>
  <c r="AI354" i="16" s="1"/>
  <c r="P169" i="16"/>
  <c r="B13" i="9"/>
  <c r="V268" i="16"/>
  <c r="T323" i="16" s="1"/>
  <c r="Q9" i="9"/>
  <c r="T9" i="9" s="1"/>
  <c r="P268" i="16"/>
  <c r="Q298" i="16" s="1"/>
  <c r="B9" i="9"/>
  <c r="P194" i="16"/>
  <c r="Q8" i="9"/>
  <c r="P193" i="16"/>
  <c r="Q7" i="9"/>
  <c r="AF349" i="16" s="1"/>
  <c r="AI349" i="16" s="1"/>
  <c r="P266" i="16"/>
  <c r="Q296" i="16" s="1"/>
  <c r="B7" i="9"/>
  <c r="Q349" i="16" s="1"/>
  <c r="Q191" i="16"/>
  <c r="Q263" i="16"/>
  <c r="P372" i="16"/>
  <c r="Q190" i="16"/>
  <c r="AE371" i="16"/>
  <c r="AH371" i="16" s="1"/>
  <c r="Q161" i="16"/>
  <c r="Q160" i="16"/>
  <c r="V370" i="16"/>
  <c r="T288" i="16"/>
  <c r="P340" i="16" s="1"/>
  <c r="F29" i="9"/>
  <c r="S369" i="16" s="1"/>
  <c r="T287" i="16"/>
  <c r="P339" i="16" s="1"/>
  <c r="F28" i="9"/>
  <c r="S368" i="16" s="1"/>
  <c r="T286" i="16"/>
  <c r="P338" i="16" s="1"/>
  <c r="F27" i="9"/>
  <c r="T283" i="16"/>
  <c r="P336" i="16" s="1"/>
  <c r="F24" i="9"/>
  <c r="S365" i="16" s="1"/>
  <c r="T282" i="16"/>
  <c r="P335" i="16" s="1"/>
  <c r="F23" i="9"/>
  <c r="O23" i="9" s="1"/>
  <c r="T281" i="16"/>
  <c r="P334" i="16" s="1"/>
  <c r="F22" i="9"/>
  <c r="T279" i="16"/>
  <c r="P332" i="16" s="1"/>
  <c r="F20" i="9"/>
  <c r="T278" i="16"/>
  <c r="X300" i="16" s="1"/>
  <c r="F19" i="9"/>
  <c r="T277" i="16"/>
  <c r="P331" i="16" s="1"/>
  <c r="F18" i="9"/>
  <c r="O18" i="9" s="1"/>
  <c r="AB359" i="16" s="1"/>
  <c r="T273" i="16"/>
  <c r="P327" i="16" s="1"/>
  <c r="F14" i="9"/>
  <c r="T269" i="16"/>
  <c r="P324" i="16" s="1"/>
  <c r="F10" i="9"/>
  <c r="T266" i="16"/>
  <c r="P321" i="16" s="1"/>
  <c r="F7" i="9"/>
  <c r="S349" i="16" s="1"/>
  <c r="F5" i="23"/>
  <c r="Q192" i="16"/>
  <c r="F10" i="23"/>
  <c r="O10" i="23" s="1"/>
  <c r="Q197" i="16"/>
  <c r="E23" i="23"/>
  <c r="P210" i="16"/>
  <c r="P213" i="16"/>
  <c r="Q29" i="9"/>
  <c r="T29" i="9" s="1"/>
  <c r="V287" i="16"/>
  <c r="T339" i="16" s="1"/>
  <c r="Q28" i="9"/>
  <c r="Q21" i="23"/>
  <c r="T21" i="23" s="1"/>
  <c r="Q23" i="9"/>
  <c r="Q176" i="16"/>
  <c r="C20" i="9"/>
  <c r="Q213" i="16"/>
  <c r="R29" i="9"/>
  <c r="W287" i="16"/>
  <c r="S339" i="16" s="1"/>
  <c r="R28" i="9"/>
  <c r="AE368" i="16" s="1"/>
  <c r="AH368" i="16" s="1"/>
  <c r="Q287" i="16"/>
  <c r="P314" i="16" s="1"/>
  <c r="C28" i="9"/>
  <c r="P368" i="16" s="1"/>
  <c r="V286" i="16"/>
  <c r="Q27" i="9"/>
  <c r="T27" i="9" s="1"/>
  <c r="P286" i="16"/>
  <c r="B27" i="9"/>
  <c r="H27" i="9" s="1"/>
  <c r="W367" i="16" s="1"/>
  <c r="P209" i="16"/>
  <c r="Q24" i="9"/>
  <c r="T24" i="9" s="1"/>
  <c r="P180" i="16"/>
  <c r="B24" i="9"/>
  <c r="Q179" i="16"/>
  <c r="C23" i="9"/>
  <c r="I23" i="9" s="1"/>
  <c r="V364" i="16" s="1"/>
  <c r="P178" i="16"/>
  <c r="B22" i="9"/>
  <c r="Q363" i="16" s="1"/>
  <c r="Q206" i="16"/>
  <c r="R21" i="9"/>
  <c r="Q280" i="16"/>
  <c r="P308" i="16" s="1"/>
  <c r="C21" i="9"/>
  <c r="P205" i="16"/>
  <c r="Q20" i="9"/>
  <c r="AF361" i="16" s="1"/>
  <c r="AI361" i="16" s="1"/>
  <c r="W277" i="16"/>
  <c r="S331" i="16" s="1"/>
  <c r="R18" i="9"/>
  <c r="Q202" i="16"/>
  <c r="R17" i="9"/>
  <c r="Q276" i="16"/>
  <c r="P305" i="16" s="1"/>
  <c r="C17" i="9"/>
  <c r="Q275" i="16"/>
  <c r="P304" i="16" s="1"/>
  <c r="C16" i="9"/>
  <c r="I16" i="9" s="1"/>
  <c r="V357" i="16" s="1"/>
  <c r="P170" i="16"/>
  <c r="B14" i="9"/>
  <c r="Q169" i="16"/>
  <c r="C13" i="9"/>
  <c r="I13" i="9" s="1"/>
  <c r="V354" i="16" s="1"/>
  <c r="P269" i="16"/>
  <c r="B10" i="9"/>
  <c r="H10" i="9" s="1"/>
  <c r="W352" i="16" s="1"/>
  <c r="W268" i="16"/>
  <c r="S323" i="16" s="1"/>
  <c r="R9" i="9"/>
  <c r="Q194" i="16"/>
  <c r="R8" i="9"/>
  <c r="Q267" i="16"/>
  <c r="P297" i="16" s="1"/>
  <c r="C8" i="9"/>
  <c r="W266" i="16"/>
  <c r="S321" i="16" s="1"/>
  <c r="R7" i="9"/>
  <c r="P162" i="16"/>
  <c r="Q372" i="16"/>
  <c r="V262" i="16"/>
  <c r="S288" i="16"/>
  <c r="Q340" i="16" s="1"/>
  <c r="E29" i="9"/>
  <c r="N29" i="9" s="1"/>
  <c r="S287" i="16"/>
  <c r="Q339" i="16" s="1"/>
  <c r="E28" i="9"/>
  <c r="S286" i="16"/>
  <c r="E27" i="9"/>
  <c r="S283" i="16"/>
  <c r="E24" i="9"/>
  <c r="T365" i="16" s="1"/>
  <c r="S282" i="16"/>
  <c r="Q335" i="16" s="1"/>
  <c r="E23" i="9"/>
  <c r="N23" i="9" s="1"/>
  <c r="AC364" i="16" s="1"/>
  <c r="S280" i="16"/>
  <c r="Q333" i="16" s="1"/>
  <c r="E21" i="9"/>
  <c r="S279" i="16"/>
  <c r="Q332" i="16" s="1"/>
  <c r="E20" i="9"/>
  <c r="S277" i="16"/>
  <c r="E18" i="9"/>
  <c r="N18" i="9" s="1"/>
  <c r="AC359" i="16" s="1"/>
  <c r="S276" i="16"/>
  <c r="Q330" i="16" s="1"/>
  <c r="E17" i="9"/>
  <c r="T358" i="16" s="1"/>
  <c r="S274" i="16"/>
  <c r="Q328" i="16" s="1"/>
  <c r="E15" i="9"/>
  <c r="N15" i="9" s="1"/>
  <c r="AC356" i="16" s="1"/>
  <c r="S273" i="16"/>
  <c r="E14" i="9"/>
  <c r="S272" i="16"/>
  <c r="E13" i="9"/>
  <c r="N13" i="9" s="1"/>
  <c r="AC354" i="16" s="1"/>
  <c r="S268" i="16"/>
  <c r="Q323" i="16" s="1"/>
  <c r="E9" i="9"/>
  <c r="N9" i="9" s="1"/>
  <c r="AC351" i="16" s="1"/>
  <c r="E5" i="23"/>
  <c r="N5" i="23" s="1"/>
  <c r="P192" i="16"/>
  <c r="E10" i="23"/>
  <c r="N10" i="23" s="1"/>
  <c r="P197" i="16"/>
  <c r="F23" i="23"/>
  <c r="Q210" i="16"/>
  <c r="F66" i="7"/>
  <c r="E34" i="8" s="1"/>
  <c r="Q163" i="16"/>
  <c r="C5" i="23"/>
  <c r="Q168" i="16"/>
  <c r="C10" i="23"/>
  <c r="P181" i="16"/>
  <c r="B23" i="23"/>
  <c r="P163" i="16"/>
  <c r="B5" i="23"/>
  <c r="P168" i="16"/>
  <c r="B10" i="23"/>
  <c r="Q181" i="16"/>
  <c r="C23" i="23"/>
  <c r="J40" i="7"/>
  <c r="M24" i="6"/>
  <c r="G40" i="6"/>
  <c r="D56" i="6"/>
  <c r="J56" i="6"/>
  <c r="P229" i="16"/>
  <c r="J13" i="6"/>
  <c r="G22" i="6"/>
  <c r="M22" i="6"/>
  <c r="F15" i="23"/>
  <c r="O15" i="23" s="1"/>
  <c r="F7" i="23"/>
  <c r="O7" i="23" s="1"/>
  <c r="M21" i="7"/>
  <c r="M62" i="4"/>
  <c r="R239" i="16"/>
  <c r="G39" i="7"/>
  <c r="D10" i="6"/>
  <c r="Z278" i="16"/>
  <c r="AD300" i="16" s="1"/>
  <c r="M17" i="7"/>
  <c r="G21" i="7"/>
  <c r="R26" i="11"/>
  <c r="Q26" i="11"/>
  <c r="B12" i="11"/>
  <c r="H12" i="11" s="1"/>
  <c r="R12" i="11"/>
  <c r="AK372" i="16"/>
  <c r="AN372" i="16" s="1"/>
  <c r="N4" i="23"/>
  <c r="M10" i="7"/>
  <c r="J15" i="7"/>
  <c r="B9" i="11"/>
  <c r="H9" i="11" s="1"/>
  <c r="M19" i="6"/>
  <c r="G10" i="6"/>
  <c r="B26" i="11"/>
  <c r="H26" i="11" s="1"/>
  <c r="X17" i="23"/>
  <c r="AA17" i="23" s="1"/>
  <c r="E26" i="11"/>
  <c r="N26" i="11" s="1"/>
  <c r="E12" i="11"/>
  <c r="N12" i="11" s="1"/>
  <c r="J14" i="6"/>
  <c r="E63" i="6"/>
  <c r="Q261" i="16"/>
  <c r="AK370" i="16"/>
  <c r="AN370" i="16" s="1"/>
  <c r="E6" i="11"/>
  <c r="N6" i="11" s="1"/>
  <c r="E15" i="23"/>
  <c r="R16" i="11"/>
  <c r="M53" i="6"/>
  <c r="G60" i="7"/>
  <c r="E15" i="11"/>
  <c r="N15" i="11" s="1"/>
  <c r="E9" i="23"/>
  <c r="E11" i="23"/>
  <c r="J19" i="6"/>
  <c r="D42" i="7"/>
  <c r="G23" i="6"/>
  <c r="Y262" i="16"/>
  <c r="Q219" i="16"/>
  <c r="M53" i="7"/>
  <c r="G62" i="7"/>
  <c r="M22" i="7"/>
  <c r="R8" i="11"/>
  <c r="D53" i="7"/>
  <c r="AL359" i="16"/>
  <c r="AO359" i="16" s="1"/>
  <c r="W267" i="16"/>
  <c r="S322" i="16" s="1"/>
  <c r="Y22" i="23"/>
  <c r="Q6" i="11"/>
  <c r="F22" i="11"/>
  <c r="O22" i="11" s="1"/>
  <c r="F20" i="11"/>
  <c r="O20" i="11" s="1"/>
  <c r="Z274" i="16"/>
  <c r="V328" i="16" s="1"/>
  <c r="K4" i="23"/>
  <c r="H4" i="23"/>
  <c r="Q183" i="16"/>
  <c r="AB263" i="16"/>
  <c r="X9" i="23"/>
  <c r="AA9" i="23" s="1"/>
  <c r="C26" i="11"/>
  <c r="B34" i="7"/>
  <c r="F25" i="8" s="1"/>
  <c r="Q12" i="11"/>
  <c r="Y275" i="16"/>
  <c r="W329" i="16" s="1"/>
  <c r="X329" i="16" s="1"/>
  <c r="G6" i="6"/>
  <c r="C12" i="11"/>
  <c r="I12" i="11" s="1"/>
  <c r="M27" i="7"/>
  <c r="F8" i="23"/>
  <c r="O8" i="23" s="1"/>
  <c r="F16" i="23"/>
  <c r="O16" i="23" s="1"/>
  <c r="D60" i="7"/>
  <c r="D12" i="6"/>
  <c r="D6" i="6"/>
  <c r="M49" i="6"/>
  <c r="AI304" i="16"/>
  <c r="AI295" i="16"/>
  <c r="J20" i="6"/>
  <c r="M54" i="7"/>
  <c r="O6" i="4"/>
  <c r="O56" i="4" s="1"/>
  <c r="G47" i="7"/>
  <c r="D40" i="7"/>
  <c r="E34" i="7"/>
  <c r="F27" i="8" s="1"/>
  <c r="Q272" i="16"/>
  <c r="P301" i="16" s="1"/>
  <c r="B7" i="11"/>
  <c r="H7" i="11" s="1"/>
  <c r="X13" i="23"/>
  <c r="AA13" i="23" s="1"/>
  <c r="P273" i="16"/>
  <c r="Q302" i="16" s="1"/>
  <c r="AL358" i="16"/>
  <c r="AO358" i="16" s="1"/>
  <c r="Y14" i="23"/>
  <c r="Z14" i="23" s="1"/>
  <c r="AK364" i="16"/>
  <c r="AN364" i="16" s="1"/>
  <c r="V266" i="16"/>
  <c r="T321" i="16" s="1"/>
  <c r="X15" i="23"/>
  <c r="AA15" i="23" s="1"/>
  <c r="I63" i="6"/>
  <c r="G20" i="6"/>
  <c r="M24" i="7"/>
  <c r="M6" i="7"/>
  <c r="C66" i="7"/>
  <c r="E37" i="8" s="1"/>
  <c r="I6" i="4"/>
  <c r="L63" i="6"/>
  <c r="B24" i="11"/>
  <c r="H24" i="11" s="1"/>
  <c r="B20" i="11"/>
  <c r="H20" i="11" s="1"/>
  <c r="K31" i="6"/>
  <c r="G30" i="6"/>
  <c r="P394" i="16"/>
  <c r="P235" i="16"/>
  <c r="X7" i="23"/>
  <c r="AA7" i="23" s="1"/>
  <c r="H31" i="7"/>
  <c r="Q282" i="16"/>
  <c r="P310" i="16" s="1"/>
  <c r="Q211" i="16"/>
  <c r="M60" i="6"/>
  <c r="X19" i="23"/>
  <c r="AA19" i="23" s="1"/>
  <c r="P378" i="16"/>
  <c r="Q383" i="16"/>
  <c r="R383" i="16" s="1"/>
  <c r="Q382" i="16"/>
  <c r="Q22" i="16"/>
  <c r="P230" i="16"/>
  <c r="F6" i="11"/>
  <c r="Y13" i="23"/>
  <c r="G29" i="6"/>
  <c r="G14" i="6"/>
  <c r="Z271" i="16"/>
  <c r="AD297" i="16" s="1"/>
  <c r="V285" i="16"/>
  <c r="AB302" i="16" s="1"/>
  <c r="F12" i="11"/>
  <c r="O12" i="11" s="1"/>
  <c r="H63" i="6"/>
  <c r="F26" i="11"/>
  <c r="O26" i="11" s="1"/>
  <c r="AB282" i="16"/>
  <c r="C6" i="11"/>
  <c r="I6" i="11" s="1"/>
  <c r="P285" i="16"/>
  <c r="V302" i="16" s="1"/>
  <c r="C14" i="11"/>
  <c r="I14" i="11" s="1"/>
  <c r="Q9" i="23"/>
  <c r="T9" i="23" s="1"/>
  <c r="B9" i="23"/>
  <c r="P351" i="16"/>
  <c r="B6" i="23"/>
  <c r="M59" i="6"/>
  <c r="M41" i="6"/>
  <c r="L31" i="6"/>
  <c r="D16" i="6"/>
  <c r="G54" i="7"/>
  <c r="G41" i="7"/>
  <c r="F31" i="7"/>
  <c r="F13" i="11"/>
  <c r="O13" i="11" s="1"/>
  <c r="O39" i="8"/>
  <c r="O19" i="8"/>
  <c r="T265" i="16"/>
  <c r="AB272" i="16"/>
  <c r="C9" i="11"/>
  <c r="I9" i="11" s="1"/>
  <c r="C11" i="23"/>
  <c r="I11" i="23" s="1"/>
  <c r="B6" i="11"/>
  <c r="H6" i="11" s="1"/>
  <c r="J61" i="4"/>
  <c r="G60" i="4"/>
  <c r="P60" i="4"/>
  <c r="G61" i="4"/>
  <c r="G62" i="4"/>
  <c r="P62" i="4"/>
  <c r="AC287" i="16"/>
  <c r="P238" i="16"/>
  <c r="Q233" i="16"/>
  <c r="B30" i="11"/>
  <c r="H30" i="11" s="1"/>
  <c r="Q8" i="11"/>
  <c r="Y12" i="23"/>
  <c r="M30" i="6"/>
  <c r="AL361" i="16"/>
  <c r="AO361" i="16" s="1"/>
  <c r="Y19" i="23"/>
  <c r="K34" i="6"/>
  <c r="F24" i="8" s="1"/>
  <c r="Q212" i="16"/>
  <c r="Y25" i="23"/>
  <c r="AB261" i="16"/>
  <c r="Y283" i="16"/>
  <c r="AA283" i="16" s="1"/>
  <c r="I15" i="12"/>
  <c r="J15" i="12" s="1"/>
  <c r="R6" i="11"/>
  <c r="Q182" i="16"/>
  <c r="AK363" i="16"/>
  <c r="AN363" i="16" s="1"/>
  <c r="AB269" i="16"/>
  <c r="R7" i="23"/>
  <c r="P203" i="16"/>
  <c r="AC265" i="16"/>
  <c r="AK355" i="16"/>
  <c r="AN355" i="16" s="1"/>
  <c r="E13" i="11"/>
  <c r="R15" i="11"/>
  <c r="M60" i="4"/>
  <c r="AB285" i="16"/>
  <c r="AD285" i="16" s="1"/>
  <c r="N48" i="4"/>
  <c r="D61" i="4"/>
  <c r="E48" i="4"/>
  <c r="E25" i="9" s="1"/>
  <c r="K48" i="4"/>
  <c r="AE365" i="16"/>
  <c r="AH365" i="16" s="1"/>
  <c r="Y21" i="23"/>
  <c r="R23" i="11"/>
  <c r="R22" i="11"/>
  <c r="R19" i="23"/>
  <c r="C20" i="11"/>
  <c r="I20" i="11" s="1"/>
  <c r="R12" i="23"/>
  <c r="R11" i="23"/>
  <c r="L10" i="4"/>
  <c r="Y5" i="23" s="1"/>
  <c r="AK353" i="16"/>
  <c r="AN353" i="16" s="1"/>
  <c r="Y10" i="23"/>
  <c r="P385" i="16"/>
  <c r="AC270" i="16"/>
  <c r="C10" i="4"/>
  <c r="C5" i="9" s="1"/>
  <c r="I10" i="4"/>
  <c r="H22" i="4"/>
  <c r="Q11" i="9" s="1"/>
  <c r="K22" i="4"/>
  <c r="X24" i="23"/>
  <c r="AA24" i="23" s="1"/>
  <c r="C30" i="11"/>
  <c r="I30" i="11" s="1"/>
  <c r="M61" i="6"/>
  <c r="F63" i="6"/>
  <c r="M55" i="6"/>
  <c r="D18" i="6"/>
  <c r="G59" i="7"/>
  <c r="G43" i="7"/>
  <c r="M29" i="7"/>
  <c r="J7" i="6"/>
  <c r="B10" i="4"/>
  <c r="B5" i="9" s="1"/>
  <c r="H10" i="4"/>
  <c r="Q5" i="9" s="1"/>
  <c r="AF348" i="16" s="1"/>
  <c r="AI348" i="16" s="1"/>
  <c r="D60" i="4"/>
  <c r="J60" i="4"/>
  <c r="M61" i="4"/>
  <c r="D62" i="4"/>
  <c r="J62" i="4"/>
  <c r="C22" i="4"/>
  <c r="I22" i="4"/>
  <c r="R11" i="9" s="1"/>
  <c r="C48" i="4"/>
  <c r="F48" i="4"/>
  <c r="I48" i="4"/>
  <c r="L48" i="4"/>
  <c r="Y23" i="23" s="1"/>
  <c r="O48" i="4"/>
  <c r="P398" i="16" s="1"/>
  <c r="Z268" i="16"/>
  <c r="V323" i="16" s="1"/>
  <c r="Q224" i="16"/>
  <c r="E31" i="6"/>
  <c r="Y273" i="16"/>
  <c r="W327" i="16" s="1"/>
  <c r="AL355" i="16"/>
  <c r="I29" i="9"/>
  <c r="V369" i="16" s="1"/>
  <c r="R8" i="23"/>
  <c r="C7" i="23"/>
  <c r="I7" i="23" s="1"/>
  <c r="E34" i="6"/>
  <c r="AL360" i="16"/>
  <c r="AM360" i="16" s="1"/>
  <c r="C19" i="11"/>
  <c r="I19" i="11" s="1"/>
  <c r="J20" i="7"/>
  <c r="D56" i="7"/>
  <c r="P283" i="16"/>
  <c r="Q311" i="16" s="1"/>
  <c r="P182" i="16"/>
  <c r="Y24" i="23"/>
  <c r="P241" i="16"/>
  <c r="R241" i="16" s="1"/>
  <c r="Y7" i="23"/>
  <c r="X11" i="23"/>
  <c r="AA11" i="23" s="1"/>
  <c r="C23" i="11"/>
  <c r="I23" i="11" s="1"/>
  <c r="B13" i="23"/>
  <c r="B14" i="11"/>
  <c r="H14" i="11" s="1"/>
  <c r="C10" i="11"/>
  <c r="I10" i="11" s="1"/>
  <c r="Q31" i="11"/>
  <c r="Z288" i="16"/>
  <c r="V340" i="16" s="1"/>
  <c r="P212" i="16"/>
  <c r="Q165" i="16"/>
  <c r="Q195" i="16"/>
  <c r="AC266" i="16"/>
  <c r="X26" i="23"/>
  <c r="AA26" i="23" s="1"/>
  <c r="AK369" i="16"/>
  <c r="AN369" i="16" s="1"/>
  <c r="C63" i="6"/>
  <c r="C63" i="7"/>
  <c r="D62" i="7"/>
  <c r="I63" i="7"/>
  <c r="D50" i="7"/>
  <c r="K63" i="6"/>
  <c r="L63" i="7"/>
  <c r="L34" i="7"/>
  <c r="E33" i="8" s="1"/>
  <c r="B66" i="7"/>
  <c r="Q151" i="16" s="1"/>
  <c r="H34" i="7"/>
  <c r="E38" i="20" s="1"/>
  <c r="I34" i="7"/>
  <c r="E26" i="8" s="1"/>
  <c r="H34" i="6"/>
  <c r="F21" i="8" s="1"/>
  <c r="F20" i="23"/>
  <c r="O20" i="23" s="1"/>
  <c r="F9" i="23"/>
  <c r="O9" i="23" s="1"/>
  <c r="AL372" i="16"/>
  <c r="Q230" i="16"/>
  <c r="Z266" i="16"/>
  <c r="V321" i="16" s="1"/>
  <c r="H66" i="6"/>
  <c r="B6" i="4"/>
  <c r="Y26" i="23"/>
  <c r="Z26" i="23" s="1"/>
  <c r="K66" i="7"/>
  <c r="F36" i="8" s="1"/>
  <c r="Z286" i="16"/>
  <c r="V338" i="16" s="1"/>
  <c r="B23" i="11"/>
  <c r="H23" i="11" s="1"/>
  <c r="H63" i="7"/>
  <c r="Q283" i="16"/>
  <c r="P311" i="16" s="1"/>
  <c r="Y15" i="23"/>
  <c r="F16" i="11"/>
  <c r="O16" i="11" s="1"/>
  <c r="P190" i="16"/>
  <c r="P227" i="16"/>
  <c r="Q218" i="16"/>
  <c r="C7" i="11"/>
  <c r="I7" i="11" s="1"/>
  <c r="Y303" i="16"/>
  <c r="Z303" i="16" s="1"/>
  <c r="E66" i="6"/>
  <c r="F23" i="8" s="1"/>
  <c r="B31" i="7"/>
  <c r="D31" i="7" s="1"/>
  <c r="S269" i="16"/>
  <c r="Q324" i="16" s="1"/>
  <c r="S267" i="16"/>
  <c r="Q322" i="16" s="1"/>
  <c r="R7" i="11"/>
  <c r="C15" i="23"/>
  <c r="I15" i="23" s="1"/>
  <c r="AB277" i="16"/>
  <c r="AD277" i="16" s="1"/>
  <c r="P242" i="16"/>
  <c r="R242" i="16" s="1"/>
  <c r="AE299" i="16"/>
  <c r="AF299" i="16" s="1"/>
  <c r="W269" i="16"/>
  <c r="S324" i="16" s="1"/>
  <c r="Z287" i="16"/>
  <c r="V339" i="16" s="1"/>
  <c r="P236" i="16"/>
  <c r="F17" i="11"/>
  <c r="O17" i="11" s="1"/>
  <c r="S262" i="16"/>
  <c r="D54" i="7"/>
  <c r="J23" i="7"/>
  <c r="S265" i="16"/>
  <c r="Y296" i="16" s="1"/>
  <c r="M56" i="6"/>
  <c r="M51" i="6"/>
  <c r="M45" i="6"/>
  <c r="M44" i="6"/>
  <c r="M43" i="6"/>
  <c r="G43" i="6"/>
  <c r="M40" i="6"/>
  <c r="D30" i="6"/>
  <c r="B31" i="6"/>
  <c r="D25" i="6"/>
  <c r="D24" i="6"/>
  <c r="D11" i="6"/>
  <c r="D9" i="6"/>
  <c r="D7" i="6"/>
  <c r="G52" i="7"/>
  <c r="G50" i="7"/>
  <c r="G49" i="7"/>
  <c r="G48" i="7"/>
  <c r="G44" i="7"/>
  <c r="M41" i="7"/>
  <c r="M9" i="7"/>
  <c r="M13" i="6"/>
  <c r="G21" i="6"/>
  <c r="M18" i="6"/>
  <c r="K6" i="4"/>
  <c r="C31" i="6"/>
  <c r="Y267" i="16"/>
  <c r="W322" i="16" s="1"/>
  <c r="Y263" i="16"/>
  <c r="Y266" i="16"/>
  <c r="W321" i="16" s="1"/>
  <c r="F34" i="6"/>
  <c r="Y16" i="23"/>
  <c r="Y8" i="23"/>
  <c r="X25" i="23"/>
  <c r="AA25" i="23" s="1"/>
  <c r="P183" i="16"/>
  <c r="Q381" i="16"/>
  <c r="R381" i="16" s="1"/>
  <c r="R14" i="11"/>
  <c r="P164" i="16"/>
  <c r="Q196" i="16"/>
  <c r="Q269" i="16"/>
  <c r="P299" i="16" s="1"/>
  <c r="Q24" i="11"/>
  <c r="Q9" i="11"/>
  <c r="Q167" i="16"/>
  <c r="R21" i="11"/>
  <c r="G50" i="6"/>
  <c r="M52" i="7"/>
  <c r="M23" i="7"/>
  <c r="D23" i="7"/>
  <c r="G18" i="7"/>
  <c r="D18" i="7"/>
  <c r="J7" i="7"/>
  <c r="G13" i="6"/>
  <c r="G27" i="6"/>
  <c r="D50" i="6"/>
  <c r="O35" i="8"/>
  <c r="O31" i="8"/>
  <c r="O17" i="8"/>
  <c r="O13" i="8"/>
  <c r="G24" i="6"/>
  <c r="D57" i="6"/>
  <c r="M26" i="6"/>
  <c r="D59" i="7"/>
  <c r="B63" i="6"/>
  <c r="D63" i="6" s="1"/>
  <c r="I31" i="6"/>
  <c r="I31" i="7"/>
  <c r="S271" i="16"/>
  <c r="J12" i="6"/>
  <c r="I66" i="7"/>
  <c r="E35" i="8" s="1"/>
  <c r="F63" i="7"/>
  <c r="Q21" i="11"/>
  <c r="B10" i="11"/>
  <c r="H10" i="11" s="1"/>
  <c r="D54" i="6"/>
  <c r="F6" i="4"/>
  <c r="D39" i="7"/>
  <c r="D48" i="7"/>
  <c r="Y299" i="16"/>
  <c r="Z299" i="16" s="1"/>
  <c r="E6" i="4"/>
  <c r="AL364" i="16"/>
  <c r="AO364" i="16" s="1"/>
  <c r="P211" i="16"/>
  <c r="AC288" i="16"/>
  <c r="AC269" i="16"/>
  <c r="E29" i="11"/>
  <c r="N29" i="11" s="1"/>
  <c r="V279" i="16"/>
  <c r="T332" i="16" s="1"/>
  <c r="E19" i="11"/>
  <c r="N19" i="11" s="1"/>
  <c r="AC279" i="16"/>
  <c r="F27" i="11"/>
  <c r="O27" i="11" s="1"/>
  <c r="W278" i="16"/>
  <c r="AA300" i="16" s="1"/>
  <c r="E17" i="23"/>
  <c r="C32" i="11"/>
  <c r="I32" i="11" s="1"/>
  <c r="C28" i="11"/>
  <c r="I28" i="11" s="1"/>
  <c r="U15" i="9"/>
  <c r="R24" i="23"/>
  <c r="B63" i="7"/>
  <c r="F29" i="11"/>
  <c r="O29" i="11" s="1"/>
  <c r="P184" i="16"/>
  <c r="P288" i="16"/>
  <c r="Q315" i="16" s="1"/>
  <c r="Q240" i="16"/>
  <c r="AK367" i="16"/>
  <c r="AN367" i="16" s="1"/>
  <c r="P207" i="16"/>
  <c r="V281" i="16"/>
  <c r="T334" i="16" s="1"/>
  <c r="Q178" i="16"/>
  <c r="AB280" i="16"/>
  <c r="AD280" i="16" s="1"/>
  <c r="Q394" i="16"/>
  <c r="C19" i="23"/>
  <c r="I19" i="23" s="1"/>
  <c r="P177" i="16"/>
  <c r="P279" i="16"/>
  <c r="Q307" i="16" s="1"/>
  <c r="P176" i="16"/>
  <c r="Q392" i="16"/>
  <c r="P233" i="16"/>
  <c r="Y17" i="23"/>
  <c r="C17" i="23"/>
  <c r="I17" i="23" s="1"/>
  <c r="P278" i="16"/>
  <c r="V300" i="16" s="1"/>
  <c r="P175" i="16"/>
  <c r="Q19" i="16"/>
  <c r="C16" i="11"/>
  <c r="I16" i="11" s="1"/>
  <c r="P397" i="16"/>
  <c r="W263" i="16"/>
  <c r="Q378" i="16"/>
  <c r="Q24" i="23"/>
  <c r="T24" i="23" s="1"/>
  <c r="F19" i="11"/>
  <c r="Q238" i="16"/>
  <c r="AK365" i="16"/>
  <c r="Q209" i="16"/>
  <c r="W283" i="16"/>
  <c r="S336" i="16" s="1"/>
  <c r="P237" i="16"/>
  <c r="Y282" i="16"/>
  <c r="W335" i="16" s="1"/>
  <c r="X335" i="16" s="1"/>
  <c r="P179" i="16"/>
  <c r="C21" i="23"/>
  <c r="I21" i="23" s="1"/>
  <c r="AK359" i="16"/>
  <c r="AN359" i="16" s="1"/>
  <c r="Z277" i="16"/>
  <c r="V331" i="16" s="1"/>
  <c r="Q201" i="16"/>
  <c r="P388" i="16"/>
  <c r="AC274" i="16"/>
  <c r="Q200" i="16"/>
  <c r="C15" i="11"/>
  <c r="I15" i="11" s="1"/>
  <c r="C13" i="23"/>
  <c r="I13" i="23" s="1"/>
  <c r="AB273" i="16"/>
  <c r="AD273" i="16" s="1"/>
  <c r="Q387" i="16"/>
  <c r="Q199" i="16"/>
  <c r="W273" i="16"/>
  <c r="S327" i="16" s="1"/>
  <c r="Q273" i="16"/>
  <c r="P302" i="16" s="1"/>
  <c r="Q170" i="16"/>
  <c r="P355" i="16"/>
  <c r="Y298" i="16"/>
  <c r="Z298" i="16" s="1"/>
  <c r="P386" i="16"/>
  <c r="AC272" i="16"/>
  <c r="P198" i="16"/>
  <c r="C13" i="11"/>
  <c r="I13" i="11" s="1"/>
  <c r="P167" i="16"/>
  <c r="C9" i="23"/>
  <c r="I9" i="23" s="1"/>
  <c r="P195" i="16"/>
  <c r="T268" i="16"/>
  <c r="S351" i="16"/>
  <c r="E9" i="11"/>
  <c r="N9" i="11" s="1"/>
  <c r="Q166" i="16"/>
  <c r="Q268" i="16"/>
  <c r="P298" i="16" s="1"/>
  <c r="P382" i="16"/>
  <c r="AC267" i="16"/>
  <c r="C8" i="11"/>
  <c r="I8" i="11" s="1"/>
  <c r="P165" i="16"/>
  <c r="P267" i="16"/>
  <c r="Q297" i="16" s="1"/>
  <c r="Q193" i="16"/>
  <c r="Q7" i="11"/>
  <c r="Q164" i="16"/>
  <c r="Q266" i="16"/>
  <c r="P296" i="16" s="1"/>
  <c r="I7" i="9"/>
  <c r="V349" i="16" s="1"/>
  <c r="AC263" i="16"/>
  <c r="P379" i="16"/>
  <c r="S371" i="16"/>
  <c r="T262" i="16"/>
  <c r="Q262" i="16"/>
  <c r="C6" i="4"/>
  <c r="C30" i="9" s="1"/>
  <c r="I30" i="9" s="1"/>
  <c r="AC261" i="16"/>
  <c r="P377" i="16"/>
  <c r="W261" i="16"/>
  <c r="Q189" i="16"/>
  <c r="P23" i="16"/>
  <c r="I15" i="10"/>
  <c r="Q30" i="11"/>
  <c r="E30" i="11"/>
  <c r="N30" i="11" s="1"/>
  <c r="U13" i="9"/>
  <c r="P380" i="16"/>
  <c r="E6" i="23"/>
  <c r="C6" i="23"/>
  <c r="U6" i="23"/>
  <c r="Q12" i="23"/>
  <c r="T12" i="23" s="1"/>
  <c r="B12" i="23"/>
  <c r="X12" i="23"/>
  <c r="AA12" i="23" s="1"/>
  <c r="E18" i="23"/>
  <c r="Y18" i="23"/>
  <c r="X18" i="23"/>
  <c r="AA18" i="23" s="1"/>
  <c r="R20" i="23"/>
  <c r="Y20" i="23"/>
  <c r="Q22" i="23"/>
  <c r="T22" i="23" s="1"/>
  <c r="B22" i="23"/>
  <c r="K66" i="6"/>
  <c r="C34" i="6"/>
  <c r="L66" i="7"/>
  <c r="E36" i="8" s="1"/>
  <c r="F34" i="7"/>
  <c r="E27" i="8" s="1"/>
  <c r="F23" i="11"/>
  <c r="C17" i="11"/>
  <c r="I17" i="11" s="1"/>
  <c r="D58" i="7"/>
  <c r="D61" i="7"/>
  <c r="S281" i="16"/>
  <c r="E14" i="11"/>
  <c r="N14" i="11" s="1"/>
  <c r="AL356" i="16"/>
  <c r="AO356" i="16" s="1"/>
  <c r="AP356" i="16" s="1"/>
  <c r="T272" i="16"/>
  <c r="P326" i="16" s="1"/>
  <c r="X14" i="23"/>
  <c r="AA14" i="23" s="1"/>
  <c r="B26" i="23"/>
  <c r="G57" i="6"/>
  <c r="C27" i="11"/>
  <c r="P41" i="16"/>
  <c r="Q41" i="16"/>
  <c r="E66" i="7"/>
  <c r="F34" i="8" s="1"/>
  <c r="AL363" i="16"/>
  <c r="AO363" i="16" s="1"/>
  <c r="Q231" i="16"/>
  <c r="Z276" i="16"/>
  <c r="V330" i="16" s="1"/>
  <c r="V288" i="16"/>
  <c r="T340" i="16" s="1"/>
  <c r="F21" i="23"/>
  <c r="W276" i="16"/>
  <c r="S330" i="16" s="1"/>
  <c r="Q14" i="11"/>
  <c r="P160" i="16"/>
  <c r="P272" i="16"/>
  <c r="Q301" i="16" s="1"/>
  <c r="R301" i="16" s="1"/>
  <c r="Q13" i="23"/>
  <c r="T13" i="23" s="1"/>
  <c r="E23" i="11"/>
  <c r="N23" i="11" s="1"/>
  <c r="R17" i="11"/>
  <c r="Q13" i="11"/>
  <c r="O8" i="9"/>
  <c r="AB350" i="16" s="1"/>
  <c r="E32" i="11"/>
  <c r="N32" i="11" s="1"/>
  <c r="F7" i="11"/>
  <c r="O37" i="8"/>
  <c r="O36" i="8"/>
  <c r="O33" i="8"/>
  <c r="O32" i="8"/>
  <c r="O30" i="8"/>
  <c r="O29" i="8"/>
  <c r="O16" i="8"/>
  <c r="O14" i="8"/>
  <c r="O11" i="8"/>
  <c r="O9" i="8"/>
  <c r="O8" i="8"/>
  <c r="D55" i="7"/>
  <c r="F14" i="11"/>
  <c r="O14" i="11" s="1"/>
  <c r="D38" i="7"/>
  <c r="E13" i="23"/>
  <c r="F8" i="11"/>
  <c r="O13" i="9"/>
  <c r="AB354" i="16" s="1"/>
  <c r="F18" i="11"/>
  <c r="O18" i="11" s="1"/>
  <c r="G45" i="6"/>
  <c r="B34" i="6"/>
  <c r="K31" i="7"/>
  <c r="M13" i="7"/>
  <c r="C34" i="7"/>
  <c r="E25" i="8" s="1"/>
  <c r="J10" i="6"/>
  <c r="M15" i="6"/>
  <c r="J25" i="6"/>
  <c r="U299" i="16"/>
  <c r="W299" i="16" s="1"/>
  <c r="U303" i="16"/>
  <c r="W303" i="16" s="1"/>
  <c r="AA299" i="16"/>
  <c r="AK368" i="16"/>
  <c r="AN368" i="16" s="1"/>
  <c r="Q28" i="11"/>
  <c r="X22" i="23"/>
  <c r="AA22" i="23" s="1"/>
  <c r="Z273" i="16"/>
  <c r="V327" i="16" s="1"/>
  <c r="AB276" i="16"/>
  <c r="R20" i="11"/>
  <c r="P206" i="16"/>
  <c r="P274" i="16"/>
  <c r="Q303" i="16" s="1"/>
  <c r="AK352" i="16"/>
  <c r="AN352" i="16" s="1"/>
  <c r="B28" i="11"/>
  <c r="H28" i="11" s="1"/>
  <c r="Q395" i="16"/>
  <c r="R395" i="16" s="1"/>
  <c r="P276" i="16"/>
  <c r="Q305" i="16" s="1"/>
  <c r="E22" i="23"/>
  <c r="Q25" i="23"/>
  <c r="T25" i="23" s="1"/>
  <c r="Z269" i="16"/>
  <c r="V324" i="16" s="1"/>
  <c r="Q10" i="11"/>
  <c r="Q32" i="11"/>
  <c r="Q35" i="16"/>
  <c r="Q7" i="23"/>
  <c r="T7" i="23" s="1"/>
  <c r="R16" i="23"/>
  <c r="E12" i="23"/>
  <c r="Q19" i="11"/>
  <c r="Q17" i="11"/>
  <c r="B21" i="11"/>
  <c r="H21" i="11" s="1"/>
  <c r="F30" i="11"/>
  <c r="Q279" i="16"/>
  <c r="P307" i="16" s="1"/>
  <c r="AK358" i="16"/>
  <c r="AN358" i="16" s="1"/>
  <c r="B19" i="11"/>
  <c r="H19" i="11" s="1"/>
  <c r="D15" i="12"/>
  <c r="F15" i="12" s="1"/>
  <c r="V282" i="16"/>
  <c r="T335" i="16" s="1"/>
  <c r="B18" i="23"/>
  <c r="R21" i="23"/>
  <c r="Q175" i="16"/>
  <c r="W274" i="16"/>
  <c r="S328" i="16" s="1"/>
  <c r="R13" i="11"/>
  <c r="P392" i="16"/>
  <c r="B17" i="23"/>
  <c r="Q17" i="23"/>
  <c r="T17" i="23" s="1"/>
  <c r="Q281" i="16"/>
  <c r="P309" i="16" s="1"/>
  <c r="P263" i="16"/>
  <c r="B25" i="23"/>
  <c r="Q15" i="23"/>
  <c r="T15" i="23" s="1"/>
  <c r="W275" i="16"/>
  <c r="S329" i="16" s="1"/>
  <c r="P282" i="16"/>
  <c r="Q310" i="16" s="1"/>
  <c r="Q15" i="11"/>
  <c r="P208" i="16"/>
  <c r="P261" i="16"/>
  <c r="M62" i="6"/>
  <c r="M47" i="6"/>
  <c r="G42" i="6"/>
  <c r="F31" i="6"/>
  <c r="D27" i="6"/>
  <c r="G42" i="7"/>
  <c r="M20" i="7"/>
  <c r="J24" i="6"/>
  <c r="J26" i="6"/>
  <c r="J28" i="6"/>
  <c r="M8" i="6"/>
  <c r="J26" i="7"/>
  <c r="G18" i="6"/>
  <c r="AL350" i="16"/>
  <c r="AO350" i="16" s="1"/>
  <c r="AL370" i="16"/>
  <c r="AO370" i="16" s="1"/>
  <c r="Y261" i="16"/>
  <c r="AA261" i="16" s="1"/>
  <c r="P218" i="16"/>
  <c r="P220" i="16"/>
  <c r="R220" i="16" s="1"/>
  <c r="AL371" i="16"/>
  <c r="AM371" i="16" s="1"/>
  <c r="AK357" i="16"/>
  <c r="AN357" i="16" s="1"/>
  <c r="AL362" i="16"/>
  <c r="AM362" i="16" s="1"/>
  <c r="Q222" i="16"/>
  <c r="L6" i="4"/>
  <c r="L56" i="4" s="1"/>
  <c r="P225" i="16"/>
  <c r="R225" i="16" s="1"/>
  <c r="Y9" i="23"/>
  <c r="P224" i="16"/>
  <c r="AL351" i="16"/>
  <c r="AM351" i="16" s="1"/>
  <c r="Y11" i="23"/>
  <c r="Y272" i="16"/>
  <c r="AE298" i="16" s="1"/>
  <c r="L66" i="6"/>
  <c r="V283" i="16"/>
  <c r="W282" i="16"/>
  <c r="S335" i="16" s="1"/>
  <c r="Q23" i="11"/>
  <c r="Q208" i="16"/>
  <c r="W272" i="16"/>
  <c r="S326" i="16" s="1"/>
  <c r="Q29" i="11"/>
  <c r="AC286" i="16"/>
  <c r="AC268" i="16"/>
  <c r="B13" i="11"/>
  <c r="Q389" i="16"/>
  <c r="W288" i="16"/>
  <c r="S340" i="16" s="1"/>
  <c r="E26" i="23"/>
  <c r="K63" i="7"/>
  <c r="W262" i="16"/>
  <c r="C16" i="23"/>
  <c r="V334" i="16"/>
  <c r="N6" i="4"/>
  <c r="P24" i="16"/>
  <c r="M58" i="6"/>
  <c r="M57" i="6"/>
  <c r="G56" i="6"/>
  <c r="G55" i="6"/>
  <c r="M54" i="6"/>
  <c r="G54" i="6"/>
  <c r="M52" i="6"/>
  <c r="M48" i="6"/>
  <c r="G47" i="6"/>
  <c r="M46" i="6"/>
  <c r="M42" i="6"/>
  <c r="M39" i="6"/>
  <c r="M38" i="6"/>
  <c r="D29" i="6"/>
  <c r="D28" i="6"/>
  <c r="D22" i="6"/>
  <c r="D21" i="6"/>
  <c r="D19" i="6"/>
  <c r="D15" i="6"/>
  <c r="D13" i="6"/>
  <c r="D8" i="6"/>
  <c r="G61" i="7"/>
  <c r="G57" i="7"/>
  <c r="G56" i="7"/>
  <c r="G55" i="7"/>
  <c r="G53" i="7"/>
  <c r="M49" i="7"/>
  <c r="M46" i="7"/>
  <c r="M43" i="7"/>
  <c r="G40" i="7"/>
  <c r="G38" i="7"/>
  <c r="M30" i="7"/>
  <c r="M25" i="7"/>
  <c r="D24" i="7"/>
  <c r="M18" i="7"/>
  <c r="M16" i="7"/>
  <c r="M15" i="7"/>
  <c r="M12" i="7"/>
  <c r="M11" i="7"/>
  <c r="D9" i="7"/>
  <c r="D7" i="7"/>
  <c r="C66" i="6"/>
  <c r="B66" i="6"/>
  <c r="F22" i="8" s="1"/>
  <c r="J6" i="6"/>
  <c r="J6" i="7"/>
  <c r="M7" i="6"/>
  <c r="J8" i="7"/>
  <c r="J43" i="6"/>
  <c r="J11" i="6"/>
  <c r="J13" i="7"/>
  <c r="D46" i="7"/>
  <c r="J15" i="6"/>
  <c r="G8" i="6"/>
  <c r="Q236" i="16"/>
  <c r="Q18" i="11"/>
  <c r="Y277" i="16"/>
  <c r="Y279" i="16"/>
  <c r="W332" i="16" s="1"/>
  <c r="Z263" i="16"/>
  <c r="Y287" i="16"/>
  <c r="W339" i="16" s="1"/>
  <c r="F66" i="6"/>
  <c r="E23" i="8" s="1"/>
  <c r="E63" i="7"/>
  <c r="K34" i="7"/>
  <c r="F33" i="8" s="1"/>
  <c r="F6" i="23"/>
  <c r="O6" i="23" s="1"/>
  <c r="H66" i="7"/>
  <c r="F35" i="8" s="1"/>
  <c r="W279" i="16"/>
  <c r="S332" i="16" s="1"/>
  <c r="R25" i="23"/>
  <c r="AL349" i="16"/>
  <c r="AO349" i="16" s="1"/>
  <c r="AP349" i="16" s="1"/>
  <c r="S266" i="16"/>
  <c r="Z272" i="16"/>
  <c r="Z270" i="16"/>
  <c r="B27" i="11"/>
  <c r="Q288" i="16"/>
  <c r="P315" i="16" s="1"/>
  <c r="E31" i="7"/>
  <c r="G31" i="7" s="1"/>
  <c r="I34" i="6"/>
  <c r="Q184" i="16"/>
  <c r="T267" i="16"/>
  <c r="P322" i="16" s="1"/>
  <c r="E7" i="11"/>
  <c r="N7" i="11" s="1"/>
  <c r="AK354" i="16"/>
  <c r="AN354" i="16" s="1"/>
  <c r="E27" i="11"/>
  <c r="AC282" i="16"/>
  <c r="P387" i="16"/>
  <c r="Q237" i="16"/>
  <c r="V278" i="16"/>
  <c r="S275" i="16"/>
  <c r="R19" i="11"/>
  <c r="P174" i="16"/>
  <c r="V275" i="16"/>
  <c r="L34" i="6"/>
  <c r="D37" i="20" s="1"/>
  <c r="Q227" i="16"/>
  <c r="Q198" i="16"/>
  <c r="P281" i="16"/>
  <c r="E24" i="23"/>
  <c r="B8" i="11"/>
  <c r="T261" i="16"/>
  <c r="C18" i="11"/>
  <c r="B21" i="23"/>
  <c r="P200" i="16"/>
  <c r="B11" i="23"/>
  <c r="F28" i="11"/>
  <c r="O28" i="11" s="1"/>
  <c r="S278" i="16"/>
  <c r="C21" i="11"/>
  <c r="R28" i="11"/>
  <c r="G28" i="6"/>
  <c r="G9" i="6"/>
  <c r="Q229" i="16"/>
  <c r="Q235" i="16"/>
  <c r="Q20" i="23"/>
  <c r="H31" i="6"/>
  <c r="M58" i="7"/>
  <c r="AL352" i="16"/>
  <c r="AO352" i="16" s="1"/>
  <c r="F11" i="23"/>
  <c r="O11" i="23" s="1"/>
  <c r="Q8" i="19"/>
  <c r="Q29" i="19"/>
  <c r="Q172" i="16"/>
  <c r="Q203" i="16"/>
  <c r="J16" i="6"/>
  <c r="Q207" i="16"/>
  <c r="W280" i="16"/>
  <c r="S333" i="16" s="1"/>
  <c r="AE303" i="16"/>
  <c r="AF303" i="16" s="1"/>
  <c r="Z280" i="16"/>
  <c r="F10" i="11"/>
  <c r="E10" i="11"/>
  <c r="F24" i="11"/>
  <c r="O24" i="11" s="1"/>
  <c r="C25" i="23"/>
  <c r="I25" i="23" s="1"/>
  <c r="C22" i="23"/>
  <c r="I22" i="23" s="1"/>
  <c r="B29" i="11"/>
  <c r="H29" i="11" s="1"/>
  <c r="Q27" i="11"/>
  <c r="E20" i="11"/>
  <c r="T6" i="23"/>
  <c r="R22" i="23"/>
  <c r="J25" i="7"/>
  <c r="S357" i="16"/>
  <c r="AB303" i="16"/>
  <c r="AC303" i="16" s="1"/>
  <c r="Q400" i="16"/>
  <c r="R400" i="16" s="1"/>
  <c r="Q397" i="16"/>
  <c r="F22" i="23"/>
  <c r="F25" i="23"/>
  <c r="O25" i="23" s="1"/>
  <c r="Q19" i="23"/>
  <c r="AC281" i="16"/>
  <c r="E21" i="23"/>
  <c r="Q393" i="16"/>
  <c r="R393" i="16" s="1"/>
  <c r="AK361" i="16"/>
  <c r="AN361" i="16" s="1"/>
  <c r="Z279" i="16"/>
  <c r="V332" i="16" s="1"/>
  <c r="E15" i="12"/>
  <c r="G15" i="12" s="1"/>
  <c r="V276" i="16"/>
  <c r="T330" i="16" s="1"/>
  <c r="R15" i="23"/>
  <c r="T276" i="16"/>
  <c r="P330" i="16" s="1"/>
  <c r="E17" i="11"/>
  <c r="B17" i="11"/>
  <c r="H17" i="11" s="1"/>
  <c r="B15" i="23"/>
  <c r="F13" i="23"/>
  <c r="F15" i="11"/>
  <c r="O15" i="11" s="1"/>
  <c r="Q274" i="16"/>
  <c r="P303" i="16" s="1"/>
  <c r="B15" i="11"/>
  <c r="P199" i="16"/>
  <c r="V273" i="16"/>
  <c r="T327" i="16" s="1"/>
  <c r="V269" i="16"/>
  <c r="R10" i="11"/>
  <c r="P166" i="16"/>
  <c r="V267" i="16"/>
  <c r="E8" i="11"/>
  <c r="N8" i="11" s="1"/>
  <c r="P191" i="16"/>
  <c r="V263" i="16"/>
  <c r="R32" i="11"/>
  <c r="Q162" i="16"/>
  <c r="B32" i="11"/>
  <c r="H32" i="11" s="1"/>
  <c r="P262" i="16"/>
  <c r="P189" i="16"/>
  <c r="V261" i="16"/>
  <c r="H6" i="4"/>
  <c r="I1" i="10"/>
  <c r="Q20" i="16"/>
  <c r="I3" i="10"/>
  <c r="P19" i="16"/>
  <c r="R29" i="19"/>
  <c r="P38" i="16"/>
  <c r="R31" i="11"/>
  <c r="B31" i="11"/>
  <c r="H31" i="11" s="1"/>
  <c r="R24" i="11"/>
  <c r="C24" i="11"/>
  <c r="E22" i="11"/>
  <c r="Q22" i="11"/>
  <c r="B22" i="11"/>
  <c r="H22" i="11" s="1"/>
  <c r="B18" i="11"/>
  <c r="R18" i="11"/>
  <c r="Q16" i="11"/>
  <c r="B16" i="11"/>
  <c r="H16" i="11" s="1"/>
  <c r="E16" i="11"/>
  <c r="R9" i="11"/>
  <c r="F9" i="11"/>
  <c r="AE357" i="16"/>
  <c r="AH357" i="16" s="1"/>
  <c r="R4" i="23"/>
  <c r="F4" i="23"/>
  <c r="L4" i="23"/>
  <c r="E8" i="23"/>
  <c r="B8" i="23"/>
  <c r="C12" i="23"/>
  <c r="I12" i="23" s="1"/>
  <c r="F12" i="23"/>
  <c r="Q14" i="23"/>
  <c r="T14" i="23" s="1"/>
  <c r="B14" i="23"/>
  <c r="C14" i="23"/>
  <c r="F14" i="23"/>
  <c r="O14" i="23" s="1"/>
  <c r="R14" i="23"/>
  <c r="X16" i="23"/>
  <c r="AA16" i="23" s="1"/>
  <c r="E16" i="23"/>
  <c r="B16" i="23"/>
  <c r="C18" i="23"/>
  <c r="Q18" i="23"/>
  <c r="T18" i="23" s="1"/>
  <c r="F18" i="23"/>
  <c r="R18" i="23"/>
  <c r="B20" i="23"/>
  <c r="E20" i="23"/>
  <c r="C20" i="23"/>
  <c r="I20" i="23" s="1"/>
  <c r="F24" i="23"/>
  <c r="C24" i="23"/>
  <c r="I24" i="23" s="1"/>
  <c r="B24" i="23"/>
  <c r="R26" i="23"/>
  <c r="Q26" i="23"/>
  <c r="T26" i="23" s="1"/>
  <c r="T274" i="16"/>
  <c r="P328" i="16" s="1"/>
  <c r="P231" i="16"/>
  <c r="F21" i="11"/>
  <c r="F19" i="23"/>
  <c r="S263" i="16"/>
  <c r="F32" i="11"/>
  <c r="AB271" i="16"/>
  <c r="AB301" i="16"/>
  <c r="AC301" i="16" s="1"/>
  <c r="Q24" i="16"/>
  <c r="C31" i="7"/>
  <c r="L31" i="7"/>
  <c r="I66" i="6"/>
  <c r="Q401" i="16"/>
  <c r="R401" i="16" s="1"/>
  <c r="AB288" i="16"/>
  <c r="Y288" i="16"/>
  <c r="W340" i="16" s="1"/>
  <c r="E28" i="11"/>
  <c r="E25" i="23"/>
  <c r="AB286" i="16"/>
  <c r="Q399" i="16"/>
  <c r="R399" i="16" s="1"/>
  <c r="AL367" i="16"/>
  <c r="AO367" i="16" s="1"/>
  <c r="P240" i="16"/>
  <c r="V280" i="16"/>
  <c r="T280" i="16"/>
  <c r="E19" i="23"/>
  <c r="E21" i="11"/>
  <c r="Q177" i="16"/>
  <c r="B19" i="23"/>
  <c r="P391" i="16"/>
  <c r="Q277" i="16"/>
  <c r="Q174" i="16"/>
  <c r="AC275" i="16"/>
  <c r="P389" i="16"/>
  <c r="P172" i="16"/>
  <c r="P204" i="16"/>
  <c r="AB279" i="16"/>
  <c r="B7" i="23"/>
  <c r="Q8" i="23"/>
  <c r="T8" i="23" s="1"/>
  <c r="R13" i="23"/>
  <c r="S13" i="23" s="1"/>
  <c r="R17" i="23"/>
  <c r="T263" i="16"/>
  <c r="Q388" i="16"/>
  <c r="Q11" i="23"/>
  <c r="T11" i="23" s="1"/>
  <c r="R30" i="11"/>
  <c r="F31" i="11"/>
  <c r="M28" i="7"/>
  <c r="C31" i="11"/>
  <c r="P196" i="16"/>
  <c r="C8" i="23"/>
  <c r="Q173" i="16"/>
  <c r="Q16" i="23"/>
  <c r="C26" i="23"/>
  <c r="I26" i="23" s="1"/>
  <c r="AC276" i="16"/>
  <c r="R9" i="23"/>
  <c r="R8" i="19"/>
  <c r="C29" i="11"/>
  <c r="F17" i="23"/>
  <c r="Q20" i="11"/>
  <c r="Q171" i="16"/>
  <c r="E7" i="23"/>
  <c r="O4" i="23"/>
  <c r="P161" i="16"/>
  <c r="R29" i="11"/>
  <c r="F26" i="23"/>
  <c r="R27" i="11"/>
  <c r="X6" i="23"/>
  <c r="AA6" i="23" s="1"/>
  <c r="Y6" i="23"/>
  <c r="X20" i="23"/>
  <c r="D52" i="7"/>
  <c r="AB298" i="16"/>
  <c r="AC298" i="16" s="1"/>
  <c r="R226" i="16"/>
  <c r="J24" i="7"/>
  <c r="AB372" i="16"/>
  <c r="AF301" i="16"/>
  <c r="U301" i="16"/>
  <c r="W301" i="16" s="1"/>
  <c r="AB299" i="16"/>
  <c r="AC299" i="16" s="1"/>
  <c r="R221" i="16"/>
  <c r="AK350" i="16"/>
  <c r="Z267" i="16"/>
  <c r="V322" i="16" s="1"/>
  <c r="X8" i="23"/>
  <c r="Z262" i="16"/>
  <c r="J50" i="7"/>
  <c r="J18" i="7"/>
  <c r="J50" i="6"/>
  <c r="G58" i="7"/>
  <c r="M50" i="7"/>
  <c r="G20" i="7"/>
  <c r="D20" i="7"/>
  <c r="D49" i="7"/>
  <c r="Z7" i="23" l="1"/>
  <c r="S22" i="23"/>
  <c r="P10" i="23"/>
  <c r="E58" i="4"/>
  <c r="V6" i="23"/>
  <c r="AB20" i="23"/>
  <c r="Z20" i="23"/>
  <c r="AB5" i="23"/>
  <c r="AB25" i="23"/>
  <c r="AC25" i="23" s="1"/>
  <c r="Z25" i="23"/>
  <c r="AB13" i="23"/>
  <c r="AC13" i="23" s="1"/>
  <c r="Z13" i="23"/>
  <c r="U18" i="23"/>
  <c r="V18" i="23" s="1"/>
  <c r="S18" i="23"/>
  <c r="P14" i="23"/>
  <c r="S15" i="23"/>
  <c r="S25" i="23"/>
  <c r="U20" i="23"/>
  <c r="S20" i="23"/>
  <c r="U24" i="23"/>
  <c r="V24" i="23" s="1"/>
  <c r="S24" i="23"/>
  <c r="AB16" i="23"/>
  <c r="AC16" i="23" s="1"/>
  <c r="Z16" i="23"/>
  <c r="U8" i="23"/>
  <c r="V8" i="23" s="1"/>
  <c r="S8" i="23"/>
  <c r="AB23" i="23"/>
  <c r="U11" i="23"/>
  <c r="V11" i="23" s="1"/>
  <c r="S11" i="23"/>
  <c r="AB22" i="23"/>
  <c r="AC22" i="23" s="1"/>
  <c r="Z22" i="23"/>
  <c r="U9" i="23"/>
  <c r="V9" i="23" s="1"/>
  <c r="S9" i="23"/>
  <c r="U14" i="23"/>
  <c r="V14" i="23" s="1"/>
  <c r="S14" i="23"/>
  <c r="AB8" i="23"/>
  <c r="AC8" i="23" s="1"/>
  <c r="Z8" i="23"/>
  <c r="AB24" i="23"/>
  <c r="AC24" i="23" s="1"/>
  <c r="Z24" i="23"/>
  <c r="U19" i="23"/>
  <c r="S19" i="23"/>
  <c r="U7" i="23"/>
  <c r="V7" i="23" s="1"/>
  <c r="S7" i="23"/>
  <c r="S17" i="23"/>
  <c r="U26" i="23"/>
  <c r="V26" i="23" s="1"/>
  <c r="S26" i="23"/>
  <c r="AB9" i="23"/>
  <c r="AC9" i="23" s="1"/>
  <c r="Z9" i="23"/>
  <c r="U21" i="23"/>
  <c r="V21" i="23" s="1"/>
  <c r="S21" i="23"/>
  <c r="U16" i="23"/>
  <c r="S16" i="23"/>
  <c r="AB10" i="23"/>
  <c r="U12" i="23"/>
  <c r="V12" i="23" s="1"/>
  <c r="S12" i="23"/>
  <c r="AB12" i="23"/>
  <c r="AC12" i="23" s="1"/>
  <c r="Z12" i="23"/>
  <c r="AB6" i="23"/>
  <c r="AC6" i="23" s="1"/>
  <c r="Z6" i="23"/>
  <c r="AB11" i="23"/>
  <c r="AC11" i="23" s="1"/>
  <c r="Z11" i="23"/>
  <c r="AB18" i="23"/>
  <c r="AC18" i="23" s="1"/>
  <c r="Z18" i="23"/>
  <c r="AB17" i="23"/>
  <c r="AC17" i="23" s="1"/>
  <c r="Z17" i="23"/>
  <c r="AB15" i="23"/>
  <c r="AC15" i="23" s="1"/>
  <c r="Z15" i="23"/>
  <c r="AB21" i="23"/>
  <c r="AC21" i="23" s="1"/>
  <c r="Z21" i="23"/>
  <c r="AB19" i="23"/>
  <c r="AC19" i="23" s="1"/>
  <c r="Z19" i="23"/>
  <c r="AC297" i="16"/>
  <c r="S12" i="9"/>
  <c r="V12" i="9"/>
  <c r="K58" i="4"/>
  <c r="Q30" i="9"/>
  <c r="T30" i="9" s="1"/>
  <c r="H58" i="4"/>
  <c r="E30" i="9"/>
  <c r="N30" i="9" s="1"/>
  <c r="B30" i="9"/>
  <c r="H30" i="9" s="1"/>
  <c r="J30" i="9" s="1"/>
  <c r="B58" i="4"/>
  <c r="R397" i="16"/>
  <c r="F30" i="9"/>
  <c r="O30" i="9" s="1"/>
  <c r="F58" i="4"/>
  <c r="F6" i="19" s="1"/>
  <c r="S26" i="9"/>
  <c r="V6" i="9"/>
  <c r="X265" i="16"/>
  <c r="D12" i="9"/>
  <c r="S6" i="9"/>
  <c r="W302" i="16"/>
  <c r="Z302" i="16"/>
  <c r="W296" i="16"/>
  <c r="P43" i="16"/>
  <c r="J26" i="9"/>
  <c r="J6" i="9"/>
  <c r="V284" i="16"/>
  <c r="T337" i="16" s="1"/>
  <c r="Q25" i="9"/>
  <c r="F25" i="11"/>
  <c r="F33" i="11" s="1"/>
  <c r="F25" i="9"/>
  <c r="G25" i="9" s="1"/>
  <c r="T270" i="16"/>
  <c r="P325" i="16" s="1"/>
  <c r="F11" i="9"/>
  <c r="O11" i="9" s="1"/>
  <c r="O6" i="9"/>
  <c r="P6" i="9" s="1"/>
  <c r="L6" i="9"/>
  <c r="M6" i="9" s="1"/>
  <c r="D6" i="9"/>
  <c r="V26" i="9"/>
  <c r="D26" i="9"/>
  <c r="C25" i="11"/>
  <c r="I25" i="11" s="1"/>
  <c r="C25" i="9"/>
  <c r="P366" i="16" s="1"/>
  <c r="G10" i="4"/>
  <c r="E5" i="9"/>
  <c r="N5" i="9" s="1"/>
  <c r="AC348" i="16" s="1"/>
  <c r="G22" i="4"/>
  <c r="E11" i="9"/>
  <c r="N11" i="9" s="1"/>
  <c r="AC353" i="16" s="1"/>
  <c r="T264" i="16"/>
  <c r="P320" i="16" s="1"/>
  <c r="F5" i="9"/>
  <c r="S348" i="16" s="1"/>
  <c r="R5" i="23"/>
  <c r="R5" i="9"/>
  <c r="AE348" i="16" s="1"/>
  <c r="S9" i="9"/>
  <c r="B11" i="11"/>
  <c r="H11" i="11" s="1"/>
  <c r="B11" i="9"/>
  <c r="Q353" i="16" s="1"/>
  <c r="B25" i="11"/>
  <c r="H25" i="11" s="1"/>
  <c r="B25" i="9"/>
  <c r="H25" i="9" s="1"/>
  <c r="O26" i="9"/>
  <c r="P26" i="9" s="1"/>
  <c r="L26" i="9"/>
  <c r="M26" i="9" s="1"/>
  <c r="J12" i="9"/>
  <c r="R23" i="23"/>
  <c r="R25" i="9"/>
  <c r="U25" i="9" s="1"/>
  <c r="Q270" i="16"/>
  <c r="P300" i="16" s="1"/>
  <c r="C11" i="9"/>
  <c r="P353" i="16" s="1"/>
  <c r="O12" i="9"/>
  <c r="P12" i="9" s="1"/>
  <c r="L12" i="9"/>
  <c r="M12" i="9" s="1"/>
  <c r="M63" i="7"/>
  <c r="J63" i="6"/>
  <c r="G63" i="6"/>
  <c r="S28" i="11"/>
  <c r="J63" i="7"/>
  <c r="J31" i="7"/>
  <c r="Q25" i="11"/>
  <c r="U271" i="16"/>
  <c r="G22" i="9"/>
  <c r="R206" i="16"/>
  <c r="R168" i="16"/>
  <c r="R163" i="16"/>
  <c r="R205" i="16"/>
  <c r="X286" i="16"/>
  <c r="R382" i="16"/>
  <c r="AD267" i="16"/>
  <c r="Q43" i="16"/>
  <c r="I34" i="12"/>
  <c r="J34" i="12" s="1"/>
  <c r="R30" i="9"/>
  <c r="U30" i="9" s="1"/>
  <c r="X287" i="16"/>
  <c r="R197" i="16"/>
  <c r="R192" i="16"/>
  <c r="U273" i="16"/>
  <c r="U277" i="16"/>
  <c r="U283" i="16"/>
  <c r="R339" i="16"/>
  <c r="AD266" i="16"/>
  <c r="R388" i="16"/>
  <c r="AD279" i="16"/>
  <c r="AA281" i="16"/>
  <c r="X332" i="16"/>
  <c r="AD274" i="16"/>
  <c r="X321" i="16"/>
  <c r="AA285" i="16"/>
  <c r="AP354" i="16"/>
  <c r="Q23" i="23"/>
  <c r="T23" i="23" s="1"/>
  <c r="AA276" i="16"/>
  <c r="R265" i="16"/>
  <c r="S359" i="16"/>
  <c r="L24" i="9"/>
  <c r="Y365" i="16" s="1"/>
  <c r="S15" i="9"/>
  <c r="Y264" i="16"/>
  <c r="W320" i="16" s="1"/>
  <c r="X5" i="23"/>
  <c r="AA5" i="23" s="1"/>
  <c r="R181" i="16"/>
  <c r="AF356" i="16"/>
  <c r="AI356" i="16" s="1"/>
  <c r="AF369" i="16"/>
  <c r="AI369" i="16" s="1"/>
  <c r="AB270" i="16"/>
  <c r="AD270" i="16" s="1"/>
  <c r="AD287" i="16"/>
  <c r="R240" i="16"/>
  <c r="R386" i="16"/>
  <c r="G19" i="23"/>
  <c r="AD271" i="16"/>
  <c r="AD281" i="16"/>
  <c r="AD268" i="16"/>
  <c r="R377" i="16"/>
  <c r="R379" i="16"/>
  <c r="X271" i="16"/>
  <c r="D10" i="4"/>
  <c r="R219" i="16"/>
  <c r="AP367" i="16"/>
  <c r="AA286" i="16"/>
  <c r="X328" i="16"/>
  <c r="E5" i="11"/>
  <c r="N5" i="11" s="1"/>
  <c r="P5" i="11" s="1"/>
  <c r="Q385" i="16"/>
  <c r="R385" i="16" s="1"/>
  <c r="AD275" i="16"/>
  <c r="P6" i="4"/>
  <c r="AP357" i="16"/>
  <c r="R391" i="16"/>
  <c r="O24" i="9"/>
  <c r="AB365" i="16" s="1"/>
  <c r="N17" i="9"/>
  <c r="AC358" i="16" s="1"/>
  <c r="R380" i="16"/>
  <c r="S264" i="16"/>
  <c r="Q320" i="16" s="1"/>
  <c r="U285" i="16"/>
  <c r="S270" i="16"/>
  <c r="Q325" i="16" s="1"/>
  <c r="AP368" i="16"/>
  <c r="G6" i="4"/>
  <c r="E11" i="11"/>
  <c r="N11" i="11" s="1"/>
  <c r="P11" i="11" s="1"/>
  <c r="AD265" i="16"/>
  <c r="AB296" i="16"/>
  <c r="AC296" i="16" s="1"/>
  <c r="R222" i="16"/>
  <c r="J6" i="4"/>
  <c r="R332" i="16"/>
  <c r="R335" i="16"/>
  <c r="U286" i="16"/>
  <c r="R340" i="16"/>
  <c r="R195" i="16"/>
  <c r="U323" i="16"/>
  <c r="R200" i="16"/>
  <c r="R224" i="16"/>
  <c r="AA268" i="16"/>
  <c r="S30" i="11"/>
  <c r="X339" i="16"/>
  <c r="E34" i="12"/>
  <c r="G34" i="12" s="1"/>
  <c r="D6" i="4"/>
  <c r="V270" i="16"/>
  <c r="T325" i="16" s="1"/>
  <c r="J22" i="4"/>
  <c r="X23" i="23"/>
  <c r="AA23" i="23" s="1"/>
  <c r="M48" i="4"/>
  <c r="AB264" i="16"/>
  <c r="AD264" i="16" s="1"/>
  <c r="P10" i="4"/>
  <c r="J48" i="4"/>
  <c r="Q5" i="23"/>
  <c r="T5" i="23" s="1"/>
  <c r="J10" i="4"/>
  <c r="X10" i="23"/>
  <c r="AA10" i="23" s="1"/>
  <c r="M22" i="4"/>
  <c r="E25" i="11"/>
  <c r="N25" i="11" s="1"/>
  <c r="G48" i="4"/>
  <c r="Q398" i="16"/>
  <c r="R398" i="16" s="1"/>
  <c r="P48" i="4"/>
  <c r="P270" i="16"/>
  <c r="Q300" i="16" s="1"/>
  <c r="D22" i="4"/>
  <c r="P284" i="16"/>
  <c r="Q312" i="16" s="1"/>
  <c r="D48" i="4"/>
  <c r="M6" i="4"/>
  <c r="M10" i="4"/>
  <c r="S10" i="11"/>
  <c r="D15" i="23"/>
  <c r="R387" i="16"/>
  <c r="R191" i="16"/>
  <c r="R190" i="16"/>
  <c r="Q336" i="16"/>
  <c r="R336" i="16" s="1"/>
  <c r="U282" i="16"/>
  <c r="R212" i="16"/>
  <c r="R171" i="16"/>
  <c r="R173" i="16"/>
  <c r="R204" i="16"/>
  <c r="U339" i="16"/>
  <c r="U331" i="16"/>
  <c r="Y270" i="16"/>
  <c r="AA270" i="16" s="1"/>
  <c r="U288" i="16"/>
  <c r="B56" i="4"/>
  <c r="F8" i="8" s="1"/>
  <c r="R176" i="16"/>
  <c r="X268" i="16"/>
  <c r="G25" i="8"/>
  <c r="AM355" i="16"/>
  <c r="V15" i="9"/>
  <c r="X296" i="16"/>
  <c r="Z296" i="16" s="1"/>
  <c r="L22" i="11"/>
  <c r="I56" i="4"/>
  <c r="R231" i="16"/>
  <c r="D21" i="23"/>
  <c r="R227" i="16"/>
  <c r="AF297" i="16"/>
  <c r="U328" i="16"/>
  <c r="D63" i="7"/>
  <c r="G23" i="8"/>
  <c r="R194" i="16"/>
  <c r="L7" i="23"/>
  <c r="AD282" i="16"/>
  <c r="R213" i="16"/>
  <c r="R287" i="16"/>
  <c r="U279" i="16"/>
  <c r="R161" i="16"/>
  <c r="G7" i="23"/>
  <c r="G20" i="23"/>
  <c r="Q327" i="16"/>
  <c r="R327" i="16" s="1"/>
  <c r="R261" i="16"/>
  <c r="R296" i="16"/>
  <c r="R298" i="16"/>
  <c r="R201" i="16"/>
  <c r="R271" i="16"/>
  <c r="AM372" i="16"/>
  <c r="M31" i="6"/>
  <c r="R169" i="16"/>
  <c r="R170" i="16"/>
  <c r="R209" i="16"/>
  <c r="Q331" i="16"/>
  <c r="R331" i="16" s="1"/>
  <c r="AE296" i="16"/>
  <c r="AF296" i="16" s="1"/>
  <c r="E35" i="20"/>
  <c r="M66" i="7"/>
  <c r="G21" i="23"/>
  <c r="R229" i="16"/>
  <c r="U261" i="16"/>
  <c r="R280" i="16"/>
  <c r="R263" i="16"/>
  <c r="AA271" i="16"/>
  <c r="P18" i="11"/>
  <c r="R160" i="16"/>
  <c r="R193" i="16"/>
  <c r="W297" i="16"/>
  <c r="X277" i="16"/>
  <c r="J12" i="11"/>
  <c r="R202" i="16"/>
  <c r="R308" i="16"/>
  <c r="R180" i="16"/>
  <c r="R286" i="16"/>
  <c r="D16" i="23"/>
  <c r="X266" i="16"/>
  <c r="R269" i="16"/>
  <c r="R210" i="16"/>
  <c r="U262" i="16"/>
  <c r="D66" i="7"/>
  <c r="R314" i="16"/>
  <c r="V372" i="16"/>
  <c r="AP359" i="16"/>
  <c r="K26" i="11"/>
  <c r="AF358" i="16"/>
  <c r="AI358" i="16" s="1"/>
  <c r="Q299" i="16"/>
  <c r="R299" i="16" s="1"/>
  <c r="Q313" i="16"/>
  <c r="R313" i="16" s="1"/>
  <c r="R196" i="16"/>
  <c r="AM358" i="16"/>
  <c r="D19" i="23"/>
  <c r="G25" i="23"/>
  <c r="G16" i="23"/>
  <c r="R162" i="16"/>
  <c r="R304" i="16"/>
  <c r="X262" i="16"/>
  <c r="X327" i="16"/>
  <c r="S14" i="11"/>
  <c r="U281" i="16"/>
  <c r="R297" i="16"/>
  <c r="U268" i="16"/>
  <c r="R179" i="16"/>
  <c r="R178" i="16"/>
  <c r="R275" i="16"/>
  <c r="J20" i="11"/>
  <c r="G13" i="11"/>
  <c r="J6" i="11"/>
  <c r="S12" i="11"/>
  <c r="AB4" i="23"/>
  <c r="Y4" i="23"/>
  <c r="U4" i="23"/>
  <c r="AD359" i="16"/>
  <c r="R394" i="16"/>
  <c r="R324" i="16"/>
  <c r="J23" i="11"/>
  <c r="U287" i="16"/>
  <c r="AB260" i="16"/>
  <c r="AB289" i="16" s="1"/>
  <c r="AD289" i="16" s="1"/>
  <c r="H7" i="23"/>
  <c r="J7" i="23" s="1"/>
  <c r="D7" i="23"/>
  <c r="H24" i="23"/>
  <c r="J24" i="23" s="1"/>
  <c r="D24" i="23"/>
  <c r="H8" i="23"/>
  <c r="D8" i="23"/>
  <c r="H11" i="23"/>
  <c r="J11" i="23" s="1"/>
  <c r="D11" i="23"/>
  <c r="H26" i="23"/>
  <c r="J26" i="23" s="1"/>
  <c r="D26" i="23"/>
  <c r="H22" i="23"/>
  <c r="J22" i="23" s="1"/>
  <c r="D22" i="23"/>
  <c r="N18" i="23"/>
  <c r="G18" i="23"/>
  <c r="H12" i="23"/>
  <c r="J12" i="23" s="1"/>
  <c r="D12" i="23"/>
  <c r="N9" i="23"/>
  <c r="P9" i="23" s="1"/>
  <c r="G9" i="23"/>
  <c r="K23" i="23"/>
  <c r="G23" i="23"/>
  <c r="D14" i="23"/>
  <c r="G12" i="23"/>
  <c r="G22" i="23"/>
  <c r="H20" i="23"/>
  <c r="J20" i="23" s="1"/>
  <c r="D20" i="23"/>
  <c r="N8" i="23"/>
  <c r="P8" i="23" s="1"/>
  <c r="G8" i="23"/>
  <c r="N24" i="23"/>
  <c r="G24" i="23"/>
  <c r="N26" i="23"/>
  <c r="G26" i="23"/>
  <c r="H25" i="23"/>
  <c r="J25" i="23" s="1"/>
  <c r="D25" i="23"/>
  <c r="H17" i="23"/>
  <c r="J17" i="23" s="1"/>
  <c r="D17" i="23"/>
  <c r="N13" i="23"/>
  <c r="G13" i="23"/>
  <c r="N17" i="23"/>
  <c r="G17" i="23"/>
  <c r="H13" i="23"/>
  <c r="J13" i="23" s="1"/>
  <c r="D13" i="23"/>
  <c r="H6" i="23"/>
  <c r="D6" i="23"/>
  <c r="H9" i="23"/>
  <c r="J9" i="23" s="1"/>
  <c r="D9" i="23"/>
  <c r="N11" i="23"/>
  <c r="P11" i="23" s="1"/>
  <c r="G11" i="23"/>
  <c r="N15" i="23"/>
  <c r="P15" i="23" s="1"/>
  <c r="G15" i="23"/>
  <c r="D10" i="23"/>
  <c r="H10" i="23"/>
  <c r="H5" i="23"/>
  <c r="D5" i="23"/>
  <c r="H23" i="23"/>
  <c r="D23" i="23"/>
  <c r="K10" i="23"/>
  <c r="G10" i="23"/>
  <c r="K5" i="23"/>
  <c r="G5" i="23"/>
  <c r="D18" i="23"/>
  <c r="G6" i="23"/>
  <c r="G14" i="23"/>
  <c r="U365" i="16"/>
  <c r="U269" i="16"/>
  <c r="W284" i="16"/>
  <c r="S337" i="16" s="1"/>
  <c r="Q284" i="16"/>
  <c r="P312" i="16" s="1"/>
  <c r="AA263" i="16"/>
  <c r="AA277" i="16"/>
  <c r="S23" i="11"/>
  <c r="R392" i="16"/>
  <c r="S17" i="11"/>
  <c r="R25" i="11"/>
  <c r="X324" i="16"/>
  <c r="P369" i="16"/>
  <c r="T349" i="16"/>
  <c r="U349" i="16" s="1"/>
  <c r="P151" i="16"/>
  <c r="R151" i="16" s="1"/>
  <c r="K12" i="11"/>
  <c r="AE360" i="16"/>
  <c r="AH360" i="16" s="1"/>
  <c r="S16" i="11"/>
  <c r="P15" i="11"/>
  <c r="AA273" i="16"/>
  <c r="AF300" i="16"/>
  <c r="AP370" i="16"/>
  <c r="AC302" i="16"/>
  <c r="R233" i="16"/>
  <c r="AD269" i="16"/>
  <c r="R211" i="16"/>
  <c r="AP364" i="16"/>
  <c r="Z284" i="16"/>
  <c r="V337" i="16" s="1"/>
  <c r="AA278" i="16"/>
  <c r="Y297" i="16"/>
  <c r="Z297" i="16" s="1"/>
  <c r="R11" i="11"/>
  <c r="X330" i="16"/>
  <c r="AP363" i="16"/>
  <c r="P12" i="11"/>
  <c r="R237" i="16"/>
  <c r="M66" i="6"/>
  <c r="AM359" i="16"/>
  <c r="S26" i="11"/>
  <c r="Q260" i="16"/>
  <c r="U295" i="16" s="1"/>
  <c r="U304" i="16" s="1"/>
  <c r="AA275" i="16"/>
  <c r="S8" i="11"/>
  <c r="S23" i="9"/>
  <c r="AD261" i="16"/>
  <c r="AD272" i="16"/>
  <c r="W264" i="16"/>
  <c r="S320" i="16" s="1"/>
  <c r="J9" i="11"/>
  <c r="P26" i="11"/>
  <c r="D26" i="11"/>
  <c r="M63" i="6"/>
  <c r="P323" i="16"/>
  <c r="R323" i="16" s="1"/>
  <c r="H8" i="9"/>
  <c r="W350" i="16" s="1"/>
  <c r="AA262" i="16"/>
  <c r="N13" i="11"/>
  <c r="P13" i="11" s="1"/>
  <c r="O28" i="9"/>
  <c r="AB368" i="16" s="1"/>
  <c r="C10" i="14"/>
  <c r="AL353" i="16"/>
  <c r="AO353" i="16" s="1"/>
  <c r="AP353" i="16" s="1"/>
  <c r="I14" i="9"/>
  <c r="V355" i="16" s="1"/>
  <c r="AP369" i="16"/>
  <c r="X273" i="16"/>
  <c r="G34" i="7"/>
  <c r="F26" i="8"/>
  <c r="G26" i="8" s="1"/>
  <c r="D20" i="11"/>
  <c r="G17" i="9"/>
  <c r="R177" i="16"/>
  <c r="X263" i="16"/>
  <c r="D14" i="9"/>
  <c r="R203" i="16"/>
  <c r="S17" i="9"/>
  <c r="AP358" i="16"/>
  <c r="R372" i="16"/>
  <c r="X285" i="16"/>
  <c r="G27" i="8"/>
  <c r="R378" i="16"/>
  <c r="K9" i="23"/>
  <c r="Y372" i="16"/>
  <c r="S6" i="11"/>
  <c r="G6" i="11"/>
  <c r="AD263" i="16"/>
  <c r="D31" i="6"/>
  <c r="AM361" i="16"/>
  <c r="D29" i="9"/>
  <c r="AB26" i="23"/>
  <c r="AC26" i="23" s="1"/>
  <c r="N16" i="9"/>
  <c r="AC357" i="16" s="1"/>
  <c r="AD357" i="16" s="1"/>
  <c r="P349" i="16"/>
  <c r="R349" i="16" s="1"/>
  <c r="S24" i="9"/>
  <c r="I9" i="9"/>
  <c r="V351" i="16" s="1"/>
  <c r="J14" i="11"/>
  <c r="E37" i="20"/>
  <c r="F37" i="20" s="1"/>
  <c r="T350" i="16"/>
  <c r="R268" i="16"/>
  <c r="K9" i="11"/>
  <c r="T357" i="16"/>
  <c r="U357" i="16" s="1"/>
  <c r="S372" i="16"/>
  <c r="Q369" i="16"/>
  <c r="I26" i="11"/>
  <c r="J26" i="11" s="1"/>
  <c r="G21" i="9"/>
  <c r="U327" i="16"/>
  <c r="K13" i="9"/>
  <c r="Z354" i="16" s="1"/>
  <c r="D16" i="9"/>
  <c r="G23" i="11"/>
  <c r="D34" i="12"/>
  <c r="F34" i="12" s="1"/>
  <c r="S10" i="9"/>
  <c r="AO360" i="16"/>
  <c r="AP360" i="16" s="1"/>
  <c r="X340" i="16"/>
  <c r="J66" i="6"/>
  <c r="S24" i="11"/>
  <c r="S31" i="11"/>
  <c r="J32" i="11"/>
  <c r="R207" i="16"/>
  <c r="T14" i="9"/>
  <c r="G27" i="11"/>
  <c r="L19" i="11"/>
  <c r="R236" i="16"/>
  <c r="AD354" i="16"/>
  <c r="U24" i="9"/>
  <c r="V24" i="9" s="1"/>
  <c r="G34" i="6"/>
  <c r="AA274" i="16"/>
  <c r="D12" i="11"/>
  <c r="C27" i="23"/>
  <c r="I27" i="23" s="1"/>
  <c r="I28" i="9"/>
  <c r="V368" i="16" s="1"/>
  <c r="X368" i="16" s="1"/>
  <c r="AA266" i="16"/>
  <c r="T369" i="16"/>
  <c r="U369" i="16" s="1"/>
  <c r="P370" i="16"/>
  <c r="Q368" i="16"/>
  <c r="R368" i="16" s="1"/>
  <c r="S14" i="9"/>
  <c r="AD288" i="16"/>
  <c r="K28" i="9"/>
  <c r="Z368" i="16" s="1"/>
  <c r="F27" i="23"/>
  <c r="O27" i="23" s="1"/>
  <c r="T364" i="16"/>
  <c r="R302" i="16"/>
  <c r="D8" i="9"/>
  <c r="R182" i="16"/>
  <c r="J30" i="11"/>
  <c r="AD350" i="16"/>
  <c r="AM357" i="16"/>
  <c r="R183" i="16"/>
  <c r="G7" i="9"/>
  <c r="R230" i="16"/>
  <c r="S13" i="9"/>
  <c r="R273" i="16"/>
  <c r="I6" i="23"/>
  <c r="J6" i="23" s="1"/>
  <c r="AB7" i="23"/>
  <c r="AC7" i="23" s="1"/>
  <c r="C56" i="4"/>
  <c r="E8" i="8" s="1"/>
  <c r="D9" i="11"/>
  <c r="D14" i="11"/>
  <c r="AF352" i="16"/>
  <c r="AI352" i="16" s="1"/>
  <c r="W336" i="16"/>
  <c r="X336" i="16" s="1"/>
  <c r="K30" i="11"/>
  <c r="K24" i="11"/>
  <c r="R278" i="16"/>
  <c r="AF351" i="16"/>
  <c r="AI351" i="16" s="1"/>
  <c r="AO348" i="16"/>
  <c r="AF367" i="16"/>
  <c r="AI367" i="16" s="1"/>
  <c r="AJ367" i="16" s="1"/>
  <c r="L26" i="11"/>
  <c r="AO372" i="16"/>
  <c r="AP372" i="16" s="1"/>
  <c r="S284" i="16"/>
  <c r="Q337" i="16" s="1"/>
  <c r="D24" i="11"/>
  <c r="L16" i="9"/>
  <c r="Y357" i="16" s="1"/>
  <c r="Q10" i="23"/>
  <c r="T10" i="23" s="1"/>
  <c r="G20" i="11"/>
  <c r="D23" i="11"/>
  <c r="P357" i="16"/>
  <c r="N23" i="23"/>
  <c r="D6" i="11"/>
  <c r="Q11" i="11"/>
  <c r="AE353" i="16"/>
  <c r="AH353" i="16" s="1"/>
  <c r="O6" i="11"/>
  <c r="P6" i="11" s="1"/>
  <c r="N58" i="4"/>
  <c r="N6" i="19" s="1"/>
  <c r="AC284" i="16"/>
  <c r="S15" i="11"/>
  <c r="Y370" i="16"/>
  <c r="R164" i="16"/>
  <c r="R167" i="16"/>
  <c r="K21" i="9"/>
  <c r="Z362" i="16" s="1"/>
  <c r="T360" i="16"/>
  <c r="X272" i="16"/>
  <c r="R307" i="16"/>
  <c r="AM369" i="16"/>
  <c r="K23" i="11"/>
  <c r="R279" i="16"/>
  <c r="S20" i="11"/>
  <c r="S18" i="11"/>
  <c r="R208" i="16"/>
  <c r="R189" i="16"/>
  <c r="E27" i="23"/>
  <c r="U332" i="16"/>
  <c r="G63" i="7"/>
  <c r="R218" i="16"/>
  <c r="G30" i="11"/>
  <c r="L9" i="9"/>
  <c r="Y351" i="16" s="1"/>
  <c r="I10" i="23"/>
  <c r="Q348" i="16"/>
  <c r="AB284" i="16"/>
  <c r="I5" i="23"/>
  <c r="C11" i="11"/>
  <c r="I11" i="11" s="1"/>
  <c r="K16" i="9"/>
  <c r="Z357" i="16" s="1"/>
  <c r="Q5" i="11"/>
  <c r="T354" i="16"/>
  <c r="W326" i="16"/>
  <c r="U321" i="16"/>
  <c r="AO371" i="16"/>
  <c r="AP371" i="16" s="1"/>
  <c r="U334" i="16"/>
  <c r="AD286" i="16"/>
  <c r="R266" i="16"/>
  <c r="R238" i="16"/>
  <c r="S18" i="9"/>
  <c r="G36" i="8"/>
  <c r="R283" i="16"/>
  <c r="AO355" i="16"/>
  <c r="AP355" i="16" s="1"/>
  <c r="D38" i="20"/>
  <c r="F38" i="20" s="1"/>
  <c r="G66" i="7"/>
  <c r="E56" i="4"/>
  <c r="L20" i="11"/>
  <c r="X279" i="16"/>
  <c r="K11" i="23"/>
  <c r="G18" i="9"/>
  <c r="Q352" i="16"/>
  <c r="T13" i="9"/>
  <c r="V13" i="9" s="1"/>
  <c r="T20" i="9"/>
  <c r="AA282" i="16"/>
  <c r="X281" i="16"/>
  <c r="H23" i="9"/>
  <c r="W364" i="16" s="1"/>
  <c r="X364" i="16" s="1"/>
  <c r="F37" i="8"/>
  <c r="G37" i="8" s="1"/>
  <c r="P364" i="16"/>
  <c r="R364" i="16" s="1"/>
  <c r="S7" i="9"/>
  <c r="S260" i="16"/>
  <c r="S9" i="11"/>
  <c r="X261" i="16"/>
  <c r="R166" i="16"/>
  <c r="L13" i="23"/>
  <c r="J17" i="11"/>
  <c r="K7" i="9"/>
  <c r="Z349" i="16" s="1"/>
  <c r="D24" i="9"/>
  <c r="L10" i="11"/>
  <c r="D30" i="11"/>
  <c r="R322" i="16"/>
  <c r="G33" i="8"/>
  <c r="K26" i="23"/>
  <c r="Q334" i="16"/>
  <c r="R334" i="16" s="1"/>
  <c r="L58" i="4"/>
  <c r="D19" i="11"/>
  <c r="G31" i="6"/>
  <c r="J19" i="11"/>
  <c r="AL366" i="16"/>
  <c r="AO366" i="16" s="1"/>
  <c r="W270" i="16"/>
  <c r="S325" i="16" s="1"/>
  <c r="R311" i="16"/>
  <c r="G14" i="9"/>
  <c r="Z260" i="16"/>
  <c r="Z289" i="16" s="1"/>
  <c r="AA287" i="16"/>
  <c r="K25" i="23"/>
  <c r="P26" i="16"/>
  <c r="H15" i="12"/>
  <c r="R272" i="16"/>
  <c r="N56" i="4"/>
  <c r="P56" i="4" s="1"/>
  <c r="R305" i="16"/>
  <c r="U340" i="16"/>
  <c r="K22" i="23"/>
  <c r="W260" i="16"/>
  <c r="AA295" i="16" s="1"/>
  <c r="AA304" i="16" s="1"/>
  <c r="K20" i="9"/>
  <c r="Z361" i="16" s="1"/>
  <c r="AD276" i="16"/>
  <c r="I5" i="9"/>
  <c r="V348" i="16" s="1"/>
  <c r="P348" i="16"/>
  <c r="L28" i="9"/>
  <c r="Y368" i="16" s="1"/>
  <c r="AC260" i="16"/>
  <c r="AC289" i="16" s="1"/>
  <c r="D10" i="9"/>
  <c r="L20" i="23"/>
  <c r="U11" i="9"/>
  <c r="T359" i="16"/>
  <c r="G28" i="9"/>
  <c r="X322" i="16"/>
  <c r="Q326" i="16"/>
  <c r="R326" i="16" s="1"/>
  <c r="J34" i="7"/>
  <c r="N22" i="9"/>
  <c r="AC363" i="16" s="1"/>
  <c r="O9" i="9"/>
  <c r="AB351" i="16" s="1"/>
  <c r="AD351" i="16" s="1"/>
  <c r="L15" i="23"/>
  <c r="Q361" i="16"/>
  <c r="Q338" i="16"/>
  <c r="R338" i="16" s="1"/>
  <c r="P18" i="9"/>
  <c r="AM370" i="16"/>
  <c r="G29" i="11"/>
  <c r="G8" i="9"/>
  <c r="AB371" i="16"/>
  <c r="K56" i="4"/>
  <c r="M56" i="4" s="1"/>
  <c r="L16" i="11"/>
  <c r="T11" i="9"/>
  <c r="T260" i="16"/>
  <c r="T289" i="16" s="1"/>
  <c r="O23" i="23"/>
  <c r="P23" i="23" s="1"/>
  <c r="M31" i="7"/>
  <c r="L9" i="11"/>
  <c r="S22" i="11"/>
  <c r="D9" i="9"/>
  <c r="R303" i="16"/>
  <c r="AP361" i="16"/>
  <c r="J31" i="6"/>
  <c r="R235" i="16"/>
  <c r="R198" i="16"/>
  <c r="R285" i="16"/>
  <c r="T284" i="16"/>
  <c r="P337" i="16" s="1"/>
  <c r="J34" i="6"/>
  <c r="V325" i="16"/>
  <c r="D10" i="11"/>
  <c r="H22" i="9"/>
  <c r="AB14" i="23"/>
  <c r="AC14" i="23" s="1"/>
  <c r="K19" i="11"/>
  <c r="Y284" i="16"/>
  <c r="W337" i="16" s="1"/>
  <c r="K8" i="9"/>
  <c r="Z350" i="16" s="1"/>
  <c r="R10" i="23"/>
  <c r="R165" i="16"/>
  <c r="U265" i="16"/>
  <c r="AE372" i="16"/>
  <c r="AH372" i="16" s="1"/>
  <c r="J7" i="11"/>
  <c r="AK366" i="16"/>
  <c r="AN366" i="16" s="1"/>
  <c r="G12" i="11"/>
  <c r="G26" i="11"/>
  <c r="S7" i="11"/>
  <c r="N21" i="9"/>
  <c r="AC362" i="16" s="1"/>
  <c r="T362" i="16"/>
  <c r="K6" i="11"/>
  <c r="AK348" i="16"/>
  <c r="AN348" i="16" s="1"/>
  <c r="Z264" i="16"/>
  <c r="V320" i="16" s="1"/>
  <c r="I58" i="4"/>
  <c r="I6" i="19" s="1"/>
  <c r="B27" i="23"/>
  <c r="C58" i="4"/>
  <c r="B5" i="11"/>
  <c r="P264" i="16"/>
  <c r="Q295" i="16" s="1"/>
  <c r="C5" i="11"/>
  <c r="Q264" i="16"/>
  <c r="P295" i="16" s="1"/>
  <c r="O58" i="4"/>
  <c r="R5" i="11"/>
  <c r="V264" i="16"/>
  <c r="T320" i="16" s="1"/>
  <c r="K10" i="9"/>
  <c r="Z352" i="16" s="1"/>
  <c r="D28" i="9"/>
  <c r="L13" i="11"/>
  <c r="K29" i="9"/>
  <c r="Z369" i="16" s="1"/>
  <c r="S29" i="9"/>
  <c r="L9" i="23"/>
  <c r="N22" i="23"/>
  <c r="D7" i="9"/>
  <c r="Q367" i="16"/>
  <c r="AF365" i="16"/>
  <c r="AI365" i="16" s="1"/>
  <c r="AJ365" i="16" s="1"/>
  <c r="AF359" i="16"/>
  <c r="AI359" i="16" s="1"/>
  <c r="D28" i="11"/>
  <c r="G24" i="9"/>
  <c r="K23" i="9"/>
  <c r="Z364" i="16" s="1"/>
  <c r="AE356" i="16"/>
  <c r="AH356" i="16" s="1"/>
  <c r="L17" i="11"/>
  <c r="D7" i="11"/>
  <c r="K14" i="11"/>
  <c r="T7" i="9"/>
  <c r="H7" i="9"/>
  <c r="J7" i="9" s="1"/>
  <c r="J10" i="11"/>
  <c r="D23" i="9"/>
  <c r="AE354" i="16"/>
  <c r="AH354" i="16" s="1"/>
  <c r="AJ354" i="16" s="1"/>
  <c r="K22" i="9"/>
  <c r="Z363" i="16" s="1"/>
  <c r="AE370" i="16"/>
  <c r="AH370" i="16" s="1"/>
  <c r="S19" i="11"/>
  <c r="D27" i="9"/>
  <c r="N24" i="9"/>
  <c r="AC365" i="16" s="1"/>
  <c r="J28" i="11"/>
  <c r="P8" i="9"/>
  <c r="P363" i="16"/>
  <c r="R363" i="16" s="1"/>
  <c r="S350" i="16"/>
  <c r="L8" i="9"/>
  <c r="Y350" i="16" s="1"/>
  <c r="U28" i="9"/>
  <c r="O7" i="11"/>
  <c r="P7" i="11" s="1"/>
  <c r="L18" i="23"/>
  <c r="J16" i="11"/>
  <c r="D17" i="11"/>
  <c r="P29" i="11"/>
  <c r="Q26" i="16"/>
  <c r="K8" i="11"/>
  <c r="L23" i="9"/>
  <c r="Y364" i="16" s="1"/>
  <c r="G27" i="9"/>
  <c r="Q27" i="23"/>
  <c r="T27" i="23" s="1"/>
  <c r="R389" i="16"/>
  <c r="D15" i="11"/>
  <c r="T351" i="16"/>
  <c r="U351" i="16" s="1"/>
  <c r="R184" i="16"/>
  <c r="L10" i="9"/>
  <c r="Y352" i="16" s="1"/>
  <c r="Y27" i="23"/>
  <c r="Q370" i="16"/>
  <c r="D34" i="6"/>
  <c r="N14" i="9"/>
  <c r="AC355" i="16" s="1"/>
  <c r="T355" i="16"/>
  <c r="N20" i="9"/>
  <c r="AC361" i="16" s="1"/>
  <c r="T361" i="16"/>
  <c r="K9" i="9"/>
  <c r="T356" i="16"/>
  <c r="D19" i="9"/>
  <c r="R175" i="16"/>
  <c r="D34" i="7"/>
  <c r="G34" i="8"/>
  <c r="X370" i="16"/>
  <c r="S21" i="11"/>
  <c r="U276" i="16"/>
  <c r="P402" i="16"/>
  <c r="K32" i="11"/>
  <c r="X274" i="16"/>
  <c r="W331" i="16"/>
  <c r="X331" i="16" s="1"/>
  <c r="AO351" i="16"/>
  <c r="AP351" i="16" s="1"/>
  <c r="L6" i="23"/>
  <c r="E24" i="8"/>
  <c r="G24" i="8" s="1"/>
  <c r="H17" i="9"/>
  <c r="W358" i="16" s="1"/>
  <c r="D17" i="9"/>
  <c r="U272" i="16"/>
  <c r="AM354" i="16"/>
  <c r="X334" i="16"/>
  <c r="AF363" i="16"/>
  <c r="AI363" i="16" s="1"/>
  <c r="R276" i="16"/>
  <c r="S22" i="9"/>
  <c r="D32" i="11"/>
  <c r="X282" i="16"/>
  <c r="S27" i="11"/>
  <c r="R267" i="16"/>
  <c r="G32" i="11"/>
  <c r="R262" i="16"/>
  <c r="R199" i="16"/>
  <c r="U330" i="16"/>
  <c r="K13" i="23"/>
  <c r="AM363" i="16"/>
  <c r="AM364" i="16"/>
  <c r="R315" i="16"/>
  <c r="G35" i="8"/>
  <c r="D13" i="11"/>
  <c r="AM356" i="16"/>
  <c r="G18" i="11"/>
  <c r="L8" i="11"/>
  <c r="V333" i="16"/>
  <c r="X333" i="16" s="1"/>
  <c r="AA280" i="16"/>
  <c r="L25" i="23"/>
  <c r="M25" i="23" s="1"/>
  <c r="AA279" i="16"/>
  <c r="D22" i="9"/>
  <c r="W372" i="16"/>
  <c r="AN365" i="16"/>
  <c r="AP365" i="16" s="1"/>
  <c r="AM365" i="16"/>
  <c r="AA288" i="16"/>
  <c r="P185" i="16"/>
  <c r="K8" i="23"/>
  <c r="V260" i="16"/>
  <c r="K19" i="9"/>
  <c r="Z360" i="16" s="1"/>
  <c r="L7" i="9"/>
  <c r="Y349" i="16" s="1"/>
  <c r="G7" i="11"/>
  <c r="L27" i="9"/>
  <c r="Y367" i="16" s="1"/>
  <c r="Q243" i="16"/>
  <c r="K31" i="11"/>
  <c r="G8" i="11"/>
  <c r="S32" i="11"/>
  <c r="D15" i="9"/>
  <c r="R310" i="16"/>
  <c r="X27" i="23"/>
  <c r="AA27" i="23" s="1"/>
  <c r="X288" i="16"/>
  <c r="R282" i="16"/>
  <c r="G13" i="9"/>
  <c r="S13" i="11"/>
  <c r="P14" i="11"/>
  <c r="Y301" i="16"/>
  <c r="Z301" i="16" s="1"/>
  <c r="S354" i="16"/>
  <c r="O8" i="11"/>
  <c r="P8" i="11" s="1"/>
  <c r="L13" i="9"/>
  <c r="Q357" i="16"/>
  <c r="H16" i="9"/>
  <c r="O20" i="9"/>
  <c r="S361" i="16"/>
  <c r="G20" i="9"/>
  <c r="O23" i="11"/>
  <c r="P23" i="11" s="1"/>
  <c r="L23" i="11"/>
  <c r="H13" i="9"/>
  <c r="W354" i="16" s="1"/>
  <c r="X354" i="16" s="1"/>
  <c r="Q354" i="16"/>
  <c r="O19" i="11"/>
  <c r="P19" i="11" s="1"/>
  <c r="G19" i="11"/>
  <c r="O14" i="9"/>
  <c r="S355" i="16"/>
  <c r="L14" i="9"/>
  <c r="Y355" i="16" s="1"/>
  <c r="K6" i="23"/>
  <c r="N6" i="23"/>
  <c r="P6" i="23" s="1"/>
  <c r="T352" i="16"/>
  <c r="N10" i="9"/>
  <c r="AC352" i="16" s="1"/>
  <c r="AC370" i="16"/>
  <c r="Z370" i="16"/>
  <c r="T370" i="16"/>
  <c r="AE350" i="16"/>
  <c r="AH350" i="16" s="1"/>
  <c r="U8" i="9"/>
  <c r="AE355" i="16"/>
  <c r="U14" i="9"/>
  <c r="AF360" i="16"/>
  <c r="T19" i="9"/>
  <c r="V19" i="9" s="1"/>
  <c r="S19" i="9"/>
  <c r="H21" i="9"/>
  <c r="W362" i="16" s="1"/>
  <c r="Q362" i="16"/>
  <c r="I27" i="11"/>
  <c r="L27" i="11"/>
  <c r="L14" i="23"/>
  <c r="D18" i="11"/>
  <c r="R174" i="16"/>
  <c r="M34" i="7"/>
  <c r="M34" i="6"/>
  <c r="AC369" i="16"/>
  <c r="X276" i="16"/>
  <c r="Q351" i="16"/>
  <c r="R351" i="16" s="1"/>
  <c r="H9" i="9"/>
  <c r="W351" i="16" s="1"/>
  <c r="G15" i="9"/>
  <c r="K15" i="9"/>
  <c r="Z356" i="16" s="1"/>
  <c r="Q185" i="16"/>
  <c r="Y260" i="16"/>
  <c r="Y289" i="16" s="1"/>
  <c r="AA289" i="16" s="1"/>
  <c r="D66" i="6"/>
  <c r="L29" i="9"/>
  <c r="Y369" i="16" s="1"/>
  <c r="K13" i="11"/>
  <c r="I18" i="11"/>
  <c r="K17" i="9"/>
  <c r="Z358" i="16" s="1"/>
  <c r="H19" i="9"/>
  <c r="W360" i="16" s="1"/>
  <c r="K17" i="23"/>
  <c r="R328" i="16"/>
  <c r="S364" i="16"/>
  <c r="G15" i="11"/>
  <c r="O7" i="9"/>
  <c r="D16" i="11"/>
  <c r="R288" i="16"/>
  <c r="AP352" i="16"/>
  <c r="R281" i="16"/>
  <c r="AM368" i="16"/>
  <c r="G14" i="11"/>
  <c r="H13" i="11"/>
  <c r="J13" i="11" s="1"/>
  <c r="O29" i="9"/>
  <c r="AB369" i="16" s="1"/>
  <c r="G19" i="9"/>
  <c r="U335" i="16"/>
  <c r="P13" i="9"/>
  <c r="S370" i="16"/>
  <c r="I8" i="9"/>
  <c r="V350" i="16" s="1"/>
  <c r="P350" i="16"/>
  <c r="R350" i="16" s="1"/>
  <c r="P352" i="16"/>
  <c r="I10" i="9"/>
  <c r="P354" i="16"/>
  <c r="D13" i="9"/>
  <c r="U23" i="9"/>
  <c r="AE364" i="16"/>
  <c r="AH364" i="16" s="1"/>
  <c r="T23" i="9"/>
  <c r="AF364" i="16"/>
  <c r="AE352" i="16"/>
  <c r="U10" i="9"/>
  <c r="V10" i="9" s="1"/>
  <c r="O21" i="23"/>
  <c r="L21" i="23"/>
  <c r="E36" i="20"/>
  <c r="G9" i="9"/>
  <c r="AE358" i="16"/>
  <c r="U17" i="9"/>
  <c r="V17" i="9" s="1"/>
  <c r="O30" i="11"/>
  <c r="P30" i="11" s="1"/>
  <c r="L30" i="11"/>
  <c r="O19" i="9"/>
  <c r="AB360" i="16" s="1"/>
  <c r="AD360" i="16" s="1"/>
  <c r="L19" i="9"/>
  <c r="Y360" i="16" s="1"/>
  <c r="S360" i="16"/>
  <c r="I19" i="9"/>
  <c r="V360" i="16" s="1"/>
  <c r="P360" i="16"/>
  <c r="R360" i="16" s="1"/>
  <c r="I24" i="9"/>
  <c r="V365" i="16" s="1"/>
  <c r="P365" i="16"/>
  <c r="S21" i="9"/>
  <c r="AA269" i="16"/>
  <c r="T5" i="9"/>
  <c r="H15" i="9"/>
  <c r="W356" i="16" s="1"/>
  <c r="Q356" i="16"/>
  <c r="H18" i="23"/>
  <c r="K18" i="23"/>
  <c r="N12" i="23"/>
  <c r="K12" i="23"/>
  <c r="F56" i="4"/>
  <c r="Q309" i="16"/>
  <c r="R309" i="16" s="1"/>
  <c r="J22" i="11"/>
  <c r="G23" i="9"/>
  <c r="S29" i="11"/>
  <c r="U267" i="16"/>
  <c r="AM352" i="16"/>
  <c r="AO362" i="16"/>
  <c r="AP362" i="16" s="1"/>
  <c r="G29" i="9"/>
  <c r="I16" i="23"/>
  <c r="L16" i="23"/>
  <c r="AE369" i="16"/>
  <c r="AH369" i="16" s="1"/>
  <c r="U29" i="9"/>
  <c r="V29" i="9" s="1"/>
  <c r="T336" i="16"/>
  <c r="U336" i="16" s="1"/>
  <c r="X283" i="16"/>
  <c r="K27" i="9"/>
  <c r="Z367" i="16" s="1"/>
  <c r="AF357" i="16"/>
  <c r="AM367" i="16"/>
  <c r="R274" i="16"/>
  <c r="D22" i="11"/>
  <c r="AM349" i="16"/>
  <c r="G66" i="6"/>
  <c r="D36" i="20"/>
  <c r="E22" i="8"/>
  <c r="G22" i="8" s="1"/>
  <c r="J66" i="7"/>
  <c r="U25" i="23"/>
  <c r="V25" i="23" s="1"/>
  <c r="U21" i="9"/>
  <c r="AE362" i="16"/>
  <c r="AH362" i="16" s="1"/>
  <c r="Y300" i="16"/>
  <c r="Z300" i="16" s="1"/>
  <c r="U278" i="16"/>
  <c r="H21" i="23"/>
  <c r="J21" i="23" s="1"/>
  <c r="T329" i="16"/>
  <c r="U329" i="16" s="1"/>
  <c r="X275" i="16"/>
  <c r="AB300" i="16"/>
  <c r="AC300" i="16" s="1"/>
  <c r="X278" i="16"/>
  <c r="N27" i="11"/>
  <c r="P27" i="11" s="1"/>
  <c r="K27" i="11"/>
  <c r="H27" i="11"/>
  <c r="D27" i="11"/>
  <c r="S352" i="16"/>
  <c r="G10" i="9"/>
  <c r="O10" i="9"/>
  <c r="AD298" i="16"/>
  <c r="AF298" i="16" s="1"/>
  <c r="V326" i="16"/>
  <c r="Q321" i="16"/>
  <c r="R321" i="16" s="1"/>
  <c r="U266" i="16"/>
  <c r="T20" i="23"/>
  <c r="U18" i="9"/>
  <c r="V18" i="9" s="1"/>
  <c r="AE359" i="16"/>
  <c r="I21" i="11"/>
  <c r="J21" i="11" s="1"/>
  <c r="D21" i="11"/>
  <c r="H8" i="11"/>
  <c r="J8" i="11" s="1"/>
  <c r="D8" i="11"/>
  <c r="Q329" i="16"/>
  <c r="R329" i="16" s="1"/>
  <c r="U275" i="16"/>
  <c r="U27" i="9"/>
  <c r="V27" i="9" s="1"/>
  <c r="S27" i="9"/>
  <c r="P367" i="16"/>
  <c r="I27" i="9"/>
  <c r="E21" i="8"/>
  <c r="G21" i="8" s="1"/>
  <c r="D35" i="20"/>
  <c r="O27" i="9"/>
  <c r="AB367" i="16" s="1"/>
  <c r="S367" i="16"/>
  <c r="AA272" i="16"/>
  <c r="P243" i="16"/>
  <c r="P214" i="16"/>
  <c r="J29" i="9"/>
  <c r="U263" i="16"/>
  <c r="P260" i="16"/>
  <c r="Q214" i="16"/>
  <c r="S16" i="9"/>
  <c r="U16" i="9"/>
  <c r="V16" i="9" s="1"/>
  <c r="K24" i="23"/>
  <c r="W338" i="16"/>
  <c r="X338" i="16" s="1"/>
  <c r="K29" i="11"/>
  <c r="P24" i="11"/>
  <c r="R172" i="16"/>
  <c r="U274" i="16"/>
  <c r="L11" i="23"/>
  <c r="T368" i="16"/>
  <c r="U368" i="16" s="1"/>
  <c r="N28" i="9"/>
  <c r="AC368" i="16" s="1"/>
  <c r="AF368" i="16"/>
  <c r="S28" i="9"/>
  <c r="T28" i="9"/>
  <c r="U22" i="9"/>
  <c r="V22" i="9" s="1"/>
  <c r="AE363" i="16"/>
  <c r="AH363" i="16" s="1"/>
  <c r="N10" i="11"/>
  <c r="K10" i="11"/>
  <c r="G24" i="11"/>
  <c r="Q365" i="16"/>
  <c r="H24" i="9"/>
  <c r="K24" i="9"/>
  <c r="O10" i="11"/>
  <c r="G10" i="11"/>
  <c r="T19" i="23"/>
  <c r="O22" i="23"/>
  <c r="L22" i="23"/>
  <c r="T338" i="16"/>
  <c r="U338" i="16" s="1"/>
  <c r="U22" i="23"/>
  <c r="V22" i="23" s="1"/>
  <c r="Q359" i="16"/>
  <c r="K18" i="9"/>
  <c r="Z359" i="16" s="1"/>
  <c r="H18" i="9"/>
  <c r="W359" i="16" s="1"/>
  <c r="N20" i="11"/>
  <c r="P20" i="11" s="1"/>
  <c r="K20" i="11"/>
  <c r="AA20" i="23"/>
  <c r="T371" i="16"/>
  <c r="U371" i="16" s="1"/>
  <c r="I29" i="11"/>
  <c r="J29" i="11" s="1"/>
  <c r="D29" i="11"/>
  <c r="T16" i="23"/>
  <c r="I8" i="23"/>
  <c r="L8" i="23"/>
  <c r="I31" i="11"/>
  <c r="J31" i="11" s="1"/>
  <c r="D31" i="11"/>
  <c r="O31" i="11"/>
  <c r="P31" i="11" s="1"/>
  <c r="L31" i="11"/>
  <c r="G31" i="11"/>
  <c r="U17" i="23"/>
  <c r="V17" i="23" s="1"/>
  <c r="U9" i="9"/>
  <c r="V9" i="9" s="1"/>
  <c r="AE351" i="16"/>
  <c r="I18" i="9"/>
  <c r="P359" i="16"/>
  <c r="L18" i="9"/>
  <c r="D18" i="9"/>
  <c r="H19" i="23"/>
  <c r="J19" i="23" s="1"/>
  <c r="O21" i="9"/>
  <c r="L21" i="9"/>
  <c r="S362" i="16"/>
  <c r="N19" i="23"/>
  <c r="K19" i="23"/>
  <c r="AF362" i="16"/>
  <c r="T21" i="9"/>
  <c r="X280" i="16"/>
  <c r="T333" i="16"/>
  <c r="U333" i="16" s="1"/>
  <c r="N25" i="23"/>
  <c r="P25" i="23" s="1"/>
  <c r="AC372" i="16"/>
  <c r="AD372" i="16" s="1"/>
  <c r="T372" i="16"/>
  <c r="O21" i="11"/>
  <c r="G21" i="11"/>
  <c r="L21" i="11"/>
  <c r="S356" i="16"/>
  <c r="L15" i="9"/>
  <c r="Y356" i="16" s="1"/>
  <c r="O15" i="9"/>
  <c r="O5" i="23"/>
  <c r="P5" i="23" s="1"/>
  <c r="O24" i="23"/>
  <c r="L24" i="23"/>
  <c r="N20" i="23"/>
  <c r="P20" i="23" s="1"/>
  <c r="K20" i="23"/>
  <c r="H16" i="23"/>
  <c r="H14" i="23"/>
  <c r="K14" i="23"/>
  <c r="O12" i="23"/>
  <c r="L12" i="23"/>
  <c r="AE361" i="16"/>
  <c r="U20" i="9"/>
  <c r="S20" i="9"/>
  <c r="Q371" i="16"/>
  <c r="O9" i="11"/>
  <c r="P9" i="11" s="1"/>
  <c r="G9" i="11"/>
  <c r="N16" i="11"/>
  <c r="P16" i="11" s="1"/>
  <c r="K16" i="11"/>
  <c r="G16" i="11"/>
  <c r="H18" i="11"/>
  <c r="K18" i="11"/>
  <c r="I24" i="11"/>
  <c r="J24" i="11" s="1"/>
  <c r="L24" i="11"/>
  <c r="R27" i="23"/>
  <c r="H56" i="4"/>
  <c r="AF370" i="16"/>
  <c r="T322" i="16"/>
  <c r="U322" i="16" s="1"/>
  <c r="X267" i="16"/>
  <c r="H15" i="11"/>
  <c r="J15" i="11" s="1"/>
  <c r="K15" i="11"/>
  <c r="P356" i="16"/>
  <c r="I15" i="9"/>
  <c r="O13" i="23"/>
  <c r="I17" i="9"/>
  <c r="P358" i="16"/>
  <c r="R358" i="16" s="1"/>
  <c r="U15" i="23"/>
  <c r="V15" i="23" s="1"/>
  <c r="N21" i="23"/>
  <c r="K21" i="23"/>
  <c r="X369" i="16"/>
  <c r="L29" i="11"/>
  <c r="U7" i="9"/>
  <c r="AE349" i="16"/>
  <c r="N27" i="9"/>
  <c r="T367" i="16"/>
  <c r="O26" i="23"/>
  <c r="L26" i="23"/>
  <c r="N7" i="23"/>
  <c r="P7" i="23" s="1"/>
  <c r="K7" i="23"/>
  <c r="O17" i="23"/>
  <c r="L17" i="23"/>
  <c r="O22" i="9"/>
  <c r="AB363" i="16" s="1"/>
  <c r="L22" i="9"/>
  <c r="S363" i="16"/>
  <c r="U363" i="16" s="1"/>
  <c r="U13" i="23"/>
  <c r="V13" i="23" s="1"/>
  <c r="P306" i="16"/>
  <c r="R277" i="16"/>
  <c r="I21" i="9"/>
  <c r="P362" i="16"/>
  <c r="D21" i="9"/>
  <c r="N21" i="11"/>
  <c r="K21" i="11"/>
  <c r="U280" i="16"/>
  <c r="P333" i="16"/>
  <c r="R333" i="16" s="1"/>
  <c r="G28" i="11"/>
  <c r="N28" i="11"/>
  <c r="P28" i="11" s="1"/>
  <c r="K28" i="11"/>
  <c r="O32" i="11"/>
  <c r="P32" i="11" s="1"/>
  <c r="L32" i="11"/>
  <c r="O19" i="23"/>
  <c r="L19" i="23"/>
  <c r="O18" i="23"/>
  <c r="I18" i="23"/>
  <c r="N16" i="23"/>
  <c r="P16" i="23" s="1"/>
  <c r="K16" i="23"/>
  <c r="I14" i="23"/>
  <c r="J14" i="23" s="1"/>
  <c r="P361" i="16"/>
  <c r="L20" i="9"/>
  <c r="I20" i="9"/>
  <c r="D20" i="9"/>
  <c r="P371" i="16"/>
  <c r="Y371" i="16"/>
  <c r="V371" i="16"/>
  <c r="AF371" i="16"/>
  <c r="N22" i="11"/>
  <c r="P22" i="11" s="1"/>
  <c r="K22" i="11"/>
  <c r="G22" i="11"/>
  <c r="AF372" i="16"/>
  <c r="S8" i="9"/>
  <c r="T8" i="9"/>
  <c r="AF350" i="16"/>
  <c r="T324" i="16"/>
  <c r="U324" i="16" s="1"/>
  <c r="X269" i="16"/>
  <c r="Q355" i="16"/>
  <c r="R355" i="16" s="1"/>
  <c r="H14" i="9"/>
  <c r="W355" i="16" s="1"/>
  <c r="K14" i="9"/>
  <c r="H15" i="23"/>
  <c r="J15" i="23" s="1"/>
  <c r="K15" i="23"/>
  <c r="N17" i="11"/>
  <c r="P17" i="11" s="1"/>
  <c r="K17" i="11"/>
  <c r="G17" i="11"/>
  <c r="O17" i="9"/>
  <c r="S358" i="16"/>
  <c r="L17" i="9"/>
  <c r="Y358" i="16" s="1"/>
  <c r="AB364" i="16"/>
  <c r="AD364" i="16" s="1"/>
  <c r="P23" i="9"/>
  <c r="AA267" i="16"/>
  <c r="W300" i="16"/>
  <c r="AN350" i="16"/>
  <c r="AP350" i="16" s="1"/>
  <c r="AM350" i="16"/>
  <c r="AA8" i="23"/>
  <c r="R330" i="16"/>
  <c r="X323" i="16"/>
  <c r="V16" i="23" l="1"/>
  <c r="V19" i="23"/>
  <c r="Z10" i="23"/>
  <c r="AC10" i="23"/>
  <c r="J10" i="23"/>
  <c r="S27" i="23"/>
  <c r="P13" i="23"/>
  <c r="J5" i="23"/>
  <c r="M26" i="23"/>
  <c r="M9" i="23"/>
  <c r="P17" i="23"/>
  <c r="P26" i="23"/>
  <c r="P22" i="23"/>
  <c r="M11" i="23"/>
  <c r="M18" i="23"/>
  <c r="M20" i="23"/>
  <c r="M13" i="23"/>
  <c r="M19" i="23"/>
  <c r="M17" i="23"/>
  <c r="M12" i="23"/>
  <c r="P24" i="23"/>
  <c r="M22" i="23"/>
  <c r="P21" i="23"/>
  <c r="M14" i="23"/>
  <c r="AB27" i="23"/>
  <c r="AC27" i="23" s="1"/>
  <c r="Z27" i="23"/>
  <c r="AC23" i="23"/>
  <c r="P19" i="23"/>
  <c r="P12" i="23"/>
  <c r="M8" i="23"/>
  <c r="U10" i="23"/>
  <c r="V10" i="23" s="1"/>
  <c r="S10" i="23"/>
  <c r="M15" i="23"/>
  <c r="M7" i="23"/>
  <c r="U5" i="23"/>
  <c r="V5" i="23" s="1"/>
  <c r="S5" i="23"/>
  <c r="J18" i="23"/>
  <c r="J8" i="23"/>
  <c r="M16" i="23"/>
  <c r="Z5" i="23"/>
  <c r="P18" i="23"/>
  <c r="M24" i="23"/>
  <c r="J16" i="23"/>
  <c r="M21" i="23"/>
  <c r="M6" i="23"/>
  <c r="U23" i="23"/>
  <c r="V23" i="23" s="1"/>
  <c r="S23" i="23"/>
  <c r="Z23" i="23"/>
  <c r="V20" i="23"/>
  <c r="AC5" i="23"/>
  <c r="AC20" i="23"/>
  <c r="D36" i="14"/>
  <c r="C6" i="19"/>
  <c r="L36" i="14"/>
  <c r="E6" i="19"/>
  <c r="G6" i="19" s="1"/>
  <c r="I36" i="14"/>
  <c r="K6" i="19"/>
  <c r="C36" i="14"/>
  <c r="B6" i="19"/>
  <c r="F36" i="14"/>
  <c r="H6" i="19"/>
  <c r="J6" i="19" s="1"/>
  <c r="O57" i="4"/>
  <c r="O6" i="19"/>
  <c r="P6" i="19" s="1"/>
  <c r="J36" i="14"/>
  <c r="L6" i="19"/>
  <c r="D43" i="20"/>
  <c r="G36" i="14"/>
  <c r="D30" i="20"/>
  <c r="M36" i="14"/>
  <c r="D30" i="9"/>
  <c r="K30" i="9"/>
  <c r="S25" i="9"/>
  <c r="L30" i="9"/>
  <c r="G30" i="9"/>
  <c r="I11" i="9"/>
  <c r="V353" i="16" s="1"/>
  <c r="AE366" i="16"/>
  <c r="AH366" i="16" s="1"/>
  <c r="J25" i="11"/>
  <c r="D25" i="11"/>
  <c r="Q31" i="9"/>
  <c r="AF373" i="16" s="1"/>
  <c r="AI373" i="16" s="1"/>
  <c r="S353" i="16"/>
  <c r="L11" i="9"/>
  <c r="Y353" i="16" s="1"/>
  <c r="R353" i="16"/>
  <c r="C31" i="9"/>
  <c r="I31" i="9" s="1"/>
  <c r="V373" i="16" s="1"/>
  <c r="G11" i="9"/>
  <c r="L5" i="9"/>
  <c r="Y348" i="16" s="1"/>
  <c r="O25" i="11"/>
  <c r="P25" i="11" s="1"/>
  <c r="O5" i="9"/>
  <c r="AB348" i="16" s="1"/>
  <c r="AD348" i="16" s="1"/>
  <c r="L25" i="9"/>
  <c r="Y366" i="16" s="1"/>
  <c r="J11" i="11"/>
  <c r="R300" i="16"/>
  <c r="D25" i="9"/>
  <c r="S366" i="16"/>
  <c r="T353" i="16"/>
  <c r="I25" i="9"/>
  <c r="V366" i="16" s="1"/>
  <c r="B33" i="11"/>
  <c r="H33" i="11" s="1"/>
  <c r="L25" i="11"/>
  <c r="T348" i="16"/>
  <c r="U348" i="16" s="1"/>
  <c r="G5" i="9"/>
  <c r="D58" i="4"/>
  <c r="E36" i="14" s="1"/>
  <c r="S25" i="11"/>
  <c r="R325" i="16"/>
  <c r="R31" i="9"/>
  <c r="U31" i="9" s="1"/>
  <c r="V30" i="9"/>
  <c r="S30" i="9"/>
  <c r="K11" i="11"/>
  <c r="AD365" i="16"/>
  <c r="G11" i="11"/>
  <c r="R359" i="16"/>
  <c r="P30" i="9"/>
  <c r="V11" i="9"/>
  <c r="U359" i="16"/>
  <c r="M22" i="11"/>
  <c r="AJ369" i="16"/>
  <c r="G5" i="11"/>
  <c r="G25" i="11"/>
  <c r="U264" i="16"/>
  <c r="U270" i="16"/>
  <c r="U325" i="16"/>
  <c r="V23" i="9"/>
  <c r="W325" i="16"/>
  <c r="W341" i="16" s="1"/>
  <c r="AG356" i="16"/>
  <c r="H34" i="12"/>
  <c r="AJ356" i="16"/>
  <c r="J56" i="4"/>
  <c r="X284" i="16"/>
  <c r="Q402" i="16"/>
  <c r="F35" i="20"/>
  <c r="E33" i="11"/>
  <c r="N33" i="11" s="1"/>
  <c r="U320" i="16"/>
  <c r="K25" i="11"/>
  <c r="R270" i="16"/>
  <c r="F14" i="8"/>
  <c r="F15" i="8" s="1"/>
  <c r="J58" i="4"/>
  <c r="H36" i="14" s="1"/>
  <c r="G56" i="4"/>
  <c r="F6" i="5"/>
  <c r="G58" i="4"/>
  <c r="N36" i="14" s="1"/>
  <c r="Q150" i="16"/>
  <c r="P58" i="4"/>
  <c r="M58" i="4"/>
  <c r="K36" i="14" s="1"/>
  <c r="D56" i="4"/>
  <c r="V28" i="9"/>
  <c r="X28" i="23"/>
  <c r="AA28" i="23" s="1"/>
  <c r="AD13" i="23" s="1"/>
  <c r="AB291" i="16"/>
  <c r="AB290" i="16" s="1"/>
  <c r="AD290" i="16" s="1"/>
  <c r="AA264" i="16"/>
  <c r="AM348" i="16"/>
  <c r="AP348" i="16"/>
  <c r="X337" i="16"/>
  <c r="U337" i="16"/>
  <c r="Q149" i="16"/>
  <c r="AM353" i="16"/>
  <c r="Q289" i="16"/>
  <c r="U372" i="16"/>
  <c r="E33" i="20"/>
  <c r="P142" i="16"/>
  <c r="E11" i="8"/>
  <c r="E13" i="8" s="1"/>
  <c r="M16" i="11"/>
  <c r="V20" i="9"/>
  <c r="X270" i="16"/>
  <c r="D11" i="11"/>
  <c r="S5" i="11"/>
  <c r="S291" i="16"/>
  <c r="S11" i="11"/>
  <c r="L6" i="5"/>
  <c r="E6" i="5"/>
  <c r="X320" i="16"/>
  <c r="M9" i="11"/>
  <c r="S341" i="16"/>
  <c r="M26" i="11"/>
  <c r="I57" i="4"/>
  <c r="L11" i="11"/>
  <c r="AK373" i="16"/>
  <c r="AN373" i="16" s="1"/>
  <c r="O6" i="5"/>
  <c r="J28" i="9"/>
  <c r="F57" i="4"/>
  <c r="R284" i="16"/>
  <c r="R312" i="16"/>
  <c r="K57" i="4"/>
  <c r="H27" i="23"/>
  <c r="J27" i="23" s="1"/>
  <c r="D27" i="23"/>
  <c r="N27" i="23"/>
  <c r="P27" i="23" s="1"/>
  <c r="G27" i="23"/>
  <c r="F28" i="23"/>
  <c r="O28" i="23" s="1"/>
  <c r="F7" i="8"/>
  <c r="F10" i="8" s="1"/>
  <c r="B28" i="23"/>
  <c r="H28" i="23" s="1"/>
  <c r="AE12" i="23" s="1"/>
  <c r="C5" i="14"/>
  <c r="C28" i="23"/>
  <c r="I28" i="23" s="1"/>
  <c r="E28" i="23"/>
  <c r="AD284" i="16"/>
  <c r="X372" i="16"/>
  <c r="AA357" i="16"/>
  <c r="G8" i="8"/>
  <c r="D29" i="20"/>
  <c r="E7" i="8"/>
  <c r="AL373" i="16"/>
  <c r="AO373" i="16" s="1"/>
  <c r="M32" i="11"/>
  <c r="R33" i="11"/>
  <c r="U5" i="9"/>
  <c r="V5" i="9" s="1"/>
  <c r="X351" i="16"/>
  <c r="N57" i="4"/>
  <c r="P9" i="9"/>
  <c r="R357" i="16"/>
  <c r="I23" i="23"/>
  <c r="J23" i="23" s="1"/>
  <c r="AF366" i="16"/>
  <c r="AI366" i="16" s="1"/>
  <c r="R260" i="16"/>
  <c r="S5" i="9"/>
  <c r="AA284" i="16"/>
  <c r="M9" i="9"/>
  <c r="R370" i="16"/>
  <c r="K11" i="9"/>
  <c r="Z353" i="16" s="1"/>
  <c r="U350" i="16"/>
  <c r="R369" i="16"/>
  <c r="Q366" i="16"/>
  <c r="R366" i="16" s="1"/>
  <c r="AD363" i="16"/>
  <c r="S11" i="9"/>
  <c r="AD295" i="16"/>
  <c r="AD304" i="16" s="1"/>
  <c r="F31" i="9"/>
  <c r="O31" i="9" s="1"/>
  <c r="AB373" i="16" s="1"/>
  <c r="X326" i="16"/>
  <c r="M30" i="11"/>
  <c r="U364" i="16"/>
  <c r="L10" i="23"/>
  <c r="M10" i="23" s="1"/>
  <c r="P16" i="9"/>
  <c r="O25" i="9"/>
  <c r="AB366" i="16" s="1"/>
  <c r="C33" i="11"/>
  <c r="L33" i="11" s="1"/>
  <c r="AA368" i="16"/>
  <c r="L27" i="23"/>
  <c r="B6" i="5"/>
  <c r="E43" i="20"/>
  <c r="U284" i="16"/>
  <c r="M24" i="11"/>
  <c r="T25" i="9"/>
  <c r="V25" i="9" s="1"/>
  <c r="Q148" i="16"/>
  <c r="E31" i="20"/>
  <c r="R367" i="16"/>
  <c r="J27" i="11"/>
  <c r="AG354" i="16"/>
  <c r="P150" i="16"/>
  <c r="F11" i="8"/>
  <c r="F13" i="8" s="1"/>
  <c r="V14" i="9"/>
  <c r="AM366" i="16"/>
  <c r="Q28" i="23"/>
  <c r="T28" i="23" s="1"/>
  <c r="W5" i="23" s="1"/>
  <c r="AP366" i="16"/>
  <c r="M19" i="11"/>
  <c r="L23" i="23"/>
  <c r="M23" i="23" s="1"/>
  <c r="AF353" i="16"/>
  <c r="AI353" i="16" s="1"/>
  <c r="AJ353" i="16" s="1"/>
  <c r="AC291" i="16"/>
  <c r="AC290" i="16" s="1"/>
  <c r="AA370" i="16"/>
  <c r="C57" i="4"/>
  <c r="E9" i="8" s="1"/>
  <c r="P147" i="16"/>
  <c r="L1" i="10"/>
  <c r="R28" i="23"/>
  <c r="R361" i="16"/>
  <c r="K25" i="9"/>
  <c r="Z366" i="16" s="1"/>
  <c r="M23" i="9"/>
  <c r="U362" i="16"/>
  <c r="E57" i="4"/>
  <c r="E31" i="9"/>
  <c r="N31" i="9" s="1"/>
  <c r="AC373" i="16" s="1"/>
  <c r="I6" i="5"/>
  <c r="M8" i="9"/>
  <c r="U360" i="16"/>
  <c r="M16" i="9"/>
  <c r="AG367" i="16"/>
  <c r="AD260" i="16"/>
  <c r="V291" i="16"/>
  <c r="D11" i="9"/>
  <c r="H11" i="9"/>
  <c r="W353" i="16" s="1"/>
  <c r="R348" i="16"/>
  <c r="W289" i="16"/>
  <c r="AA260" i="16"/>
  <c r="Y28" i="23"/>
  <c r="M17" i="11"/>
  <c r="R337" i="16"/>
  <c r="Y291" i="16"/>
  <c r="Y290" i="16" s="1"/>
  <c r="AA290" i="16" s="1"/>
  <c r="M20" i="11"/>
  <c r="M10" i="11"/>
  <c r="Y295" i="16"/>
  <c r="Y304" i="16" s="1"/>
  <c r="J23" i="9"/>
  <c r="K6" i="5"/>
  <c r="P24" i="9"/>
  <c r="B31" i="9"/>
  <c r="H31" i="9" s="1"/>
  <c r="E40" i="20" s="1"/>
  <c r="M28" i="9"/>
  <c r="D33" i="20"/>
  <c r="M23" i="11"/>
  <c r="U354" i="16"/>
  <c r="K27" i="23"/>
  <c r="D5" i="9"/>
  <c r="H5" i="9"/>
  <c r="W348" i="16" s="1"/>
  <c r="X348" i="16" s="1"/>
  <c r="K5" i="9"/>
  <c r="Z348" i="16" s="1"/>
  <c r="AA364" i="16"/>
  <c r="L5" i="23"/>
  <c r="M5" i="23" s="1"/>
  <c r="U260" i="16"/>
  <c r="W291" i="16"/>
  <c r="AE295" i="16"/>
  <c r="AE304" i="16" s="1"/>
  <c r="X295" i="16"/>
  <c r="X304" i="16" s="1"/>
  <c r="Z291" i="16"/>
  <c r="Z290" i="16" s="1"/>
  <c r="U356" i="16"/>
  <c r="S289" i="16"/>
  <c r="U289" i="16" s="1"/>
  <c r="T291" i="16"/>
  <c r="T290" i="16" s="1"/>
  <c r="AG365" i="16"/>
  <c r="R352" i="16"/>
  <c r="AA349" i="16"/>
  <c r="AA352" i="16"/>
  <c r="M13" i="11"/>
  <c r="L57" i="4"/>
  <c r="C8" i="14"/>
  <c r="P149" i="16"/>
  <c r="U355" i="16"/>
  <c r="Q291" i="16"/>
  <c r="AA350" i="16"/>
  <c r="C6" i="14"/>
  <c r="W363" i="16"/>
  <c r="X363" i="16" s="1"/>
  <c r="J22" i="9"/>
  <c r="E14" i="8"/>
  <c r="E15" i="8" s="1"/>
  <c r="T366" i="16"/>
  <c r="N25" i="9"/>
  <c r="AC366" i="16" s="1"/>
  <c r="H6" i="5"/>
  <c r="J9" i="10"/>
  <c r="M8" i="11"/>
  <c r="J9" i="9"/>
  <c r="D31" i="20"/>
  <c r="P148" i="16"/>
  <c r="C6" i="5"/>
  <c r="Q147" i="16"/>
  <c r="E29" i="20"/>
  <c r="Q33" i="11"/>
  <c r="I5" i="11"/>
  <c r="D5" i="11"/>
  <c r="L5" i="11"/>
  <c r="H5" i="11"/>
  <c r="K5" i="11"/>
  <c r="X264" i="16"/>
  <c r="B57" i="4"/>
  <c r="C9" i="14"/>
  <c r="N6" i="5"/>
  <c r="R295" i="16"/>
  <c r="R264" i="16"/>
  <c r="U361" i="16"/>
  <c r="V7" i="9"/>
  <c r="AA369" i="16"/>
  <c r="W349" i="16"/>
  <c r="X349" i="16" s="1"/>
  <c r="M10" i="9"/>
  <c r="AG369" i="16"/>
  <c r="O33" i="11"/>
  <c r="P289" i="16"/>
  <c r="R289" i="16" s="1"/>
  <c r="F36" i="20"/>
  <c r="Z351" i="16"/>
  <c r="AA351" i="16" s="1"/>
  <c r="AA367" i="16"/>
  <c r="AA358" i="16"/>
  <c r="R365" i="16"/>
  <c r="J13" i="9"/>
  <c r="U370" i="16"/>
  <c r="X355" i="16"/>
  <c r="J19" i="9"/>
  <c r="X260" i="16"/>
  <c r="M27" i="9"/>
  <c r="V8" i="9"/>
  <c r="V289" i="16"/>
  <c r="J18" i="11"/>
  <c r="M31" i="11"/>
  <c r="AB295" i="16"/>
  <c r="AB304" i="16" s="1"/>
  <c r="AC304" i="16" s="1"/>
  <c r="U352" i="16"/>
  <c r="Q142" i="16"/>
  <c r="E30" i="20"/>
  <c r="M7" i="9"/>
  <c r="AA360" i="16"/>
  <c r="V341" i="16"/>
  <c r="R362" i="16"/>
  <c r="M29" i="9"/>
  <c r="M27" i="11"/>
  <c r="M19" i="9"/>
  <c r="R354" i="16"/>
  <c r="AH352" i="16"/>
  <c r="AJ352" i="16" s="1"/>
  <c r="AG352" i="16"/>
  <c r="Y354" i="16"/>
  <c r="AA354" i="16" s="1"/>
  <c r="M13" i="9"/>
  <c r="W357" i="16"/>
  <c r="X357" i="16" s="1"/>
  <c r="J16" i="9"/>
  <c r="AB361" i="16"/>
  <c r="AD361" i="16" s="1"/>
  <c r="P20" i="9"/>
  <c r="X360" i="16"/>
  <c r="AJ363" i="16"/>
  <c r="AI360" i="16"/>
  <c r="AJ360" i="16" s="1"/>
  <c r="AG360" i="16"/>
  <c r="AH355" i="16"/>
  <c r="AJ355" i="16" s="1"/>
  <c r="AG355" i="16"/>
  <c r="AB355" i="16"/>
  <c r="AD355" i="16" s="1"/>
  <c r="P14" i="9"/>
  <c r="P29" i="9"/>
  <c r="AB349" i="16"/>
  <c r="AD349" i="16" s="1"/>
  <c r="P7" i="9"/>
  <c r="AD369" i="16"/>
  <c r="P19" i="9"/>
  <c r="AI364" i="16"/>
  <c r="AJ364" i="16" s="1"/>
  <c r="AG364" i="16"/>
  <c r="V352" i="16"/>
  <c r="X352" i="16" s="1"/>
  <c r="J10" i="9"/>
  <c r="AB370" i="16"/>
  <c r="AD370" i="16" s="1"/>
  <c r="X350" i="16"/>
  <c r="J8" i="9"/>
  <c r="AH348" i="16"/>
  <c r="AJ348" i="16" s="1"/>
  <c r="AG348" i="16"/>
  <c r="AH358" i="16"/>
  <c r="AJ358" i="16" s="1"/>
  <c r="AG358" i="16"/>
  <c r="V295" i="16"/>
  <c r="W295" i="16" s="1"/>
  <c r="AD368" i="16"/>
  <c r="V21" i="9"/>
  <c r="P291" i="16"/>
  <c r="AA356" i="16"/>
  <c r="P28" i="9"/>
  <c r="M29" i="11"/>
  <c r="AI357" i="16"/>
  <c r="AJ357" i="16" s="1"/>
  <c r="AG357" i="16"/>
  <c r="AB353" i="16"/>
  <c r="AD353" i="16" s="1"/>
  <c r="P11" i="9"/>
  <c r="T341" i="16"/>
  <c r="U341" i="16" s="1"/>
  <c r="AB352" i="16"/>
  <c r="AD352" i="16" s="1"/>
  <c r="P10" i="9"/>
  <c r="V367" i="16"/>
  <c r="X367" i="16" s="1"/>
  <c r="J27" i="9"/>
  <c r="AH359" i="16"/>
  <c r="AJ359" i="16" s="1"/>
  <c r="AG359" i="16"/>
  <c r="M15" i="9"/>
  <c r="J14" i="9"/>
  <c r="M17" i="9"/>
  <c r="AG363" i="16"/>
  <c r="P10" i="11"/>
  <c r="AI368" i="16"/>
  <c r="AJ368" i="16" s="1"/>
  <c r="AG368" i="16"/>
  <c r="Z365" i="16"/>
  <c r="AA365" i="16" s="1"/>
  <c r="M24" i="9"/>
  <c r="W365" i="16"/>
  <c r="X365" i="16" s="1"/>
  <c r="J24" i="9"/>
  <c r="Z355" i="16"/>
  <c r="AA355" i="16" s="1"/>
  <c r="M14" i="9"/>
  <c r="AG372" i="16"/>
  <c r="AI372" i="16"/>
  <c r="AJ372" i="16" s="1"/>
  <c r="AI371" i="16"/>
  <c r="AJ371" i="16" s="1"/>
  <c r="AG371" i="16"/>
  <c r="Y361" i="16"/>
  <c r="AA361" i="16" s="1"/>
  <c r="M20" i="9"/>
  <c r="W366" i="16"/>
  <c r="AC367" i="16"/>
  <c r="AD367" i="16" s="1"/>
  <c r="P27" i="9"/>
  <c r="V358" i="16"/>
  <c r="X358" i="16" s="1"/>
  <c r="J17" i="9"/>
  <c r="R356" i="16"/>
  <c r="P373" i="16"/>
  <c r="AI370" i="16"/>
  <c r="AJ370" i="16" s="1"/>
  <c r="AG370" i="16"/>
  <c r="H57" i="4"/>
  <c r="AH361" i="16"/>
  <c r="AJ361" i="16" s="1"/>
  <c r="AG361" i="16"/>
  <c r="Z372" i="16"/>
  <c r="AA372" i="16" s="1"/>
  <c r="AI362" i="16"/>
  <c r="AJ362" i="16" s="1"/>
  <c r="AG362" i="16"/>
  <c r="Y362" i="16"/>
  <c r="AA362" i="16" s="1"/>
  <c r="M21" i="9"/>
  <c r="AH351" i="16"/>
  <c r="AJ351" i="16" s="1"/>
  <c r="AG351" i="16"/>
  <c r="Z371" i="16"/>
  <c r="AA371" i="16" s="1"/>
  <c r="M21" i="11"/>
  <c r="P21" i="11"/>
  <c r="AI350" i="16"/>
  <c r="AJ350" i="16" s="1"/>
  <c r="AG350" i="16"/>
  <c r="V361" i="16"/>
  <c r="X361" i="16" s="1"/>
  <c r="J20" i="9"/>
  <c r="Q341" i="16"/>
  <c r="R320" i="16"/>
  <c r="V362" i="16"/>
  <c r="X362" i="16" s="1"/>
  <c r="J21" i="9"/>
  <c r="R306" i="16"/>
  <c r="P316" i="16"/>
  <c r="Y363" i="16"/>
  <c r="AA363" i="16" s="1"/>
  <c r="M22" i="9"/>
  <c r="U367" i="16"/>
  <c r="AH349" i="16"/>
  <c r="AJ349" i="16" s="1"/>
  <c r="AG349" i="16"/>
  <c r="V356" i="16"/>
  <c r="X356" i="16" s="1"/>
  <c r="J15" i="9"/>
  <c r="U27" i="23"/>
  <c r="V27" i="23" s="1"/>
  <c r="W371" i="16"/>
  <c r="X371" i="16" s="1"/>
  <c r="P15" i="9"/>
  <c r="AB356" i="16"/>
  <c r="AD356" i="16" s="1"/>
  <c r="AB362" i="16"/>
  <c r="AD362" i="16" s="1"/>
  <c r="P21" i="9"/>
  <c r="Y359" i="16"/>
  <c r="AA359" i="16" s="1"/>
  <c r="M18" i="9"/>
  <c r="V359" i="16"/>
  <c r="X359" i="16" s="1"/>
  <c r="J18" i="9"/>
  <c r="AC371" i="16"/>
  <c r="AD371" i="16" s="1"/>
  <c r="P22" i="9"/>
  <c r="P341" i="16"/>
  <c r="R371" i="16"/>
  <c r="U358" i="16"/>
  <c r="AB358" i="16"/>
  <c r="AD358" i="16" s="1"/>
  <c r="P17" i="9"/>
  <c r="J28" i="23" l="1"/>
  <c r="U28" i="23"/>
  <c r="V28" i="23" s="1"/>
  <c r="S28" i="23"/>
  <c r="Z28" i="23"/>
  <c r="M27" i="23"/>
  <c r="M6" i="19"/>
  <c r="P57" i="4"/>
  <c r="D6" i="19"/>
  <c r="F43" i="20"/>
  <c r="F30" i="20"/>
  <c r="M30" i="9"/>
  <c r="S373" i="16"/>
  <c r="AJ366" i="16"/>
  <c r="X353" i="16"/>
  <c r="AA348" i="16"/>
  <c r="P5" i="9"/>
  <c r="U353" i="16"/>
  <c r="D40" i="20"/>
  <c r="F40" i="20" s="1"/>
  <c r="M25" i="11"/>
  <c r="X366" i="16"/>
  <c r="J25" i="9"/>
  <c r="AA366" i="16"/>
  <c r="U366" i="16"/>
  <c r="M11" i="11"/>
  <c r="P10" i="16"/>
  <c r="P15" i="16"/>
  <c r="S31" i="9"/>
  <c r="AE373" i="16"/>
  <c r="AH373" i="16" s="1"/>
  <c r="AJ373" i="16" s="1"/>
  <c r="P6" i="16"/>
  <c r="S33" i="11"/>
  <c r="F29" i="20"/>
  <c r="R150" i="16"/>
  <c r="G33" i="11"/>
  <c r="X325" i="16"/>
  <c r="K33" i="11"/>
  <c r="M33" i="11" s="1"/>
  <c r="P33" i="11"/>
  <c r="G6" i="5"/>
  <c r="E12" i="8"/>
  <c r="G28" i="23"/>
  <c r="AD15" i="23"/>
  <c r="AD21" i="23"/>
  <c r="AD25" i="23"/>
  <c r="G15" i="8"/>
  <c r="M11" i="9"/>
  <c r="J57" i="4"/>
  <c r="AD27" i="23"/>
  <c r="AD17" i="23"/>
  <c r="G57" i="4"/>
  <c r="F9" i="8"/>
  <c r="G9" i="8" s="1"/>
  <c r="D57" i="4"/>
  <c r="M57" i="4"/>
  <c r="AD8" i="23"/>
  <c r="AD16" i="23"/>
  <c r="AD6" i="23"/>
  <c r="AD12" i="23"/>
  <c r="AD22" i="23"/>
  <c r="AD14" i="23"/>
  <c r="AD9" i="23"/>
  <c r="AD23" i="23"/>
  <c r="AD24" i="23"/>
  <c r="AD11" i="23"/>
  <c r="AD19" i="23"/>
  <c r="AD18" i="23"/>
  <c r="AD26" i="23"/>
  <c r="AD20" i="23"/>
  <c r="AD5" i="23"/>
  <c r="AD10" i="23"/>
  <c r="AD7" i="23"/>
  <c r="AD28" i="23"/>
  <c r="AE18" i="23"/>
  <c r="AE19" i="23"/>
  <c r="AE28" i="23"/>
  <c r="E10" i="8"/>
  <c r="G10" i="8" s="1"/>
  <c r="P6" i="5"/>
  <c r="F33" i="20"/>
  <c r="D31" i="9"/>
  <c r="I33" i="11"/>
  <c r="J33" i="11" s="1"/>
  <c r="Q290" i="16"/>
  <c r="R149" i="16"/>
  <c r="R147" i="16"/>
  <c r="W27" i="23"/>
  <c r="AE14" i="23"/>
  <c r="AE15" i="23"/>
  <c r="AE22" i="23"/>
  <c r="I21" i="10"/>
  <c r="L31" i="9"/>
  <c r="Y373" i="16" s="1"/>
  <c r="V290" i="16"/>
  <c r="X290" i="16" s="1"/>
  <c r="E41" i="20"/>
  <c r="AE10" i="23"/>
  <c r="AE9" i="23"/>
  <c r="AE24" i="23"/>
  <c r="AE17" i="23"/>
  <c r="AE25" i="23"/>
  <c r="P11" i="16"/>
  <c r="N28" i="23"/>
  <c r="P28" i="23" s="1"/>
  <c r="D6" i="5"/>
  <c r="F31" i="20"/>
  <c r="AP373" i="16"/>
  <c r="AF295" i="16"/>
  <c r="G11" i="8"/>
  <c r="R148" i="16"/>
  <c r="M6" i="5"/>
  <c r="K28" i="23"/>
  <c r="AM373" i="16"/>
  <c r="G7" i="8"/>
  <c r="AG353" i="16"/>
  <c r="G31" i="9"/>
  <c r="Q373" i="16"/>
  <c r="R373" i="16" s="1"/>
  <c r="F12" i="8"/>
  <c r="S290" i="16"/>
  <c r="U290" i="16" s="1"/>
  <c r="W290" i="16"/>
  <c r="D28" i="23"/>
  <c r="P25" i="9"/>
  <c r="J31" i="9"/>
  <c r="W373" i="16"/>
  <c r="X373" i="16" s="1"/>
  <c r="AE21" i="23"/>
  <c r="AE8" i="23"/>
  <c r="AE7" i="23"/>
  <c r="AE27" i="23"/>
  <c r="AE13" i="23"/>
  <c r="AE26" i="23"/>
  <c r="AE6" i="23"/>
  <c r="AE11" i="23"/>
  <c r="AE16" i="23"/>
  <c r="AE23" i="23"/>
  <c r="AE20" i="23"/>
  <c r="X289" i="16"/>
  <c r="J5" i="9"/>
  <c r="L28" i="23"/>
  <c r="W9" i="23"/>
  <c r="W18" i="23"/>
  <c r="P12" i="16"/>
  <c r="AG366" i="16"/>
  <c r="D41" i="20"/>
  <c r="W11" i="23"/>
  <c r="W8" i="23"/>
  <c r="P14" i="16"/>
  <c r="P13" i="16"/>
  <c r="P2" i="16"/>
  <c r="AA353" i="16"/>
  <c r="P31" i="9"/>
  <c r="W19" i="23"/>
  <c r="W25" i="23"/>
  <c r="W24" i="23"/>
  <c r="W15" i="23"/>
  <c r="W21" i="23"/>
  <c r="W10" i="23"/>
  <c r="AB28" i="23"/>
  <c r="AC28" i="23" s="1"/>
  <c r="L4" i="10"/>
  <c r="L3" i="10"/>
  <c r="P4" i="16"/>
  <c r="P3" i="16"/>
  <c r="W22" i="23"/>
  <c r="W6" i="23"/>
  <c r="W28" i="23"/>
  <c r="W12" i="23"/>
  <c r="W14" i="23"/>
  <c r="W17" i="23"/>
  <c r="W26" i="23"/>
  <c r="W16" i="23"/>
  <c r="W13" i="23"/>
  <c r="W20" i="23"/>
  <c r="W23" i="23"/>
  <c r="W7" i="23"/>
  <c r="L5" i="10"/>
  <c r="L6" i="10"/>
  <c r="L2" i="10"/>
  <c r="J17" i="10"/>
  <c r="J18" i="10"/>
  <c r="P5" i="16"/>
  <c r="J15" i="10"/>
  <c r="M25" i="9"/>
  <c r="D33" i="11"/>
  <c r="AA291" i="16"/>
  <c r="T31" i="9"/>
  <c r="V31" i="9" s="1"/>
  <c r="K31" i="9"/>
  <c r="AD291" i="16"/>
  <c r="G14" i="8"/>
  <c r="AD366" i="16"/>
  <c r="J11" i="9"/>
  <c r="I23" i="10"/>
  <c r="J6" i="5"/>
  <c r="Z295" i="16"/>
  <c r="AE5" i="23"/>
  <c r="T373" i="16"/>
  <c r="U373" i="16" s="1"/>
  <c r="M5" i="9"/>
  <c r="I22" i="10"/>
  <c r="X291" i="16"/>
  <c r="P290" i="16"/>
  <c r="R290" i="16" s="1"/>
  <c r="Q316" i="16"/>
  <c r="R316" i="16" s="1"/>
  <c r="J13" i="10"/>
  <c r="U291" i="16"/>
  <c r="J11" i="10"/>
  <c r="J10" i="10"/>
  <c r="J12" i="10"/>
  <c r="AF304" i="16"/>
  <c r="J5" i="11"/>
  <c r="M5" i="11"/>
  <c r="Q6" i="16"/>
  <c r="Q10" i="16"/>
  <c r="Q3" i="16"/>
  <c r="Q14" i="16"/>
  <c r="Q5" i="16"/>
  <c r="Q4" i="16"/>
  <c r="Q2" i="16"/>
  <c r="Q11" i="16"/>
  <c r="Q12" i="16"/>
  <c r="Q13" i="16"/>
  <c r="V304" i="16"/>
  <c r="W304" i="16" s="1"/>
  <c r="X341" i="16"/>
  <c r="AD373" i="16"/>
  <c r="R291" i="16"/>
  <c r="AC295" i="16"/>
  <c r="G13" i="8"/>
  <c r="R341" i="16"/>
  <c r="I24" i="10"/>
  <c r="Z304" i="16"/>
  <c r="X306" i="16"/>
  <c r="M28" i="23" l="1"/>
  <c r="AG373" i="16"/>
  <c r="G12" i="8"/>
  <c r="D42" i="20"/>
  <c r="M31" i="9"/>
  <c r="F41" i="20"/>
  <c r="Z373" i="16"/>
  <c r="AA373" i="16" s="1"/>
  <c r="E42" i="20"/>
  <c r="F42" i="20" l="1"/>
</calcChain>
</file>

<file path=xl/sharedStrings.xml><?xml version="1.0" encoding="utf-8"?>
<sst xmlns="http://schemas.openxmlformats.org/spreadsheetml/2006/main" count="1199" uniqueCount="542">
  <si>
    <t>НЕОСТОРОЖНОЕ ОБРАЩЕНИЕ С ОГНЕМ</t>
  </si>
  <si>
    <t>НАРУШЕНИЕ ПУиЭ ТРАНСПОРТНЫХ СРЕДСТВ</t>
  </si>
  <si>
    <t>ДРУГИЕ ПРИЧИНЫ</t>
  </si>
  <si>
    <t>Сведения по пожарам по Чувашской Республике</t>
  </si>
  <si>
    <t>В городах и райцентрах</t>
  </si>
  <si>
    <t xml:space="preserve">В сельской местности  </t>
  </si>
  <si>
    <t xml:space="preserve">По республике         </t>
  </si>
  <si>
    <t>Наименование района</t>
  </si>
  <si>
    <t>Количество пожаров</t>
  </si>
  <si>
    <t>Ущерб</t>
  </si>
  <si>
    <t>Гибель</t>
  </si>
  <si>
    <t>%</t>
  </si>
  <si>
    <t>с</t>
  </si>
  <si>
    <t>по</t>
  </si>
  <si>
    <t>Аналогично - прошлый год</t>
  </si>
  <si>
    <t>травмировано людей</t>
  </si>
  <si>
    <t>Спасено людей</t>
  </si>
  <si>
    <t xml:space="preserve">Расчет </t>
  </si>
  <si>
    <t xml:space="preserve">1.Всего пожаров </t>
  </si>
  <si>
    <t xml:space="preserve"> в т.ч. крупных </t>
  </si>
  <si>
    <t xml:space="preserve">2. Всего на объектах промышленности: </t>
  </si>
  <si>
    <t xml:space="preserve"> легкая промышленность </t>
  </si>
  <si>
    <t xml:space="preserve"> деревообрабатывающая пром. </t>
  </si>
  <si>
    <t xml:space="preserve"> промышленность стройматериал</t>
  </si>
  <si>
    <t xml:space="preserve"> тракторсельхоз промышленност</t>
  </si>
  <si>
    <t xml:space="preserve"> пищевая промышленность </t>
  </si>
  <si>
    <t xml:space="preserve"> прочие объекты промышленност (в т.ч.строит.вагонч.,будки)</t>
  </si>
  <si>
    <t xml:space="preserve">3.Всего на объектах с/произв. </t>
  </si>
  <si>
    <t xml:space="preserve"> животноводческих постр. </t>
  </si>
  <si>
    <t xml:space="preserve"> в местах хранения и обработк</t>
  </si>
  <si>
    <t xml:space="preserve"> прочие(стога,поле,техника..)</t>
  </si>
  <si>
    <t xml:space="preserve">4.Объекты торговли </t>
  </si>
  <si>
    <t xml:space="preserve"> чувашпотребсоюз </t>
  </si>
  <si>
    <t xml:space="preserve"> муниципальные </t>
  </si>
  <si>
    <t xml:space="preserve"> прочие(частн.,кооп. и т.д.) </t>
  </si>
  <si>
    <t>5.На объктах с масс.преб.людей</t>
  </si>
  <si>
    <t xml:space="preserve"> министерство здравохранения </t>
  </si>
  <si>
    <t xml:space="preserve"> министерство культуры </t>
  </si>
  <si>
    <t xml:space="preserve"> министерство образования </t>
  </si>
  <si>
    <t xml:space="preserve"> прочие </t>
  </si>
  <si>
    <t xml:space="preserve">6. Всего в жилых домах: </t>
  </si>
  <si>
    <t xml:space="preserve"> городов и райцентров </t>
  </si>
  <si>
    <t xml:space="preserve"> сельской местности </t>
  </si>
  <si>
    <t xml:space="preserve">7. В жилом секторе </t>
  </si>
  <si>
    <t>8. Основные причины пожаров: -неост. обращение с огн</t>
  </si>
  <si>
    <t xml:space="preserve"> в т.ч. неостор.при курении </t>
  </si>
  <si>
    <t xml:space="preserve"> -детская шалость </t>
  </si>
  <si>
    <t xml:space="preserve"> -наруш. правил устр-ва и э электрооборудования, в т.ч.</t>
  </si>
  <si>
    <t xml:space="preserve"> -наруш. правил при эксплуат электрооборудования </t>
  </si>
  <si>
    <t xml:space="preserve"> несоблюдение правил при эксп электробытовых приборов </t>
  </si>
  <si>
    <t xml:space="preserve"> -неиспр. и несоблюдение при эксплуатации печей </t>
  </si>
  <si>
    <t xml:space="preserve"> в т.ч. неисправность отоп.пе</t>
  </si>
  <si>
    <t xml:space="preserve"> в т.ч. НППБ при экспл. печей</t>
  </si>
  <si>
    <t xml:space="preserve"> -грозовые разряды </t>
  </si>
  <si>
    <t xml:space="preserve"> -поджоги </t>
  </si>
  <si>
    <t xml:space="preserve"> -неустановленные </t>
  </si>
  <si>
    <t xml:space="preserve"> -газовые приборы </t>
  </si>
  <si>
    <t xml:space="preserve"> -электросварочные работы </t>
  </si>
  <si>
    <t xml:space="preserve"> -технологические процессы </t>
  </si>
  <si>
    <t xml:space="preserve"> -взрывы </t>
  </si>
  <si>
    <t xml:space="preserve"> -самовозгорание </t>
  </si>
  <si>
    <t xml:space="preserve"> -огневые работы </t>
  </si>
  <si>
    <t xml:space="preserve"> -прочие </t>
  </si>
  <si>
    <t xml:space="preserve"> виновники пож. в нетр. сост.</t>
  </si>
  <si>
    <t xml:space="preserve">9. Новостройки </t>
  </si>
  <si>
    <t xml:space="preserve">10. Администр.-общественные здания </t>
  </si>
  <si>
    <t xml:space="preserve">11. Прочие </t>
  </si>
  <si>
    <t xml:space="preserve">12. Транспорт </t>
  </si>
  <si>
    <t xml:space="preserve">13. Уничтожено животн.зданий </t>
  </si>
  <si>
    <t xml:space="preserve">14. Здания учебных учреждений </t>
  </si>
  <si>
    <t xml:space="preserve">15. Здания детских учреждений </t>
  </si>
  <si>
    <t xml:space="preserve">16. Здания культурных учреждений </t>
  </si>
  <si>
    <t xml:space="preserve">17. Здания лечебных учреждений </t>
  </si>
  <si>
    <t xml:space="preserve">18. Дачные кооперативы </t>
  </si>
  <si>
    <t xml:space="preserve">19. Жилищные кооперативы </t>
  </si>
  <si>
    <t xml:space="preserve">20. Гаражные кооперативы </t>
  </si>
  <si>
    <t xml:space="preserve">21. Предприятия БОН </t>
  </si>
  <si>
    <t xml:space="preserve">22. Учебные учреждения </t>
  </si>
  <si>
    <t xml:space="preserve">23. Детские учреждения </t>
  </si>
  <si>
    <t xml:space="preserve">24. Культ-зрел учреждения </t>
  </si>
  <si>
    <t xml:space="preserve">25. Леч-проф учреждения </t>
  </si>
  <si>
    <t xml:space="preserve">26. Объекты, охр. ГПС </t>
  </si>
  <si>
    <t xml:space="preserve"> в т.ч. на объектах ВПО </t>
  </si>
  <si>
    <t xml:space="preserve">27. На объектах МВД </t>
  </si>
  <si>
    <t>погибло</t>
  </si>
  <si>
    <t>травмировано</t>
  </si>
  <si>
    <t>Ун.строений</t>
  </si>
  <si>
    <t>Ун.техники</t>
  </si>
  <si>
    <t>Ун.кр.скота</t>
  </si>
  <si>
    <t>Ун.мелк.скота</t>
  </si>
  <si>
    <t>Ун.птицы</t>
  </si>
  <si>
    <t>Ун.площади</t>
  </si>
  <si>
    <t>уничт.зерн культур</t>
  </si>
  <si>
    <t>уничт.техн.культур</t>
  </si>
  <si>
    <t>уничт.кормов</t>
  </si>
  <si>
    <t>спасено людей</t>
  </si>
  <si>
    <t>спасено мат.цен.</t>
  </si>
  <si>
    <t>спасено техники</t>
  </si>
  <si>
    <t>спасено кр. скота</t>
  </si>
  <si>
    <t>спасено мелк.  скота</t>
  </si>
  <si>
    <t xml:space="preserve">OБСТАНОВКА С ПОЖАРАМИ </t>
  </si>
  <si>
    <t xml:space="preserve">РАСПРЕДЕЛЕНИЕ  ПОЖАРОВ </t>
  </si>
  <si>
    <t>В ЧУВАШСКОЙ РЕСПУБЛИКЕ</t>
  </si>
  <si>
    <t xml:space="preserve"> ПО  ПРИЧИНАМ  ВОЗНИКНОВЕНИЯ</t>
  </si>
  <si>
    <t xml:space="preserve"> </t>
  </si>
  <si>
    <t>%%</t>
  </si>
  <si>
    <t>кол-во</t>
  </si>
  <si>
    <t>(+,-)</t>
  </si>
  <si>
    <t>Количество пожаров, в т.ч.:</t>
  </si>
  <si>
    <t>в городах и райцентрах</t>
  </si>
  <si>
    <t>Поджоги</t>
  </si>
  <si>
    <t>в сельской местности</t>
  </si>
  <si>
    <t>НППБ при экспл. и устр. э/оборудования</t>
  </si>
  <si>
    <t>Кол. пожаров на 10 тыс.населения</t>
  </si>
  <si>
    <t>Ущерб всего (млн.руб)</t>
  </si>
  <si>
    <t>Неосторожное обращение с огнем</t>
  </si>
  <si>
    <t>Ущерб на 1 пожар ( руб)</t>
  </si>
  <si>
    <t>Ущерб на 1 чел. (руб)</t>
  </si>
  <si>
    <t>В нетрезвом состоянии</t>
  </si>
  <si>
    <t>Погибло людей</t>
  </si>
  <si>
    <t>НППБ при экспл. и неиспр. печей</t>
  </si>
  <si>
    <t>Погибло людей на 10 тыс. населения</t>
  </si>
  <si>
    <t>УНИЧТОЖЕНО ОГНЕМ</t>
  </si>
  <si>
    <t>Детская шалость</t>
  </si>
  <si>
    <t>НППБ при проведении электрогазосварочных работ</t>
  </si>
  <si>
    <t>Газовые приборы</t>
  </si>
  <si>
    <t>Самовозгорание</t>
  </si>
  <si>
    <t>Строений, единиц</t>
  </si>
  <si>
    <t>Неустановленные причины</t>
  </si>
  <si>
    <t>Скота: крупного</t>
  </si>
  <si>
    <t>Грозовые разряды</t>
  </si>
  <si>
    <t>мелкого</t>
  </si>
  <si>
    <t>Взрывы</t>
  </si>
  <si>
    <t>Автотехники, единиц</t>
  </si>
  <si>
    <t>Зерновых культур, тонн</t>
  </si>
  <si>
    <t>РАСПРЕДЕЛЕНИЕ ПОЖАРОВ ПО</t>
  </si>
  <si>
    <t>Кормов,</t>
  </si>
  <si>
    <t>МЕСТАМ ВОЗНИКНОВЕНИЯ</t>
  </si>
  <si>
    <t>технических культур,тонн</t>
  </si>
  <si>
    <t>сравнение</t>
  </si>
  <si>
    <t>СПАСЕНО</t>
  </si>
  <si>
    <t>Объкты промышленности</t>
  </si>
  <si>
    <t>Объкты торговли</t>
  </si>
  <si>
    <t>Сельскозобъекты</t>
  </si>
  <si>
    <t>Объекты с массовым пребыванием людей</t>
  </si>
  <si>
    <t>Людей</t>
  </si>
  <si>
    <t>Лечебные учреждения</t>
  </si>
  <si>
    <t>Техники</t>
  </si>
  <si>
    <t>Культурно-зрелищные учреждения</t>
  </si>
  <si>
    <t>Учебные учреждения</t>
  </si>
  <si>
    <t>Административные учреждения</t>
  </si>
  <si>
    <t>Материальных ценностей, млн.руб.</t>
  </si>
  <si>
    <t>Жилые дома</t>
  </si>
  <si>
    <t>Строящиеся объекты</t>
  </si>
  <si>
    <t>Транспорт</t>
  </si>
  <si>
    <t>ОБСТАHОВКА</t>
  </si>
  <si>
    <t>Ущерб на 1 чел.</t>
  </si>
  <si>
    <t>г.Чебоксары</t>
  </si>
  <si>
    <t>Ленинский</t>
  </si>
  <si>
    <t>Московский</t>
  </si>
  <si>
    <t>Калининский</t>
  </si>
  <si>
    <t>Алатырский</t>
  </si>
  <si>
    <t>г.Алатырь</t>
  </si>
  <si>
    <t>п.Киря</t>
  </si>
  <si>
    <t>Аликовский</t>
  </si>
  <si>
    <t>с.Аликово</t>
  </si>
  <si>
    <t>Батыревский</t>
  </si>
  <si>
    <t>c.Батырево</t>
  </si>
  <si>
    <t>Вурнарский</t>
  </si>
  <si>
    <t>п.Вурнары</t>
  </si>
  <si>
    <t>Ибресинский</t>
  </si>
  <si>
    <t>п.Ибреси</t>
  </si>
  <si>
    <t>п.Буинск</t>
  </si>
  <si>
    <t>Канашский</t>
  </si>
  <si>
    <t>г.Канаш</t>
  </si>
  <si>
    <t>Козловский</t>
  </si>
  <si>
    <t>г.Козловка</t>
  </si>
  <si>
    <t>Комсомольский</t>
  </si>
  <si>
    <t>с.Комсомольское</t>
  </si>
  <si>
    <t>Красноармейский</t>
  </si>
  <si>
    <t>с.Красноармейское</t>
  </si>
  <si>
    <t>Красночетайский</t>
  </si>
  <si>
    <t>с.Красные-Четаи</t>
  </si>
  <si>
    <t>Марпосадский</t>
  </si>
  <si>
    <t>г.Марпосад</t>
  </si>
  <si>
    <t>Моргаушский</t>
  </si>
  <si>
    <t>с.Моргауши</t>
  </si>
  <si>
    <t>с.Б-Сундырь</t>
  </si>
  <si>
    <t>г.Новочебоксарск</t>
  </si>
  <si>
    <t>Порецкий</t>
  </si>
  <si>
    <t>с.Порецкое</t>
  </si>
  <si>
    <t>Урмарский</t>
  </si>
  <si>
    <t>п.Урмары</t>
  </si>
  <si>
    <t>Цивильский</t>
  </si>
  <si>
    <t>г.Цивильск</t>
  </si>
  <si>
    <t>Чебоксарский</t>
  </si>
  <si>
    <t>п.Кугеси</t>
  </si>
  <si>
    <t>Шемуршинский</t>
  </si>
  <si>
    <t>с.Шемурша</t>
  </si>
  <si>
    <t>Шумерлинский</t>
  </si>
  <si>
    <t>г.Шумерля</t>
  </si>
  <si>
    <t>Ядринский</t>
  </si>
  <si>
    <t>г.Ядрин</t>
  </si>
  <si>
    <t>Яльчикский</t>
  </si>
  <si>
    <t>с.Яльчики</t>
  </si>
  <si>
    <t>Янтиковский</t>
  </si>
  <si>
    <t>с.Янтиково</t>
  </si>
  <si>
    <t>В сельской местности</t>
  </si>
  <si>
    <t>По республике</t>
  </si>
  <si>
    <t>Пожары на 10 тыс.
 населения</t>
  </si>
  <si>
    <t>Количество 
пожаров</t>
  </si>
  <si>
    <t>Общий убыток
(руб.)</t>
  </si>
  <si>
    <t>Средн. ущерб
на 1 пожар(руб.)</t>
  </si>
  <si>
    <t>Вкладки "На 10 тыс." и "В блокнот" достоверны только после одновременного расчета предыдущих форм</t>
  </si>
  <si>
    <t>"Grig1", "Grig2", "Posled1", "Posled2"</t>
  </si>
  <si>
    <t>Надпись "в Блокноте"</t>
  </si>
  <si>
    <t>Наименование</t>
  </si>
  <si>
    <t>Текущий год</t>
  </si>
  <si>
    <t>Прошлый год</t>
  </si>
  <si>
    <t>Травмировано людей</t>
  </si>
  <si>
    <t xml:space="preserve">НПУиЭ печей </t>
  </si>
  <si>
    <t>НПУиЭ электрооборудования</t>
  </si>
  <si>
    <t>Объекты торговли</t>
  </si>
  <si>
    <t>Производственные здания</t>
  </si>
  <si>
    <t>Жилой сектор</t>
  </si>
  <si>
    <t>--</t>
  </si>
  <si>
    <t>№</t>
  </si>
  <si>
    <t>Наименование показателя, единица измерения</t>
  </si>
  <si>
    <t>Значение показателя</t>
  </si>
  <si>
    <t>Количество пожаров, ед.</t>
  </si>
  <si>
    <t>Число людей погибших на пожарах, чел.</t>
  </si>
  <si>
    <t>В том числе: число детей погибших при пожарах, чел.</t>
  </si>
  <si>
    <t>Число людей травмированных на пожарах, чел.</t>
  </si>
  <si>
    <t>Количество людей спасенных на пожарах, чел.</t>
  </si>
  <si>
    <t>Стоимость материальных ценностей, спасенных на пожарах, тыс.руб.</t>
  </si>
  <si>
    <t>погибло детей</t>
  </si>
  <si>
    <t>ЕЖЕНЕДЕЛЬНЫЕ СВЕДЕНИЯ ПО ПОЖАРАМ И ИХ ПОСЛЕДСТВИЯМ</t>
  </si>
  <si>
    <t>ущерб (млн.руб.)</t>
  </si>
  <si>
    <t>пожары</t>
  </si>
  <si>
    <t>погибшие</t>
  </si>
  <si>
    <t>травмированые</t>
  </si>
  <si>
    <t>пожары на 10 тыс.</t>
  </si>
  <si>
    <t>погибло на 10 тыс.</t>
  </si>
  <si>
    <t>травмировано на 10 тыс.</t>
  </si>
  <si>
    <t>тавмировано на 10 тыс.</t>
  </si>
  <si>
    <t>2007</t>
  </si>
  <si>
    <t>что составляет</t>
  </si>
  <si>
    <t>от общего количества;</t>
  </si>
  <si>
    <t>случаев</t>
  </si>
  <si>
    <r>
      <t>§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 xml:space="preserve"> неосторожное обращение с огнем</t>
    </r>
  </si>
  <si>
    <r>
      <t>§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 xml:space="preserve"> нарушение правил устройства и эксплуатации электрооборудования </t>
    </r>
  </si>
  <si>
    <r>
      <t>§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 xml:space="preserve"> неисправность и несоблюдение ППБ при эксплуатации отопительных печей</t>
    </r>
  </si>
  <si>
    <r>
      <t>§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 xml:space="preserve"> детская шалость с огнем</t>
    </r>
  </si>
  <si>
    <r>
      <t>§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 xml:space="preserve"> виновники в нетрезвом состоянии</t>
    </r>
  </si>
  <si>
    <r>
      <t>§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4"/>
        <color indexed="8"/>
        <rFont val="Times New Roman"/>
        <family val="1"/>
        <charset val="204"/>
      </rPr>
      <t xml:space="preserve"> поджоги</t>
    </r>
  </si>
  <si>
    <t>жилом секторе</t>
  </si>
  <si>
    <t xml:space="preserve">На города пришлось </t>
  </si>
  <si>
    <t>общего количества пожаров</t>
  </si>
  <si>
    <t>числа погибших</t>
  </si>
  <si>
    <t>травмированных при пожарах людей</t>
  </si>
  <si>
    <t>материального ущерба</t>
  </si>
  <si>
    <t>D:\BACKUP\FBDBase\data07.fbd</t>
  </si>
  <si>
    <t>D:\BACKUP\FBDBase\2008\DATA.fbd</t>
  </si>
  <si>
    <t>2008</t>
  </si>
  <si>
    <t xml:space="preserve">                        </t>
  </si>
  <si>
    <t>1.10.</t>
  </si>
  <si>
    <t>с 00:00 01.01.2008 г. по 00:00 01.01.2009 г.</t>
  </si>
  <si>
    <t>Прямой ущерб, руб</t>
  </si>
  <si>
    <t>Кол-во спасенных людей, чел</t>
  </si>
  <si>
    <t>Кол-во травмированных людей, чел</t>
  </si>
  <si>
    <t>Алатырский р-н</t>
  </si>
  <si>
    <t>Аликовский р-н</t>
  </si>
  <si>
    <t>Батыревский р-н</t>
  </si>
  <si>
    <t>Вурнарский р-н</t>
  </si>
  <si>
    <t>Ибресинский р-н</t>
  </si>
  <si>
    <t>Канашский р-н</t>
  </si>
  <si>
    <t>Козловский р-н</t>
  </si>
  <si>
    <t>Комсомольский р-н</t>
  </si>
  <si>
    <t>Красноармейский р-н</t>
  </si>
  <si>
    <t>Красночетайский р-н</t>
  </si>
  <si>
    <t>Марпосадский р-н</t>
  </si>
  <si>
    <t>Моргаушский р-н</t>
  </si>
  <si>
    <t>Порецкий р-н</t>
  </si>
  <si>
    <t>Урмарский р-н</t>
  </si>
  <si>
    <t>Цивильский р-н</t>
  </si>
  <si>
    <t>Чебоксарский р-н</t>
  </si>
  <si>
    <t>Шемуршинский р-н</t>
  </si>
  <si>
    <t>Шумерлинский р-н</t>
  </si>
  <si>
    <t>Ядринский р-н</t>
  </si>
  <si>
    <t>Яльчикский р-н</t>
  </si>
  <si>
    <t>Янтиковский р-н</t>
  </si>
  <si>
    <t>Ленинский р-н</t>
  </si>
  <si>
    <t>Калининский р-н</t>
  </si>
  <si>
    <t>Московский р-н</t>
  </si>
  <si>
    <t>Чувашская  Республика - Чувашия</t>
  </si>
  <si>
    <t>г. Алатырь</t>
  </si>
  <si>
    <t>г. Канаш</t>
  </si>
  <si>
    <t>г. Шумерля</t>
  </si>
  <si>
    <t>г. Козловка</t>
  </si>
  <si>
    <t>г. Мариинский Посад</t>
  </si>
  <si>
    <t>г. Цивильск</t>
  </si>
  <si>
    <t>г. Ядрин</t>
  </si>
  <si>
    <t>п. Киря</t>
  </si>
  <si>
    <t>с. Аликово</t>
  </si>
  <si>
    <t>с. Батырево</t>
  </si>
  <si>
    <t>п. Вурнары</t>
  </si>
  <si>
    <t>п. Ибреси</t>
  </si>
  <si>
    <t>п. Буинск</t>
  </si>
  <si>
    <t>с. Комсомольское</t>
  </si>
  <si>
    <t>с. Красноармейское</t>
  </si>
  <si>
    <t>с. Красные Четаи</t>
  </si>
  <si>
    <t>с. Моргауши</t>
  </si>
  <si>
    <t>с. Большой Сундырь</t>
  </si>
  <si>
    <t>с. Порецкое</t>
  </si>
  <si>
    <t>с. Урмары</t>
  </si>
  <si>
    <t>п. Кугеси</t>
  </si>
  <si>
    <t>с. Шемурша</t>
  </si>
  <si>
    <t>с. Яльчики</t>
  </si>
  <si>
    <t>с. Янтиково</t>
  </si>
  <si>
    <t>Прочие объекты пожара</t>
  </si>
  <si>
    <t>Неосторожность при курении</t>
  </si>
  <si>
    <t>Неосторожное обращение с огнем детей</t>
  </si>
  <si>
    <t>Спасено материальных ценностей, руб</t>
  </si>
  <si>
    <t>Кол-во спасенной автотр и др техники, ед</t>
  </si>
  <si>
    <t>Кол-во голов спасенного крупного скота</t>
  </si>
  <si>
    <t>Кол-во голов спасенного мелкого скота</t>
  </si>
  <si>
    <t>Зданий (сооружений) уничтожено, ед</t>
  </si>
  <si>
    <t>Поэтажной площади уничтожено, кв м</t>
  </si>
  <si>
    <t>Автотракторн и др техники уничтожено, ед</t>
  </si>
  <si>
    <t>Зерновых культур уничтожено, тонн</t>
  </si>
  <si>
    <t>Кормов уничтожено, тонн</t>
  </si>
  <si>
    <t>Технических культур уничтожено, тонн</t>
  </si>
  <si>
    <t>Крупного скота уничтожено, голов</t>
  </si>
  <si>
    <t>Мелкого скота уничтожено, голов</t>
  </si>
  <si>
    <t>Птицы уничтожено, штук</t>
  </si>
  <si>
    <t>Здания производственного назначения</t>
  </si>
  <si>
    <t>Складские здания</t>
  </si>
  <si>
    <t>Транспортные средства</t>
  </si>
  <si>
    <t>Места открытого хранения веществ, материалов, с/х угодья и прочие открытые территории</t>
  </si>
  <si>
    <t>Здания жилого назначения и надворные постройки</t>
  </si>
  <si>
    <t>Животноводческие здания и сооружения</t>
  </si>
  <si>
    <t>Звероводческие здания и сооружения</t>
  </si>
  <si>
    <t>Птицеводческие здания и сооружения</t>
  </si>
  <si>
    <t>Прочие сельскохозяйственные здания и сооружения</t>
  </si>
  <si>
    <t>Строящиеся  (реконструируемые) здания (сооружения)</t>
  </si>
  <si>
    <t>Сооружения, установки промышленного назначения</t>
  </si>
  <si>
    <t>Здания, сооружения и помещения предприятий торговли</t>
  </si>
  <si>
    <t>Здания, помещения учебно-воспитательного назначения</t>
  </si>
  <si>
    <t>Здания, помещения здравоохранения и социального обслуживания населения</t>
  </si>
  <si>
    <t>Административные здания</t>
  </si>
  <si>
    <t>Неисправность производст-го оборудования, нарушение тех.процесса производства</t>
  </si>
  <si>
    <t>Нарушение пуиэ электрооборудования</t>
  </si>
  <si>
    <t>Нарушение пуиэ печей</t>
  </si>
  <si>
    <t>Нарушение пуиэ теплогенерирующих агрегатов и установок</t>
  </si>
  <si>
    <t>Другие причины</t>
  </si>
  <si>
    <t>в т.ч. неосторожность при курении</t>
  </si>
  <si>
    <t>- неосторожное обращение с огнем детей</t>
  </si>
  <si>
    <r>
      <t>Основные причины пожаров:</t>
    </r>
    <r>
      <rPr>
        <sz val="9"/>
        <rFont val="Arial Cyr"/>
        <charset val="204"/>
      </rPr>
      <t xml:space="preserve"> Умышленные действия по уничтожению имущества (поджог)</t>
    </r>
  </si>
  <si>
    <t>Кол-во пожаров, ед.</t>
  </si>
  <si>
    <t>В городах и поселках городского типа</t>
  </si>
  <si>
    <t>На предприятиях, охраняемых подразде-лениями ФПС</t>
  </si>
  <si>
    <t>Кол-во загораний, ед.</t>
  </si>
  <si>
    <t>В т.ч. в городах</t>
  </si>
  <si>
    <t>В т.ч. в сельской местности</t>
  </si>
  <si>
    <t>ЗДАНИЯ ПРОИЗВОДСТВЕННОГО НАЗНАЧЕНИЯ</t>
  </si>
  <si>
    <t>СКЛАДСКИЕ ЗДАНИЯ</t>
  </si>
  <si>
    <t>МЕСТА ОТКРЫТОГО ХРАНЕНИЯ ВЕЩЕСТВ, МАТЕРИАЛОВ, С/Х УГОДЬЯ И ПРОЧИЕ ОТКРЫТЫЕ ТЕРРИТОРИИ</t>
  </si>
  <si>
    <t>ЗДАНИЯ ЖИЛОГО НАЗНАЧЕНИЯ И НАДВОРНЫЕ ПОСТРОЙКИ</t>
  </si>
  <si>
    <t>ЖИВОТНОВОДЧЕСКИЕ ЗДАНИЯ И СООРУЖЕНИЯ</t>
  </si>
  <si>
    <t>ЗВЕРОВОДЧЕСКИЕ ЗДАНИЯ И СООРУЖЕНИЯ</t>
  </si>
  <si>
    <t>РАСТЕНИЕВОДЧЕСКИЕ И ОВОЩЕВОДЧЕСКИЕ ЗДАНИЯ И СООРУЖЕНИЯ</t>
  </si>
  <si>
    <t>ПТИЦЕВОДЧЕСКИЕ ЗДАНИЯ И СООРУЖЕНИЯ</t>
  </si>
  <si>
    <t>РЫБОВОДЧЕСКИЕ ЗДАНИЯ И СООРУЖЕНИЯ</t>
  </si>
  <si>
    <t>ПРОЧИЕ СЕЛЬСКОХОЗЯЙСТВЕННЫЕ ЗДАНИЯ И СООРУЖЕНИЯ</t>
  </si>
  <si>
    <t>СТРОЯЩИЕСЯ  (РЕКОНСТРУИРУЕМЫЕ) ЗДАНИЯ (СООРУЖЕНИЯ)</t>
  </si>
  <si>
    <t>СООРУЖЕНИЯ, УСТАНОВКИ ПРОМЫШЛЕННОГО НАЗНАЧЕНИЯ</t>
  </si>
  <si>
    <t>ТРАНСПОРТНЫЕ СРЕДСТВА</t>
  </si>
  <si>
    <t>ЗДАНИЯ, СООРУЖЕНИЯ И ПОМЕЩЕНИЯ ПРЕДПРИЯТИЙ ТОРГОВЛИ</t>
  </si>
  <si>
    <t>ЗДАНИЯ, ПОМЕЩЕНИЯ УЧЕБНО-ВОСПИТАТЕЛЬНОГО НАЗНАЧЕНИЯ</t>
  </si>
  <si>
    <t>ЗДАНИЯ, ПОМЕЩЕНИЯ ЗДРАВООХРАНЕНИЯ И СОЦИАЛЬНОГО ОБСЛУЖИВАНИЯ НАСЕЛЕНИЯ</t>
  </si>
  <si>
    <t>ЗДАНИЯ, ПОМЕЩЕНИЯ СЕРВИСНОГО ОБСЛУЖИВАНИЯ НАСЕЛЕНИЯ</t>
  </si>
  <si>
    <t>АДМИНИСТРАТИВНЫЕ ЗДАНИЯ</t>
  </si>
  <si>
    <t>ЗДАНИЯ, СООРУЖЕНИЯ И ПОМЕЩЕНИЯ ДЛЯ КУЛЬТУРНО-ДОСУГОВОЙ ДЕЯТЕЛЬНОСТИ НАСЕЛЕНИЯ И РЕЛИГ. ОБРЯДОВ</t>
  </si>
  <si>
    <t>ЗДАНИЯ И ПОМЕЩЕНИЯ ДЛЯ ВРЕМЕННОГО ПРЕБЫВАНИЯ (ПРОЖИВАНИЯ) ЛЮДЕЙ</t>
  </si>
  <si>
    <t>ПРОЧИЕ ОБЪЕКТЫ ПОЖАРА</t>
  </si>
  <si>
    <t>УМЫШЛЕННЫЕ ДЕЙСТВИЯ ПО УНИЧТОЖЕНИЮ ИМУЩЕСТВА (ПОДЖОГ)</t>
  </si>
  <si>
    <t>НЕИСПРАВНОСТЬ ПРОИЗВОДСТ-ГО ОБОРУДОВАНИЯ, НАРУШЕНИЕ ТЕХ.ПРОЦЕССА ПРОИЗВОДСТВА</t>
  </si>
  <si>
    <t>НАРУШЕНИЕ ПУиЭ ЭЛЕКТРООБОРУДОВАНИЯ</t>
  </si>
  <si>
    <t>НАРУШЕНИЕ ПУиЭ ПЕЧЕЙ</t>
  </si>
  <si>
    <t>НАРУШЕНИЕ ПУиЭ ТЕПЛОГЕНЕРИРУЮЩИХ АГРЕГАТОВ И УСТАНОВОК</t>
  </si>
  <si>
    <t>Виновники пож. в нетр. сост.</t>
  </si>
  <si>
    <t>Пьяный (алкогольное, наркотическое опьянение)</t>
  </si>
  <si>
    <t>кол-во пожаров</t>
  </si>
  <si>
    <t>гибель люжей</t>
  </si>
  <si>
    <t>01.01-31.01.2009</t>
  </si>
  <si>
    <t>01.01-31.01.2005</t>
  </si>
  <si>
    <t>01.01-31.01.2006</t>
  </si>
  <si>
    <t>01.01-31.01.2007</t>
  </si>
  <si>
    <t>01.01-31.01.2008</t>
  </si>
  <si>
    <t>Нижегородской области,</t>
  </si>
  <si>
    <t>(8312) 67 89 90</t>
  </si>
  <si>
    <t>01-nn@sandy.ru</t>
  </si>
  <si>
    <t>Пензенской области,</t>
  </si>
  <si>
    <t>(8412) 64 62 92</t>
  </si>
  <si>
    <t>obryv@penza.net</t>
  </si>
  <si>
    <t>Ульяновской области ,</t>
  </si>
  <si>
    <t>(8422) 31 49 89</t>
  </si>
  <si>
    <t>ugps@mv.ru</t>
  </si>
  <si>
    <t xml:space="preserve">Самарской области </t>
  </si>
  <si>
    <t>(8462) 42 45 53</t>
  </si>
  <si>
    <t>ugps@samara01.ru</t>
  </si>
  <si>
    <t xml:space="preserve">Кировской области , </t>
  </si>
  <si>
    <t>(8332) 64 69 62</t>
  </si>
  <si>
    <t>firekir@kirpoj.kirov.ru</t>
  </si>
  <si>
    <t>Пермской области ,</t>
  </si>
  <si>
    <t>(3422) 12 89 52</t>
  </si>
  <si>
    <t>firedept@ugps.perm.su</t>
  </si>
  <si>
    <t>Саратовской области ,</t>
  </si>
  <si>
    <t>(8452) 27 99 40</t>
  </si>
  <si>
    <t>Оренбургской области,</t>
  </si>
  <si>
    <t xml:space="preserve">(3532) 77 25 04 </t>
  </si>
  <si>
    <t>Республики Татарстан,</t>
  </si>
  <si>
    <t>(8432) 92 56 52</t>
  </si>
  <si>
    <t>ugps_rt@mi.ru</t>
  </si>
  <si>
    <t xml:space="preserve">Республики Удмуртия, </t>
  </si>
  <si>
    <t>(3412) 22 67 90</t>
  </si>
  <si>
    <t>ugps01@udmlinс.ru</t>
  </si>
  <si>
    <t>Республики Башкортостан,</t>
  </si>
  <si>
    <t>(3472) 35 30 48</t>
  </si>
  <si>
    <t xml:space="preserve">Республики Мордовия, </t>
  </si>
  <si>
    <t>(8342) 32 15 33</t>
  </si>
  <si>
    <t>ugps@moris.ru</t>
  </si>
  <si>
    <t>Республики Марий Эл.</t>
  </si>
  <si>
    <t>(8362) 63 02 40</t>
  </si>
  <si>
    <t>ugps@mari-el.ru</t>
  </si>
  <si>
    <t>В Целях обмена информацией прошу Вас сообщить</t>
  </si>
  <si>
    <t>Сведения</t>
  </si>
  <si>
    <t xml:space="preserve"> о пожарах и последствиях от них</t>
  </si>
  <si>
    <t>по Чувашской Республике</t>
  </si>
  <si>
    <t>Наименование показателей</t>
  </si>
  <si>
    <t>проценты</t>
  </si>
  <si>
    <t>Прямой ущерб (в руб)</t>
  </si>
  <si>
    <t>Гибель людей</t>
  </si>
  <si>
    <t>В том числе детей</t>
  </si>
  <si>
    <t>Травмировано</t>
  </si>
  <si>
    <t>Последствия от пожаров (уничтожено)</t>
  </si>
  <si>
    <t>строений</t>
  </si>
  <si>
    <t>кр. скота</t>
  </si>
  <si>
    <t>подвижной техники</t>
  </si>
  <si>
    <t>кормов</t>
  </si>
  <si>
    <t>Относительные значения</t>
  </si>
  <si>
    <t>Количество пожаров на 10 тыс. населения</t>
  </si>
  <si>
    <t>средний ущерб на 1 человека (в рублях)</t>
  </si>
  <si>
    <t>средний ущерб на 1 пожар( в рублях)</t>
  </si>
  <si>
    <t>Количество погибших на 10 тыс. населения</t>
  </si>
  <si>
    <t xml:space="preserve"> Население: 1 292 200 человек</t>
  </si>
  <si>
    <t>надворные постройки</t>
  </si>
  <si>
    <t>Одноквартирный жилой дом</t>
  </si>
  <si>
    <t>Многоквартирный жилой дом</t>
  </si>
  <si>
    <t>Садовод., огород. или дачные некоммерческие товарищества</t>
  </si>
  <si>
    <t xml:space="preserve">                                                                                                                    </t>
  </si>
  <si>
    <t xml:space="preserve">                       </t>
  </si>
  <si>
    <t xml:space="preserve">                                                                                                                              </t>
  </si>
  <si>
    <t>Кол-во пожаров, ед</t>
  </si>
  <si>
    <t>Газовая установка, прибор, плита</t>
  </si>
  <si>
    <t>аналогичные сведения о пожарах по Вашему региону</t>
  </si>
  <si>
    <t>электронная почта: apd_ugpn@mail.ru; gu-chr@prvrc.mchs.ru</t>
  </si>
  <si>
    <t>Неисправность и несоблюдение ППБ при эксплуатации отопительных печей</t>
  </si>
  <si>
    <t>Нарушение правил устройства и эксплуатации  электрооборудования</t>
  </si>
  <si>
    <t>Количество материальных спасенных ценностей, млн. руб.</t>
  </si>
  <si>
    <t>Количество погибших</t>
  </si>
  <si>
    <t>Количество травмированных</t>
  </si>
  <si>
    <t>г. Чебоксары</t>
  </si>
  <si>
    <t>statistika@mchsrb.ru</t>
  </si>
  <si>
    <t>doznanie_oren@mail.ru</t>
  </si>
  <si>
    <t>iao@gumchs.saratov.ru</t>
  </si>
  <si>
    <t>Дошкольное образовательное и воспитательное учреждение (детский сад, ясли, дом ребенка и др.)</t>
  </si>
  <si>
    <t>Садовый дом, дача и др.</t>
  </si>
  <si>
    <t>Гибель людей на 10 тыс. населения</t>
  </si>
  <si>
    <t>МЧС России по Чувашской Республике-</t>
  </si>
  <si>
    <t>Количество спасенных</t>
  </si>
  <si>
    <t>в т.ч. садовый дом, дача</t>
  </si>
  <si>
    <t>Начальникам Управлений НД ГУ МЧС России</t>
  </si>
  <si>
    <t>Заместитель начальника Главного управления</t>
  </si>
  <si>
    <t>начальник управления надзорной деятельности</t>
  </si>
  <si>
    <t xml:space="preserve">полковник внутренней службы         </t>
  </si>
  <si>
    <t>Н.В. Петров</t>
  </si>
  <si>
    <t>(8352) 23 11 40</t>
  </si>
  <si>
    <t>Пожары на 100 тыс.
 населения</t>
  </si>
  <si>
    <t>Гибель людей на 100 тыс. населения</t>
  </si>
  <si>
    <t>Другие</t>
  </si>
  <si>
    <t>Неисправности трансп.средств</t>
  </si>
  <si>
    <t>При этом почти все погибшие на пожарах приходятся на жилой сектор, в том числе в жилых домах</t>
  </si>
  <si>
    <t>Травмировано людей на 100 тыс. населения</t>
  </si>
  <si>
    <t xml:space="preserve">Травмировано людей </t>
  </si>
  <si>
    <t>ОТНОШ. ПОЖАРОВ</t>
  </si>
  <si>
    <t>Отнош. травм. К общ.</t>
  </si>
  <si>
    <t>Отнош. гибели к общему кол-ву</t>
  </si>
  <si>
    <t>причины травмирования</t>
  </si>
  <si>
    <t>Поджог</t>
  </si>
  <si>
    <t>Форма №9/ГПС</t>
  </si>
  <si>
    <t>Еженедельная оперативная информация о пожарах</t>
  </si>
  <si>
    <t>Наименование показателя (нарастающим итогом)</t>
  </si>
  <si>
    <t>Предыдущий год (неделя)</t>
  </si>
  <si>
    <t>Отчетный период (неделя)</t>
  </si>
  <si>
    <t xml:space="preserve">     Количество пожаров</t>
  </si>
  <si>
    <t xml:space="preserve">в том числе: </t>
  </si>
  <si>
    <t>в городах</t>
  </si>
  <si>
    <t xml:space="preserve">     Погибло людей при пожарах</t>
  </si>
  <si>
    <t xml:space="preserve">     Травмировано людей при пожарах</t>
  </si>
  <si>
    <t>пож</t>
  </si>
  <si>
    <t>гиб</t>
  </si>
  <si>
    <t>травм</t>
  </si>
  <si>
    <t>ущерб</t>
  </si>
  <si>
    <t>спасено чел</t>
  </si>
  <si>
    <t>Приложение 1</t>
  </si>
  <si>
    <t>Субъект</t>
  </si>
  <si>
    <t>Материальный ущерб,тыс.руб.</t>
  </si>
  <si>
    <t>Чувашская Республика</t>
  </si>
  <si>
    <t>+,- %</t>
  </si>
  <si>
    <t>Анализ пожаров  для ПРЦ</t>
  </si>
  <si>
    <t>г.Алатырь и Алат. р-он</t>
  </si>
  <si>
    <t>г.Канаш и Канаш. р-он</t>
  </si>
  <si>
    <t>г.Шумерля и Шум. р-он</t>
  </si>
  <si>
    <t>Неисправности транспортных средств</t>
  </si>
  <si>
    <t>Места открытого хранения и с/х объекты</t>
  </si>
  <si>
    <t>Прочие объекты</t>
  </si>
  <si>
    <t>и профилактической работы</t>
  </si>
  <si>
    <t>(8352)23-11-40</t>
  </si>
  <si>
    <t>А.Н. Трифонов</t>
  </si>
  <si>
    <t>Носильные вещи (вещи на человеке), горючие вещества на теле человека</t>
  </si>
  <si>
    <t>Носильные вещи (вещи на человеке)</t>
  </si>
  <si>
    <t>Здания сервисного обслуживания населения</t>
  </si>
  <si>
    <t>Здания, сооружения и помещения для культурно-досуговой деятельности населения и религ. обрядов</t>
  </si>
  <si>
    <t>НОсО</t>
  </si>
  <si>
    <t>Кол-во погибших людей, чел</t>
  </si>
  <si>
    <t>с 01.01. по 18.04.2017 года.</t>
  </si>
  <si>
    <t>на 12.03.2018 г.</t>
  </si>
  <si>
    <t>район</t>
  </si>
  <si>
    <t>на 28.05.2018</t>
  </si>
  <si>
    <t>город</t>
  </si>
  <si>
    <r>
      <t xml:space="preserve"> </t>
    </r>
    <r>
      <rPr>
        <b/>
        <sz val="14"/>
        <rFont val="Arial Cyr"/>
        <charset val="204"/>
      </rPr>
      <t>Сведения по пожарам в Чувашской Республике с 00 ч.00мин. 01.01. по 00 ч.00мин. 16.11.2018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</si>
</sst>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\ dd/mm/yyyy"/>
    <numFmt numFmtId="165" formatCode="0.0%"/>
    <numFmt numFmtId="166" formatCode="#,##0.0"/>
    <numFmt numFmtId="167" formatCode="[$-419]d\ mmm;@"/>
    <numFmt numFmtId="168" formatCode="0.0"/>
  </numFmts>
  <fonts count="12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8"/>
      <name val="Times New Roman"/>
      <family val="1"/>
    </font>
    <font>
      <sz val="12"/>
      <name val="Times New Roman Cyr"/>
      <charset val="204"/>
    </font>
    <font>
      <b/>
      <sz val="8"/>
      <name val="Times New Roman"/>
      <family val="1"/>
    </font>
    <font>
      <sz val="8"/>
      <name val="Times New Roman Cyr"/>
      <charset val="204"/>
    </font>
    <font>
      <b/>
      <sz val="8"/>
      <name val="Times New Roman Cyr"/>
      <family val="1"/>
      <charset val="204"/>
    </font>
    <font>
      <sz val="10"/>
      <name val="Times New Roman Cyr"/>
      <family val="1"/>
      <charset val="204"/>
    </font>
    <font>
      <sz val="16"/>
      <name val="Times New Roman"/>
      <family val="1"/>
    </font>
    <font>
      <sz val="14"/>
      <name val="Arial Cyr"/>
      <charset val="204"/>
    </font>
    <font>
      <sz val="14"/>
      <name val="Times New Roman"/>
      <family val="1"/>
    </font>
    <font>
      <sz val="16"/>
      <name val="Arial Cyr"/>
      <charset val="204"/>
    </font>
    <font>
      <sz val="9"/>
      <name val="Tahoma"/>
      <family val="2"/>
    </font>
    <font>
      <b/>
      <sz val="9"/>
      <name val="Tahoma"/>
      <family val="2"/>
    </font>
    <font>
      <sz val="9"/>
      <name val="Arial Cyr"/>
      <charset val="204"/>
    </font>
    <font>
      <i/>
      <sz val="9"/>
      <name val="Arial Cyr"/>
      <family val="2"/>
      <charset val="204"/>
    </font>
    <font>
      <sz val="9"/>
      <name val="Times New Roman"/>
      <family val="1"/>
    </font>
    <font>
      <sz val="9"/>
      <name val="Arial Narrow"/>
      <family val="2"/>
    </font>
    <font>
      <b/>
      <sz val="10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1"/>
      <color indexed="12"/>
      <name val="Arial Cyr"/>
      <charset val="204"/>
    </font>
    <font>
      <sz val="12"/>
      <name val="Arial Cyr"/>
      <charset val="204"/>
    </font>
    <font>
      <b/>
      <sz val="9"/>
      <name val="Times New Roman"/>
      <family val="1"/>
    </font>
    <font>
      <b/>
      <sz val="9"/>
      <name val="Arial Cyr"/>
      <charset val="204"/>
    </font>
    <font>
      <b/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charset val="204"/>
    </font>
    <font>
      <b/>
      <sz val="10"/>
      <color indexed="10"/>
      <name val="Arial Cyr"/>
      <charset val="204"/>
    </font>
    <font>
      <sz val="7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0"/>
      <name val="Arial Cyr"/>
      <charset val="204"/>
    </font>
    <font>
      <sz val="12"/>
      <name val="Times New Roman"/>
      <family val="1"/>
    </font>
    <font>
      <sz val="12"/>
      <name val="Arial Narrow"/>
      <family val="2"/>
    </font>
    <font>
      <b/>
      <sz val="12"/>
      <name val="Arial Cyr"/>
      <charset val="204"/>
    </font>
    <font>
      <sz val="12"/>
      <name val="Tahoma"/>
      <family val="2"/>
    </font>
    <font>
      <i/>
      <sz val="12"/>
      <name val="Arial Cyr"/>
      <family val="2"/>
      <charset val="204"/>
    </font>
    <font>
      <b/>
      <sz val="12"/>
      <name val="Tahoma"/>
      <family val="2"/>
    </font>
    <font>
      <sz val="12"/>
      <name val="Arial Cyr"/>
      <family val="2"/>
      <charset val="204"/>
    </font>
    <font>
      <b/>
      <sz val="12"/>
      <name val="Tahoma"/>
      <family val="2"/>
      <charset val="204"/>
    </font>
    <font>
      <i/>
      <sz val="12"/>
      <name val="Arial Cyr"/>
      <charset val="204"/>
    </font>
    <font>
      <u/>
      <sz val="10.199999999999999"/>
      <color indexed="12"/>
      <name val="Times New Roman Cyr"/>
      <charset val="204"/>
    </font>
    <font>
      <sz val="14"/>
      <name val="Times New Roman Cyr"/>
      <charset val="204"/>
    </font>
    <font>
      <sz val="13"/>
      <name val="Times New Roman Cyr"/>
      <charset val="204"/>
    </font>
    <font>
      <sz val="14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3"/>
      <name val="Times New Roman Cyr"/>
      <family val="1"/>
      <charset val="204"/>
    </font>
    <font>
      <b/>
      <sz val="14"/>
      <name val="Arial Cyr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color rgb="FF7030A0"/>
      <name val="Arial Cyr"/>
      <charset val="204"/>
    </font>
    <font>
      <sz val="12"/>
      <color rgb="FF7030A0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3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/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 style="double">
        <color indexed="10"/>
      </right>
      <top/>
      <bottom/>
      <diagonal/>
    </border>
    <border>
      <left style="double">
        <color indexed="10"/>
      </left>
      <right/>
      <top style="medium">
        <color indexed="64"/>
      </top>
      <bottom/>
      <diagonal/>
    </border>
    <border>
      <left/>
      <right style="double">
        <color indexed="10"/>
      </right>
      <top/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medium">
        <color indexed="64"/>
      </left>
      <right style="double">
        <color indexed="10"/>
      </right>
      <top/>
      <bottom/>
      <diagonal/>
    </border>
    <border>
      <left style="double">
        <color indexed="10"/>
      </left>
      <right/>
      <top style="double">
        <color indexed="10"/>
      </top>
      <bottom style="medium">
        <color indexed="64"/>
      </bottom>
      <diagonal/>
    </border>
    <border>
      <left/>
      <right/>
      <top style="double">
        <color indexed="10"/>
      </top>
      <bottom style="medium">
        <color indexed="64"/>
      </bottom>
      <diagonal/>
    </border>
    <border>
      <left style="double">
        <color indexed="1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3">
    <xf numFmtId="0" fontId="0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62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11">
    <xf numFmtId="0" fontId="0" fillId="0" borderId="0" xfId="0"/>
    <xf numFmtId="0" fontId="59" fillId="0" borderId="0" xfId="0" applyFont="1" applyAlignment="1">
      <alignment horizontal="centerContinuous"/>
    </xf>
    <xf numFmtId="0" fontId="61" fillId="0" borderId="0" xfId="0" applyFont="1" applyAlignment="1">
      <alignment horizontal="centerContinuous"/>
    </xf>
    <xf numFmtId="0" fontId="59" fillId="0" borderId="0" xfId="0" applyFont="1"/>
    <xf numFmtId="0" fontId="59" fillId="0" borderId="1" xfId="0" applyFont="1" applyBorder="1" applyAlignment="1"/>
    <xf numFmtId="0" fontId="59" fillId="0" borderId="2" xfId="0" applyFont="1" applyBorder="1" applyAlignment="1">
      <alignment horizontal="centerContinuous"/>
    </xf>
    <xf numFmtId="0" fontId="59" fillId="0" borderId="3" xfId="0" applyFont="1" applyBorder="1" applyAlignment="1">
      <alignment horizontal="centerContinuous"/>
    </xf>
    <xf numFmtId="0" fontId="59" fillId="0" borderId="4" xfId="0" applyFont="1" applyBorder="1" applyAlignment="1">
      <alignment horizontal="centerContinuous"/>
    </xf>
    <xf numFmtId="0" fontId="59" fillId="0" borderId="5" xfId="0" applyFont="1" applyBorder="1" applyAlignment="1"/>
    <xf numFmtId="0" fontId="59" fillId="0" borderId="6" xfId="0" applyFont="1" applyBorder="1"/>
    <xf numFmtId="0" fontId="59" fillId="0" borderId="7" xfId="0" applyFont="1" applyBorder="1" applyAlignment="1">
      <alignment horizontal="right"/>
    </xf>
    <xf numFmtId="0" fontId="59" fillId="0" borderId="8" xfId="0" applyFont="1" applyBorder="1"/>
    <xf numFmtId="0" fontId="59" fillId="0" borderId="9" xfId="0" applyFont="1" applyBorder="1" applyAlignment="1">
      <alignment horizontal="right"/>
    </xf>
    <xf numFmtId="0" fontId="59" fillId="0" borderId="10" xfId="0" applyFont="1" applyBorder="1"/>
    <xf numFmtId="0" fontId="59" fillId="0" borderId="11" xfId="0" applyFont="1" applyBorder="1" applyAlignment="1">
      <alignment horizontal="right"/>
    </xf>
    <xf numFmtId="0" fontId="59" fillId="0" borderId="12" xfId="0" applyFont="1" applyBorder="1"/>
    <xf numFmtId="0" fontId="59" fillId="0" borderId="13" xfId="0" applyFont="1" applyBorder="1" applyAlignment="1">
      <alignment horizontal="right"/>
    </xf>
    <xf numFmtId="0" fontId="59" fillId="0" borderId="14" xfId="0" applyFont="1" applyBorder="1"/>
    <xf numFmtId="0" fontId="59" fillId="0" borderId="15" xfId="0" applyFont="1" applyBorder="1"/>
    <xf numFmtId="0" fontId="61" fillId="0" borderId="6" xfId="0" applyFont="1" applyBorder="1"/>
    <xf numFmtId="0" fontId="62" fillId="0" borderId="0" xfId="45"/>
    <xf numFmtId="0" fontId="61" fillId="0" borderId="16" xfId="45" applyFont="1" applyBorder="1" applyAlignment="1">
      <alignment horizontal="center" vertical="top" wrapText="1"/>
    </xf>
    <xf numFmtId="0" fontId="61" fillId="0" borderId="17" xfId="45" applyFont="1" applyBorder="1" applyAlignment="1">
      <alignment horizontal="center" vertical="top" wrapText="1"/>
    </xf>
    <xf numFmtId="0" fontId="61" fillId="0" borderId="18" xfId="45" applyFont="1" applyBorder="1" applyAlignment="1">
      <alignment horizontal="center" vertical="top" wrapText="1"/>
    </xf>
    <xf numFmtId="0" fontId="61" fillId="0" borderId="19" xfId="45" applyFont="1" applyBorder="1" applyAlignment="1">
      <alignment horizontal="center" vertical="top" wrapText="1"/>
    </xf>
    <xf numFmtId="0" fontId="61" fillId="0" borderId="20" xfId="45" applyFont="1" applyBorder="1" applyAlignment="1">
      <alignment horizontal="center" vertical="top" wrapText="1"/>
    </xf>
    <xf numFmtId="0" fontId="61" fillId="0" borderId="21" xfId="45" applyFont="1" applyBorder="1" applyAlignment="1">
      <alignment horizontal="left" vertical="top" wrapText="1"/>
    </xf>
    <xf numFmtId="0" fontId="61" fillId="0" borderId="22" xfId="45" applyFont="1" applyBorder="1" applyAlignment="1">
      <alignment horizontal="center" vertical="top" wrapText="1"/>
    </xf>
    <xf numFmtId="0" fontId="64" fillId="0" borderId="23" xfId="45" applyFont="1" applyBorder="1" applyAlignment="1">
      <alignment vertical="top" wrapText="1"/>
    </xf>
    <xf numFmtId="0" fontId="64" fillId="0" borderId="24" xfId="45" applyFont="1" applyBorder="1" applyAlignment="1">
      <alignment vertical="top" wrapText="1"/>
    </xf>
    <xf numFmtId="0" fontId="64" fillId="0" borderId="19" xfId="45" applyFont="1" applyBorder="1" applyAlignment="1">
      <alignment vertical="top" wrapText="1"/>
    </xf>
    <xf numFmtId="0" fontId="64" fillId="0" borderId="22" xfId="45" applyFont="1" applyBorder="1" applyAlignment="1">
      <alignment vertical="top" wrapText="1"/>
    </xf>
    <xf numFmtId="0" fontId="61" fillId="0" borderId="25" xfId="45" applyFont="1" applyBorder="1" applyAlignment="1">
      <alignment horizontal="left" vertical="top" wrapText="1"/>
    </xf>
    <xf numFmtId="0" fontId="61" fillId="0" borderId="26" xfId="45" applyNumberFormat="1" applyFont="1" applyBorder="1" applyAlignment="1">
      <alignment horizontal="center" vertical="top" wrapText="1"/>
    </xf>
    <xf numFmtId="10" fontId="61" fillId="2" borderId="26" xfId="45" applyNumberFormat="1" applyFont="1" applyFill="1" applyBorder="1" applyAlignment="1">
      <alignment horizontal="center" vertical="top" wrapText="1"/>
    </xf>
    <xf numFmtId="0" fontId="61" fillId="2" borderId="26" xfId="45" applyNumberFormat="1" applyFont="1" applyFill="1" applyBorder="1" applyAlignment="1">
      <alignment horizontal="center" vertical="top" wrapText="1"/>
    </xf>
    <xf numFmtId="10" fontId="61" fillId="2" borderId="27" xfId="45" applyNumberFormat="1" applyFont="1" applyFill="1" applyBorder="1" applyAlignment="1">
      <alignment horizontal="center" vertical="top" wrapText="1"/>
    </xf>
    <xf numFmtId="0" fontId="61" fillId="0" borderId="28" xfId="45" applyFont="1" applyBorder="1" applyAlignment="1">
      <alignment horizontal="left" vertical="top" wrapText="1"/>
    </xf>
    <xf numFmtId="0" fontId="61" fillId="0" borderId="23" xfId="45" applyFont="1" applyBorder="1" applyAlignment="1">
      <alignment horizontal="center" vertical="top" wrapText="1"/>
    </xf>
    <xf numFmtId="0" fontId="64" fillId="0" borderId="29" xfId="45" applyFont="1" applyBorder="1" applyAlignment="1">
      <alignment vertical="top" wrapText="1"/>
    </xf>
    <xf numFmtId="10" fontId="61" fillId="2" borderId="30" xfId="45" applyNumberFormat="1" applyFont="1" applyFill="1" applyBorder="1" applyAlignment="1">
      <alignment horizontal="center" vertical="top" wrapText="1"/>
    </xf>
    <xf numFmtId="2" fontId="61" fillId="0" borderId="26" xfId="45" applyNumberFormat="1" applyFont="1" applyBorder="1" applyAlignment="1">
      <alignment horizontal="center" vertical="top" wrapText="1"/>
    </xf>
    <xf numFmtId="2" fontId="61" fillId="2" borderId="26" xfId="45" applyNumberFormat="1" applyFont="1" applyFill="1" applyBorder="1" applyAlignment="1">
      <alignment horizontal="center" vertical="top" wrapText="1"/>
    </xf>
    <xf numFmtId="10" fontId="61" fillId="2" borderId="31" xfId="45" applyNumberFormat="1" applyFont="1" applyFill="1" applyBorder="1" applyAlignment="1">
      <alignment horizontal="center" vertical="top" wrapText="1"/>
    </xf>
    <xf numFmtId="1" fontId="61" fillId="0" borderId="26" xfId="45" applyNumberFormat="1" applyFont="1" applyBorder="1" applyAlignment="1">
      <alignment horizontal="center" vertical="top" wrapText="1"/>
    </xf>
    <xf numFmtId="1" fontId="61" fillId="2" borderId="26" xfId="45" applyNumberFormat="1" applyFont="1" applyFill="1" applyBorder="1" applyAlignment="1">
      <alignment horizontal="center" vertical="top" wrapText="1"/>
    </xf>
    <xf numFmtId="2" fontId="61" fillId="0" borderId="23" xfId="45" applyNumberFormat="1" applyFont="1" applyBorder="1" applyAlignment="1">
      <alignment horizontal="center" vertical="top" wrapText="1"/>
    </xf>
    <xf numFmtId="10" fontId="61" fillId="2" borderId="32" xfId="45" applyNumberFormat="1" applyFont="1" applyFill="1" applyBorder="1" applyAlignment="1">
      <alignment horizontal="center" vertical="top" wrapText="1"/>
    </xf>
    <xf numFmtId="2" fontId="61" fillId="2" borderId="23" xfId="45" applyNumberFormat="1" applyFont="1" applyFill="1" applyBorder="1" applyAlignment="1">
      <alignment horizontal="center" vertical="top" wrapText="1"/>
    </xf>
    <xf numFmtId="10" fontId="61" fillId="2" borderId="33" xfId="45" applyNumberFormat="1" applyFont="1" applyFill="1" applyBorder="1" applyAlignment="1">
      <alignment horizontal="center" vertical="top" wrapText="1"/>
    </xf>
    <xf numFmtId="10" fontId="61" fillId="2" borderId="19" xfId="45" applyNumberFormat="1" applyFont="1" applyFill="1" applyBorder="1" applyAlignment="1">
      <alignment horizontal="center" vertical="top" wrapText="1"/>
    </xf>
    <xf numFmtId="10" fontId="61" fillId="2" borderId="34" xfId="45" applyNumberFormat="1" applyFont="1" applyFill="1" applyBorder="1" applyAlignment="1">
      <alignment horizontal="center" vertical="top" wrapText="1"/>
    </xf>
    <xf numFmtId="0" fontId="61" fillId="0" borderId="19" xfId="45" applyNumberFormat="1" applyFont="1" applyBorder="1" applyAlignment="1">
      <alignment horizontal="center" vertical="top" wrapText="1"/>
    </xf>
    <xf numFmtId="10" fontId="61" fillId="2" borderId="35" xfId="45" applyNumberFormat="1" applyFont="1" applyFill="1" applyBorder="1" applyAlignment="1">
      <alignment horizontal="center" vertical="top" wrapText="1"/>
    </xf>
    <xf numFmtId="0" fontId="61" fillId="2" borderId="19" xfId="45" applyNumberFormat="1" applyFont="1" applyFill="1" applyBorder="1" applyAlignment="1">
      <alignment horizontal="center" vertical="top" wrapText="1"/>
    </xf>
    <xf numFmtId="10" fontId="61" fillId="2" borderId="36" xfId="45" applyNumberFormat="1" applyFont="1" applyFill="1" applyBorder="1" applyAlignment="1">
      <alignment horizontal="center" vertical="top" wrapText="1"/>
    </xf>
    <xf numFmtId="0" fontId="61" fillId="0" borderId="37" xfId="45" applyFont="1" applyBorder="1" applyAlignment="1">
      <alignment horizontal="left" vertical="top" wrapText="1"/>
    </xf>
    <xf numFmtId="0" fontId="61" fillId="0" borderId="38" xfId="45" applyNumberFormat="1" applyFont="1" applyBorder="1" applyAlignment="1">
      <alignment horizontal="center" vertical="top" wrapText="1"/>
    </xf>
    <xf numFmtId="0" fontId="61" fillId="2" borderId="38" xfId="45" applyNumberFormat="1" applyFont="1" applyFill="1" applyBorder="1" applyAlignment="1">
      <alignment horizontal="center" vertical="top" wrapText="1"/>
    </xf>
    <xf numFmtId="9" fontId="61" fillId="2" borderId="26" xfId="45" applyNumberFormat="1" applyFont="1" applyFill="1" applyBorder="1" applyAlignment="1">
      <alignment horizontal="center" vertical="top" wrapText="1"/>
    </xf>
    <xf numFmtId="0" fontId="66" fillId="0" borderId="39" xfId="45" applyFont="1" applyBorder="1"/>
    <xf numFmtId="0" fontId="66" fillId="0" borderId="40" xfId="45" applyFont="1" applyBorder="1"/>
    <xf numFmtId="0" fontId="66" fillId="0" borderId="41" xfId="45" applyFont="1" applyBorder="1"/>
    <xf numFmtId="0" fontId="66" fillId="0" borderId="42" xfId="45" applyFont="1" applyBorder="1"/>
    <xf numFmtId="0" fontId="66" fillId="0" borderId="43" xfId="45" applyFont="1" applyBorder="1"/>
    <xf numFmtId="0" fontId="66" fillId="0" borderId="44" xfId="45" applyFont="1" applyBorder="1"/>
    <xf numFmtId="0" fontId="66" fillId="0" borderId="45" xfId="45" applyFont="1" applyBorder="1" applyAlignment="1">
      <alignment horizontal="left" vertical="top" wrapText="1"/>
    </xf>
    <xf numFmtId="0" fontId="66" fillId="0" borderId="46" xfId="45" applyFont="1" applyBorder="1" applyAlignment="1">
      <alignment horizontal="center" vertical="center"/>
    </xf>
    <xf numFmtId="10" fontId="61" fillId="2" borderId="26" xfId="45" applyNumberFormat="1" applyFont="1" applyFill="1" applyBorder="1" applyAlignment="1">
      <alignment horizontal="center" vertical="center" wrapText="1"/>
    </xf>
    <xf numFmtId="0" fontId="66" fillId="2" borderId="46" xfId="45" applyFont="1" applyFill="1" applyBorder="1" applyAlignment="1">
      <alignment horizontal="center" vertical="center"/>
    </xf>
    <xf numFmtId="10" fontId="61" fillId="2" borderId="47" xfId="45" applyNumberFormat="1" applyFont="1" applyFill="1" applyBorder="1" applyAlignment="1">
      <alignment horizontal="center" vertical="center" wrapText="1"/>
    </xf>
    <xf numFmtId="10" fontId="61" fillId="2" borderId="22" xfId="45" applyNumberFormat="1" applyFont="1" applyFill="1" applyBorder="1" applyAlignment="1">
      <alignment horizontal="center" vertical="top" wrapText="1"/>
    </xf>
    <xf numFmtId="10" fontId="61" fillId="2" borderId="34" xfId="45" applyNumberFormat="1" applyFont="1" applyFill="1" applyBorder="1" applyAlignment="1">
      <alignment horizontal="center" vertical="center" wrapText="1"/>
    </xf>
    <xf numFmtId="10" fontId="61" fillId="2" borderId="48" xfId="45" applyNumberFormat="1" applyFont="1" applyFill="1" applyBorder="1" applyAlignment="1">
      <alignment horizontal="center" vertical="top" wrapText="1"/>
    </xf>
    <xf numFmtId="0" fontId="67" fillId="0" borderId="0" xfId="45" applyFont="1" applyAlignment="1">
      <alignment horizontal="left"/>
    </xf>
    <xf numFmtId="0" fontId="62" fillId="0" borderId="0" xfId="45" applyAlignment="1">
      <alignment horizontal="left"/>
    </xf>
    <xf numFmtId="0" fontId="66" fillId="0" borderId="49" xfId="45" applyFont="1" applyBorder="1" applyAlignment="1">
      <alignment horizontal="left" vertical="top" wrapText="1"/>
    </xf>
    <xf numFmtId="0" fontId="66" fillId="0" borderId="50" xfId="45" applyFont="1" applyBorder="1" applyAlignment="1">
      <alignment horizontal="center" vertical="center"/>
    </xf>
    <xf numFmtId="10" fontId="61" fillId="2" borderId="51" xfId="45" applyNumberFormat="1" applyFont="1" applyFill="1" applyBorder="1" applyAlignment="1">
      <alignment horizontal="center" vertical="center" wrapText="1"/>
    </xf>
    <xf numFmtId="0" fontId="66" fillId="2" borderId="50" xfId="45" applyFont="1" applyFill="1" applyBorder="1" applyAlignment="1">
      <alignment horizontal="center" vertical="center"/>
    </xf>
    <xf numFmtId="10" fontId="61" fillId="2" borderId="52" xfId="45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59" fillId="0" borderId="13" xfId="0" applyFont="1" applyBorder="1" applyAlignment="1">
      <alignment horizontal="center"/>
    </xf>
    <xf numFmtId="0" fontId="68" fillId="0" borderId="0" xfId="0" applyFont="1" applyAlignment="1">
      <alignment horizontal="centerContinuous" vertical="top"/>
    </xf>
    <xf numFmtId="0" fontId="68" fillId="0" borderId="0" xfId="0" applyFont="1" applyAlignment="1">
      <alignment vertical="top"/>
    </xf>
    <xf numFmtId="0" fontId="68" fillId="0" borderId="1" xfId="0" applyFont="1" applyBorder="1" applyAlignment="1">
      <alignment vertical="top"/>
    </xf>
    <xf numFmtId="0" fontId="68" fillId="0" borderId="53" xfId="0" applyFont="1" applyBorder="1" applyAlignment="1">
      <alignment horizontal="centerContinuous" vertical="top" wrapText="1"/>
    </xf>
    <xf numFmtId="0" fontId="68" fillId="0" borderId="54" xfId="0" applyFont="1" applyBorder="1" applyAlignment="1">
      <alignment horizontal="centerContinuous" vertical="top"/>
    </xf>
    <xf numFmtId="0" fontId="68" fillId="0" borderId="9" xfId="0" applyFont="1" applyBorder="1" applyAlignment="1">
      <alignment horizontal="centerContinuous" vertical="top"/>
    </xf>
    <xf numFmtId="0" fontId="68" fillId="0" borderId="55" xfId="0" applyFont="1" applyBorder="1" applyAlignment="1">
      <alignment horizontal="centerContinuous" vertical="top" wrapText="1"/>
    </xf>
    <xf numFmtId="0" fontId="68" fillId="0" borderId="55" xfId="0" applyFont="1" applyBorder="1" applyAlignment="1">
      <alignment horizontal="centerContinuous" vertical="top"/>
    </xf>
    <xf numFmtId="0" fontId="68" fillId="0" borderId="56" xfId="0" applyFont="1" applyBorder="1" applyAlignment="1">
      <alignment vertical="top"/>
    </xf>
    <xf numFmtId="0" fontId="68" fillId="0" borderId="13" xfId="0" applyFont="1" applyBorder="1" applyAlignment="1">
      <alignment vertical="top"/>
    </xf>
    <xf numFmtId="0" fontId="68" fillId="0" borderId="57" xfId="0" applyFont="1" applyBorder="1" applyAlignment="1">
      <alignment vertical="top"/>
    </xf>
    <xf numFmtId="0" fontId="68" fillId="0" borderId="58" xfId="0" applyFont="1" applyBorder="1" applyAlignment="1">
      <alignment vertical="top"/>
    </xf>
    <xf numFmtId="0" fontId="68" fillId="0" borderId="43" xfId="0" applyFont="1" applyBorder="1" applyAlignment="1">
      <alignment vertical="top"/>
    </xf>
    <xf numFmtId="165" fontId="69" fillId="2" borderId="59" xfId="45" applyNumberFormat="1" applyFont="1" applyFill="1" applyBorder="1" applyAlignment="1">
      <alignment horizontal="right" vertical="top" wrapText="1"/>
    </xf>
    <xf numFmtId="2" fontId="68" fillId="0" borderId="58" xfId="0" applyNumberFormat="1" applyFont="1" applyBorder="1" applyAlignment="1">
      <alignment vertical="top"/>
    </xf>
    <xf numFmtId="2" fontId="68" fillId="0" borderId="43" xfId="0" applyNumberFormat="1" applyFont="1" applyBorder="1" applyAlignment="1">
      <alignment vertical="top"/>
    </xf>
    <xf numFmtId="0" fontId="68" fillId="0" borderId="10" xfId="0" applyFont="1" applyBorder="1" applyAlignment="1">
      <alignment vertical="top"/>
    </xf>
    <xf numFmtId="0" fontId="68" fillId="0" borderId="60" xfId="0" applyFont="1" applyBorder="1" applyAlignment="1">
      <alignment vertical="top"/>
    </xf>
    <xf numFmtId="0" fontId="68" fillId="0" borderId="46" xfId="0" applyFont="1" applyBorder="1" applyAlignment="1">
      <alignment vertical="top"/>
    </xf>
    <xf numFmtId="165" fontId="69" fillId="2" borderId="11" xfId="45" applyNumberFormat="1" applyFont="1" applyFill="1" applyBorder="1" applyAlignment="1">
      <alignment horizontal="right" vertical="top" wrapText="1"/>
    </xf>
    <xf numFmtId="2" fontId="68" fillId="0" borderId="60" xfId="0" applyNumberFormat="1" applyFont="1" applyBorder="1" applyAlignment="1">
      <alignment vertical="top"/>
    </xf>
    <xf numFmtId="2" fontId="68" fillId="0" borderId="46" xfId="0" applyNumberFormat="1" applyFont="1" applyBorder="1" applyAlignment="1">
      <alignment vertical="top"/>
    </xf>
    <xf numFmtId="0" fontId="68" fillId="0" borderId="61" xfId="0" applyFont="1" applyBorder="1" applyAlignment="1">
      <alignment vertical="top"/>
    </xf>
    <xf numFmtId="0" fontId="68" fillId="0" borderId="62" xfId="0" applyFont="1" applyBorder="1" applyAlignment="1">
      <alignment vertical="top"/>
    </xf>
    <xf numFmtId="0" fontId="68" fillId="0" borderId="35" xfId="0" applyFont="1" applyBorder="1" applyAlignment="1">
      <alignment vertical="top"/>
    </xf>
    <xf numFmtId="165" fontId="69" fillId="2" borderId="63" xfId="45" applyNumberFormat="1" applyFont="1" applyFill="1" applyBorder="1" applyAlignment="1">
      <alignment horizontal="right" vertical="top" wrapText="1"/>
    </xf>
    <xf numFmtId="2" fontId="68" fillId="0" borderId="62" xfId="0" applyNumberFormat="1" applyFont="1" applyBorder="1" applyAlignment="1">
      <alignment vertical="top"/>
    </xf>
    <xf numFmtId="2" fontId="68" fillId="0" borderId="35" xfId="0" applyNumberFormat="1" applyFont="1" applyBorder="1" applyAlignment="1">
      <alignment vertical="top"/>
    </xf>
    <xf numFmtId="0" fontId="68" fillId="0" borderId="6" xfId="0" applyFont="1" applyBorder="1" applyAlignment="1">
      <alignment vertical="top"/>
    </xf>
    <xf numFmtId="0" fontId="68" fillId="0" borderId="14" xfId="0" applyFont="1" applyBorder="1" applyAlignment="1">
      <alignment vertical="top"/>
    </xf>
    <xf numFmtId="0" fontId="68" fillId="0" borderId="15" xfId="0" applyFont="1" applyBorder="1" applyAlignment="1">
      <alignment vertical="top"/>
    </xf>
    <xf numFmtId="165" fontId="69" fillId="2" borderId="7" xfId="45" applyNumberFormat="1" applyFont="1" applyFill="1" applyBorder="1" applyAlignment="1">
      <alignment horizontal="right" vertical="top" wrapText="1"/>
    </xf>
    <xf numFmtId="2" fontId="68" fillId="0" borderId="14" xfId="0" applyNumberFormat="1" applyFont="1" applyBorder="1" applyAlignment="1">
      <alignment vertical="top"/>
    </xf>
    <xf numFmtId="2" fontId="68" fillId="0" borderId="15" xfId="0" applyNumberFormat="1" applyFont="1" applyBorder="1" applyAlignment="1">
      <alignment vertical="top"/>
    </xf>
    <xf numFmtId="0" fontId="70" fillId="0" borderId="0" xfId="0" applyFont="1" applyAlignment="1">
      <alignment horizontal="centerContinuous" vertical="top"/>
    </xf>
    <xf numFmtId="0" fontId="61" fillId="0" borderId="64" xfId="45" applyFont="1" applyBorder="1" applyAlignment="1">
      <alignment horizontal="center" vertical="top" wrapText="1"/>
    </xf>
    <xf numFmtId="0" fontId="61" fillId="0" borderId="65" xfId="45" applyFont="1" applyBorder="1" applyAlignment="1">
      <alignment horizontal="center" vertical="top" wrapText="1"/>
    </xf>
    <xf numFmtId="0" fontId="61" fillId="0" borderId="66" xfId="45" applyFont="1" applyBorder="1" applyAlignment="1">
      <alignment horizontal="center" vertical="top" wrapText="1"/>
    </xf>
    <xf numFmtId="0" fontId="61" fillId="0" borderId="67" xfId="45" applyNumberFormat="1" applyFont="1" applyBorder="1" applyAlignment="1">
      <alignment horizontal="center" vertical="top" wrapText="1"/>
    </xf>
    <xf numFmtId="0" fontId="61" fillId="0" borderId="68" xfId="45" applyNumberFormat="1" applyFont="1" applyBorder="1" applyAlignment="1">
      <alignment horizontal="center" vertical="top" wrapText="1"/>
    </xf>
    <xf numFmtId="0" fontId="61" fillId="0" borderId="65" xfId="45" applyFont="1" applyBorder="1" applyAlignment="1">
      <alignment vertical="top" wrapText="1"/>
    </xf>
    <xf numFmtId="0" fontId="61" fillId="0" borderId="66" xfId="45" applyFont="1" applyBorder="1" applyAlignment="1">
      <alignment vertical="top" wrapText="1"/>
    </xf>
    <xf numFmtId="0" fontId="73" fillId="0" borderId="54" xfId="0" applyFont="1" applyBorder="1"/>
    <xf numFmtId="0" fontId="73" fillId="0" borderId="46" xfId="0" applyFont="1" applyBorder="1"/>
    <xf numFmtId="0" fontId="73" fillId="0" borderId="69" xfId="0" applyFont="1" applyBorder="1"/>
    <xf numFmtId="0" fontId="73" fillId="0" borderId="15" xfId="0" applyFont="1" applyBorder="1"/>
    <xf numFmtId="0" fontId="73" fillId="0" borderId="2" xfId="0" applyFont="1" applyBorder="1" applyAlignment="1">
      <alignment horizontal="centerContinuous"/>
    </xf>
    <xf numFmtId="0" fontId="73" fillId="0" borderId="3" xfId="0" applyFont="1" applyBorder="1" applyAlignment="1">
      <alignment horizontal="centerContinuous"/>
    </xf>
    <xf numFmtId="0" fontId="73" fillId="0" borderId="4" xfId="0" applyFont="1" applyBorder="1" applyAlignment="1">
      <alignment horizontal="centerContinuous"/>
    </xf>
    <xf numFmtId="0" fontId="73" fillId="0" borderId="70" xfId="0" applyFont="1" applyBorder="1" applyAlignment="1">
      <alignment horizontal="center"/>
    </xf>
    <xf numFmtId="0" fontId="75" fillId="0" borderId="69" xfId="0" applyFont="1" applyBorder="1" applyAlignment="1">
      <alignment horizontal="center"/>
    </xf>
    <xf numFmtId="0" fontId="73" fillId="0" borderId="13" xfId="0" applyFont="1" applyBorder="1" applyAlignment="1">
      <alignment horizontal="center"/>
    </xf>
    <xf numFmtId="0" fontId="73" fillId="0" borderId="10" xfId="0" applyFont="1" applyBorder="1"/>
    <xf numFmtId="3" fontId="73" fillId="0" borderId="54" xfId="0" applyNumberFormat="1" applyFont="1" applyBorder="1"/>
    <xf numFmtId="3" fontId="73" fillId="0" borderId="46" xfId="0" applyNumberFormat="1" applyFont="1" applyBorder="1"/>
    <xf numFmtId="3" fontId="73" fillId="0" borderId="69" xfId="0" applyNumberFormat="1" applyFont="1" applyBorder="1"/>
    <xf numFmtId="3" fontId="73" fillId="0" borderId="15" xfId="0" applyNumberFormat="1" applyFont="1" applyBorder="1"/>
    <xf numFmtId="166" fontId="59" fillId="0" borderId="71" xfId="0" applyNumberFormat="1" applyFont="1" applyBorder="1" applyAlignment="1">
      <alignment horizontal="right"/>
    </xf>
    <xf numFmtId="166" fontId="59" fillId="0" borderId="72" xfId="0" applyNumberFormat="1" applyFont="1" applyBorder="1" applyAlignment="1">
      <alignment horizontal="right"/>
    </xf>
    <xf numFmtId="166" fontId="59" fillId="0" borderId="9" xfId="0" applyNumberFormat="1" applyFont="1" applyBorder="1" applyAlignment="1">
      <alignment horizontal="right"/>
    </xf>
    <xf numFmtId="166" fontId="59" fillId="0" borderId="7" xfId="0" applyNumberFormat="1" applyFont="1" applyBorder="1" applyAlignment="1">
      <alignment horizontal="right"/>
    </xf>
    <xf numFmtId="166" fontId="59" fillId="0" borderId="73" xfId="0" applyNumberFormat="1" applyFont="1" applyBorder="1" applyAlignment="1">
      <alignment horizontal="right"/>
    </xf>
    <xf numFmtId="166" fontId="59" fillId="0" borderId="11" xfId="0" applyNumberFormat="1" applyFont="1" applyBorder="1" applyAlignment="1">
      <alignment horizontal="right"/>
    </xf>
    <xf numFmtId="166" fontId="59" fillId="0" borderId="74" xfId="0" applyNumberFormat="1" applyFont="1" applyBorder="1" applyAlignment="1">
      <alignment horizontal="right"/>
    </xf>
    <xf numFmtId="166" fontId="59" fillId="0" borderId="13" xfId="0" applyNumberFormat="1" applyFont="1" applyBorder="1" applyAlignment="1">
      <alignment horizontal="right"/>
    </xf>
    <xf numFmtId="3" fontId="59" fillId="0" borderId="9" xfId="0" applyNumberFormat="1" applyFont="1" applyBorder="1" applyAlignment="1">
      <alignment horizontal="right"/>
    </xf>
    <xf numFmtId="3" fontId="59" fillId="0" borderId="7" xfId="0" applyNumberFormat="1" applyFont="1" applyBorder="1" applyAlignment="1">
      <alignment horizontal="right"/>
    </xf>
    <xf numFmtId="3" fontId="59" fillId="0" borderId="11" xfId="0" applyNumberFormat="1" applyFont="1" applyBorder="1" applyAlignment="1">
      <alignment horizontal="right"/>
    </xf>
    <xf numFmtId="3" fontId="59" fillId="0" borderId="13" xfId="0" applyNumberFormat="1" applyFont="1" applyBorder="1" applyAlignment="1">
      <alignment horizontal="right"/>
    </xf>
    <xf numFmtId="3" fontId="68" fillId="0" borderId="58" xfId="0" applyNumberFormat="1" applyFont="1" applyBorder="1" applyAlignment="1">
      <alignment vertical="top"/>
    </xf>
    <xf numFmtId="3" fontId="68" fillId="0" borderId="43" xfId="0" applyNumberFormat="1" applyFont="1" applyBorder="1" applyAlignment="1">
      <alignment vertical="top"/>
    </xf>
    <xf numFmtId="3" fontId="68" fillId="0" borderId="60" xfId="0" applyNumberFormat="1" applyFont="1" applyBorder="1" applyAlignment="1">
      <alignment vertical="top"/>
    </xf>
    <xf numFmtId="3" fontId="68" fillId="0" borderId="46" xfId="0" applyNumberFormat="1" applyFont="1" applyBorder="1" applyAlignment="1">
      <alignment vertical="top"/>
    </xf>
    <xf numFmtId="3" fontId="68" fillId="0" borderId="62" xfId="0" applyNumberFormat="1" applyFont="1" applyBorder="1" applyAlignment="1">
      <alignment vertical="top"/>
    </xf>
    <xf numFmtId="3" fontId="68" fillId="0" borderId="35" xfId="0" applyNumberFormat="1" applyFont="1" applyBorder="1" applyAlignment="1">
      <alignment vertical="top"/>
    </xf>
    <xf numFmtId="3" fontId="68" fillId="0" borderId="14" xfId="0" applyNumberFormat="1" applyFont="1" applyBorder="1" applyAlignment="1">
      <alignment vertical="top"/>
    </xf>
    <xf numFmtId="3" fontId="68" fillId="0" borderId="15" xfId="0" applyNumberFormat="1" applyFont="1" applyBorder="1" applyAlignment="1">
      <alignment vertical="top"/>
    </xf>
    <xf numFmtId="0" fontId="78" fillId="0" borderId="0" xfId="0" applyFont="1"/>
    <xf numFmtId="1" fontId="68" fillId="0" borderId="0" xfId="0" applyNumberFormat="1" applyFont="1"/>
    <xf numFmtId="167" fontId="61" fillId="0" borderId="19" xfId="45" applyNumberFormat="1" applyFont="1" applyBorder="1" applyAlignment="1">
      <alignment horizontal="center" vertical="top" wrapText="1"/>
    </xf>
    <xf numFmtId="0" fontId="77" fillId="0" borderId="0" xfId="0" applyFont="1" applyBorder="1"/>
    <xf numFmtId="1" fontId="77" fillId="0" borderId="0" xfId="0" applyNumberFormat="1" applyFont="1" applyBorder="1"/>
    <xf numFmtId="0" fontId="79" fillId="0" borderId="0" xfId="0" applyFont="1" applyBorder="1" applyAlignment="1">
      <alignment vertical="center"/>
    </xf>
    <xf numFmtId="0" fontId="80" fillId="0" borderId="0" xfId="0" applyFont="1" applyBorder="1" applyAlignment="1">
      <alignment vertical="center"/>
    </xf>
    <xf numFmtId="0" fontId="68" fillId="0" borderId="10" xfId="0" applyFont="1" applyBorder="1"/>
    <xf numFmtId="0" fontId="68" fillId="0" borderId="70" xfId="0" applyFont="1" applyBorder="1" applyAlignment="1">
      <alignment horizontal="center"/>
    </xf>
    <xf numFmtId="0" fontId="69" fillId="0" borderId="69" xfId="0" applyFont="1" applyBorder="1" applyAlignment="1">
      <alignment horizontal="center"/>
    </xf>
    <xf numFmtId="0" fontId="68" fillId="0" borderId="56" xfId="0" applyFont="1" applyBorder="1" applyAlignment="1">
      <alignment horizontal="center" vertical="top"/>
    </xf>
    <xf numFmtId="0" fontId="68" fillId="0" borderId="13" xfId="0" applyFont="1" applyBorder="1" applyAlignment="1">
      <alignment horizontal="center" vertical="top"/>
    </xf>
    <xf numFmtId="0" fontId="68" fillId="0" borderId="0" xfId="0" applyFont="1" applyAlignment="1">
      <alignment horizontal="center" vertical="top"/>
    </xf>
    <xf numFmtId="0" fontId="73" fillId="0" borderId="2" xfId="0" applyFont="1" applyFill="1" applyBorder="1" applyAlignment="1">
      <alignment horizontal="centerContinuous"/>
    </xf>
    <xf numFmtId="0" fontId="73" fillId="0" borderId="3" xfId="0" applyFont="1" applyFill="1" applyBorder="1" applyAlignment="1">
      <alignment horizontal="centerContinuous"/>
    </xf>
    <xf numFmtId="0" fontId="73" fillId="0" borderId="4" xfId="0" applyFont="1" applyFill="1" applyBorder="1" applyAlignment="1">
      <alignment horizontal="centerContinuous"/>
    </xf>
    <xf numFmtId="0" fontId="73" fillId="0" borderId="13" xfId="0" applyFont="1" applyFill="1" applyBorder="1" applyAlignment="1">
      <alignment horizontal="center"/>
    </xf>
    <xf numFmtId="0" fontId="73" fillId="0" borderId="15" xfId="0" applyFont="1" applyFill="1" applyBorder="1"/>
    <xf numFmtId="0" fontId="73" fillId="0" borderId="54" xfId="0" applyFont="1" applyFill="1" applyBorder="1"/>
    <xf numFmtId="0" fontId="73" fillId="0" borderId="46" xfId="0" applyFont="1" applyFill="1" applyBorder="1"/>
    <xf numFmtId="0" fontId="73" fillId="0" borderId="69" xfId="0" applyFont="1" applyFill="1" applyBorder="1"/>
    <xf numFmtId="0" fontId="59" fillId="0" borderId="0" xfId="0" applyFont="1" applyFill="1"/>
    <xf numFmtId="0" fontId="0" fillId="3" borderId="0" xfId="0" applyFill="1"/>
    <xf numFmtId="0" fontId="0" fillId="0" borderId="0" xfId="0" applyFill="1"/>
    <xf numFmtId="0" fontId="73" fillId="0" borderId="0" xfId="0" applyFont="1" applyAlignment="1">
      <alignment horizontal="centerContinuous" wrapText="1"/>
    </xf>
    <xf numFmtId="0" fontId="73" fillId="0" borderId="1" xfId="0" applyFont="1" applyBorder="1" applyAlignment="1">
      <alignment wrapText="1"/>
    </xf>
    <xf numFmtId="0" fontId="73" fillId="0" borderId="5" xfId="0" applyFont="1" applyBorder="1" applyAlignment="1">
      <alignment wrapText="1"/>
    </xf>
    <xf numFmtId="0" fontId="73" fillId="0" borderId="8" xfId="0" applyFont="1" applyBorder="1" applyAlignment="1">
      <alignment wrapText="1"/>
    </xf>
    <xf numFmtId="0" fontId="73" fillId="0" borderId="12" xfId="0" applyFont="1" applyBorder="1" applyAlignment="1">
      <alignment wrapText="1"/>
    </xf>
    <xf numFmtId="0" fontId="73" fillId="0" borderId="10" xfId="0" applyFont="1" applyBorder="1" applyAlignment="1">
      <alignment wrapText="1"/>
    </xf>
    <xf numFmtId="0" fontId="73" fillId="0" borderId="6" xfId="0" applyFont="1" applyBorder="1" applyAlignment="1">
      <alignment wrapText="1"/>
    </xf>
    <xf numFmtId="0" fontId="75" fillId="0" borderId="6" xfId="0" applyFont="1" applyBorder="1" applyAlignment="1">
      <alignment wrapText="1"/>
    </xf>
    <xf numFmtId="0" fontId="73" fillId="0" borderId="56" xfId="0" applyFont="1" applyBorder="1" applyAlignment="1">
      <alignment wrapText="1"/>
    </xf>
    <xf numFmtId="0" fontId="73" fillId="0" borderId="0" xfId="0" applyFont="1" applyAlignment="1">
      <alignment wrapText="1"/>
    </xf>
    <xf numFmtId="0" fontId="73" fillId="0" borderId="55" xfId="0" applyFont="1" applyBorder="1"/>
    <xf numFmtId="0" fontId="73" fillId="0" borderId="9" xfId="0" applyFont="1" applyBorder="1" applyAlignment="1">
      <alignment horizontal="right"/>
    </xf>
    <xf numFmtId="0" fontId="73" fillId="0" borderId="55" xfId="0" applyFont="1" applyFill="1" applyBorder="1"/>
    <xf numFmtId="0" fontId="73" fillId="0" borderId="9" xfId="0" applyFont="1" applyFill="1" applyBorder="1" applyAlignment="1">
      <alignment horizontal="right"/>
    </xf>
    <xf numFmtId="0" fontId="73" fillId="0" borderId="70" xfId="0" applyFont="1" applyBorder="1"/>
    <xf numFmtId="0" fontId="73" fillId="0" borderId="13" xfId="0" applyFont="1" applyBorder="1" applyAlignment="1">
      <alignment horizontal="right"/>
    </xf>
    <xf numFmtId="0" fontId="73" fillId="0" borderId="70" xfId="0" applyFont="1" applyFill="1" applyBorder="1"/>
    <xf numFmtId="0" fontId="73" fillId="0" borderId="13" xfId="0" applyFont="1" applyFill="1" applyBorder="1" applyAlignment="1">
      <alignment horizontal="right"/>
    </xf>
    <xf numFmtId="3" fontId="73" fillId="0" borderId="55" xfId="0" applyNumberFormat="1" applyFont="1" applyBorder="1"/>
    <xf numFmtId="0" fontId="73" fillId="0" borderId="60" xfId="0" applyFont="1" applyBorder="1"/>
    <xf numFmtId="0" fontId="73" fillId="0" borderId="11" xfId="0" applyFont="1" applyBorder="1" applyAlignment="1">
      <alignment horizontal="right"/>
    </xf>
    <xf numFmtId="3" fontId="73" fillId="0" borderId="60" xfId="0" applyNumberFormat="1" applyFont="1" applyBorder="1"/>
    <xf numFmtId="0" fontId="73" fillId="0" borderId="60" xfId="0" applyFont="1" applyFill="1" applyBorder="1"/>
    <xf numFmtId="0" fontId="73" fillId="0" borderId="11" xfId="0" applyFont="1" applyFill="1" applyBorder="1" applyAlignment="1">
      <alignment horizontal="right"/>
    </xf>
    <xf numFmtId="3" fontId="73" fillId="0" borderId="70" xfId="0" applyNumberFormat="1" applyFont="1" applyBorder="1"/>
    <xf numFmtId="0" fontId="73" fillId="0" borderId="14" xfId="0" applyFont="1" applyBorder="1"/>
    <xf numFmtId="0" fontId="73" fillId="0" borderId="7" xfId="0" applyFont="1" applyBorder="1" applyAlignment="1">
      <alignment horizontal="right"/>
    </xf>
    <xf numFmtId="3" fontId="73" fillId="0" borderId="14" xfId="0" applyNumberFormat="1" applyFont="1" applyBorder="1"/>
    <xf numFmtId="0" fontId="73" fillId="0" borderId="14" xfId="0" applyFont="1" applyFill="1" applyBorder="1"/>
    <xf numFmtId="0" fontId="73" fillId="0" borderId="7" xfId="0" applyFont="1" applyFill="1" applyBorder="1" applyAlignment="1">
      <alignment horizontal="right"/>
    </xf>
    <xf numFmtId="0" fontId="73" fillId="0" borderId="75" xfId="0" applyFont="1" applyBorder="1"/>
    <xf numFmtId="0" fontId="73" fillId="0" borderId="76" xfId="0" applyFont="1" applyBorder="1"/>
    <xf numFmtId="3" fontId="73" fillId="0" borderId="75" xfId="0" applyNumberFormat="1" applyFont="1" applyBorder="1"/>
    <xf numFmtId="3" fontId="73" fillId="0" borderId="76" xfId="0" applyNumberFormat="1" applyFont="1" applyBorder="1"/>
    <xf numFmtId="0" fontId="73" fillId="0" borderId="75" xfId="0" applyFont="1" applyFill="1" applyBorder="1"/>
    <xf numFmtId="0" fontId="73" fillId="0" borderId="76" xfId="0" applyFont="1" applyFill="1" applyBorder="1"/>
    <xf numFmtId="0" fontId="73" fillId="0" borderId="77" xfId="0" applyFont="1" applyBorder="1"/>
    <xf numFmtId="0" fontId="73" fillId="0" borderId="78" xfId="0" applyFont="1" applyBorder="1"/>
    <xf numFmtId="3" fontId="73" fillId="0" borderId="77" xfId="0" applyNumberFormat="1" applyFont="1" applyBorder="1"/>
    <xf numFmtId="3" fontId="73" fillId="0" borderId="78" xfId="0" applyNumberFormat="1" applyFont="1" applyBorder="1"/>
    <xf numFmtId="0" fontId="73" fillId="0" borderId="77" xfId="0" applyFont="1" applyFill="1" applyBorder="1"/>
    <xf numFmtId="0" fontId="73" fillId="0" borderId="78" xfId="0" applyFont="1" applyFill="1" applyBorder="1"/>
    <xf numFmtId="0" fontId="82" fillId="0" borderId="0" xfId="0" applyFont="1"/>
    <xf numFmtId="0" fontId="82" fillId="0" borderId="0" xfId="0" applyFont="1" applyAlignment="1"/>
    <xf numFmtId="0" fontId="82" fillId="0" borderId="0" xfId="0" applyFont="1" applyAlignment="1">
      <alignment horizontal="center"/>
    </xf>
    <xf numFmtId="0" fontId="68" fillId="0" borderId="79" xfId="0" applyFont="1" applyBorder="1" applyAlignment="1">
      <alignment vertical="top"/>
    </xf>
    <xf numFmtId="2" fontId="68" fillId="0" borderId="80" xfId="0" applyNumberFormat="1" applyFont="1" applyBorder="1" applyAlignment="1">
      <alignment vertical="top"/>
    </xf>
    <xf numFmtId="2" fontId="68" fillId="0" borderId="81" xfId="0" applyNumberFormat="1" applyFont="1" applyBorder="1" applyAlignment="1">
      <alignment vertical="top"/>
    </xf>
    <xf numFmtId="165" fontId="0" fillId="0" borderId="0" xfId="0" applyNumberFormat="1"/>
    <xf numFmtId="0" fontId="77" fillId="4" borderId="82" xfId="0" applyFont="1" applyFill="1" applyBorder="1" applyAlignment="1">
      <alignment horizontal="right"/>
    </xf>
    <xf numFmtId="164" fontId="77" fillId="4" borderId="83" xfId="0" applyNumberFormat="1" applyFont="1" applyFill="1" applyBorder="1"/>
    <xf numFmtId="0" fontId="77" fillId="4" borderId="83" xfId="0" applyFont="1" applyFill="1" applyBorder="1" applyAlignment="1">
      <alignment horizontal="center"/>
    </xf>
    <xf numFmtId="0" fontId="0" fillId="4" borderId="84" xfId="0" applyFill="1" applyBorder="1"/>
    <xf numFmtId="0" fontId="0" fillId="4" borderId="0" xfId="0" applyFill="1" applyBorder="1"/>
    <xf numFmtId="0" fontId="60" fillId="4" borderId="0" xfId="1" applyFont="1" applyFill="1" applyBorder="1" applyAlignment="1" applyProtection="1"/>
    <xf numFmtId="16" fontId="0" fillId="4" borderId="6" xfId="0" applyNumberFormat="1" applyFill="1" applyBorder="1" applyAlignment="1">
      <alignment horizontal="center"/>
    </xf>
    <xf numFmtId="0" fontId="0" fillId="4" borderId="6" xfId="0" quotePrefix="1" applyFill="1" applyBorder="1" applyAlignment="1">
      <alignment horizontal="center"/>
    </xf>
    <xf numFmtId="10" fontId="61" fillId="2" borderId="85" xfId="45" applyNumberFormat="1" applyFont="1" applyFill="1" applyBorder="1" applyAlignment="1">
      <alignment horizontal="center" vertical="top" wrapText="1"/>
    </xf>
    <xf numFmtId="3" fontId="68" fillId="0" borderId="86" xfId="0" quotePrefix="1" applyNumberFormat="1" applyFont="1" applyBorder="1" applyAlignment="1">
      <alignment horizontal="right" vertical="top"/>
    </xf>
    <xf numFmtId="165" fontId="69" fillId="2" borderId="9" xfId="45" applyNumberFormat="1" applyFont="1" applyFill="1" applyBorder="1" applyAlignment="1">
      <alignment horizontal="right" vertical="top" wrapText="1"/>
    </xf>
    <xf numFmtId="3" fontId="68" fillId="2" borderId="11" xfId="0" quotePrefix="1" applyNumberFormat="1" applyFont="1" applyFill="1" applyBorder="1" applyAlignment="1">
      <alignment horizontal="right" vertical="top"/>
    </xf>
    <xf numFmtId="3" fontId="68" fillId="0" borderId="87" xfId="0" applyNumberFormat="1" applyFont="1" applyBorder="1" applyAlignment="1">
      <alignment vertical="top"/>
    </xf>
    <xf numFmtId="3" fontId="68" fillId="0" borderId="86" xfId="0" applyNumberFormat="1" applyFont="1" applyBorder="1" applyAlignment="1">
      <alignment vertical="top"/>
    </xf>
    <xf numFmtId="3" fontId="68" fillId="0" borderId="88" xfId="0" applyNumberFormat="1" applyFont="1" applyBorder="1" applyAlignment="1">
      <alignment vertical="top"/>
    </xf>
    <xf numFmtId="3" fontId="68" fillId="0" borderId="89" xfId="0" applyNumberFormat="1" applyFont="1" applyBorder="1" applyAlignment="1">
      <alignment vertical="top"/>
    </xf>
    <xf numFmtId="3" fontId="68" fillId="0" borderId="54" xfId="0" applyNumberFormat="1" applyFont="1" applyBorder="1" applyAlignment="1">
      <alignment vertical="top"/>
    </xf>
    <xf numFmtId="3" fontId="68" fillId="0" borderId="46" xfId="0" quotePrefix="1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0" fillId="0" borderId="90" xfId="0" applyBorder="1"/>
    <xf numFmtId="0" fontId="0" fillId="0" borderId="8" xfId="0" applyBorder="1"/>
    <xf numFmtId="0" fontId="0" fillId="0" borderId="10" xfId="0" applyBorder="1"/>
    <xf numFmtId="0" fontId="0" fillId="0" borderId="91" xfId="0" applyBorder="1"/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0" fillId="0" borderId="95" xfId="0" applyBorder="1" applyAlignment="1">
      <alignment horizontal="center"/>
    </xf>
    <xf numFmtId="0" fontId="73" fillId="0" borderId="96" xfId="0" applyFont="1" applyBorder="1" applyAlignment="1">
      <alignment horizontal="right"/>
    </xf>
    <xf numFmtId="0" fontId="73" fillId="0" borderId="96" xfId="0" applyFont="1" applyFill="1" applyBorder="1" applyAlignment="1">
      <alignment horizontal="right"/>
    </xf>
    <xf numFmtId="0" fontId="0" fillId="0" borderId="46" xfId="0" applyBorder="1"/>
    <xf numFmtId="0" fontId="73" fillId="0" borderId="46" xfId="0" applyFont="1" applyBorder="1" applyAlignment="1"/>
    <xf numFmtId="0" fontId="76" fillId="0" borderId="46" xfId="0" applyFont="1" applyBorder="1" applyAlignment="1">
      <alignment horizontal="centerContinuous"/>
    </xf>
    <xf numFmtId="0" fontId="73" fillId="0" borderId="46" xfId="0" applyFont="1" applyBorder="1" applyAlignment="1">
      <alignment horizontal="centerContinuous"/>
    </xf>
    <xf numFmtId="0" fontId="73" fillId="0" borderId="46" xfId="0" applyFont="1" applyBorder="1" applyAlignment="1">
      <alignment horizontal="center"/>
    </xf>
    <xf numFmtId="0" fontId="75" fillId="0" borderId="46" xfId="0" applyFont="1" applyBorder="1" applyAlignment="1">
      <alignment horizontal="center"/>
    </xf>
    <xf numFmtId="0" fontId="71" fillId="0" borderId="46" xfId="0" applyFont="1" applyBorder="1"/>
    <xf numFmtId="0" fontId="74" fillId="0" borderId="46" xfId="0" applyFont="1" applyBorder="1" applyAlignment="1">
      <alignment horizontal="right"/>
    </xf>
    <xf numFmtId="0" fontId="73" fillId="5" borderId="46" xfId="0" applyFont="1" applyFill="1" applyBorder="1"/>
    <xf numFmtId="0" fontId="74" fillId="5" borderId="46" xfId="0" applyFont="1" applyFill="1" applyBorder="1" applyAlignment="1">
      <alignment horizontal="right"/>
    </xf>
    <xf numFmtId="0" fontId="73" fillId="0" borderId="46" xfId="0" applyFont="1" applyFill="1" applyBorder="1" applyAlignment="1">
      <alignment horizontal="centerContinuous"/>
    </xf>
    <xf numFmtId="0" fontId="73" fillId="0" borderId="46" xfId="0" applyFont="1" applyFill="1" applyBorder="1" applyAlignment="1">
      <alignment horizontal="center"/>
    </xf>
    <xf numFmtId="0" fontId="75" fillId="0" borderId="46" xfId="0" applyFont="1" applyFill="1" applyBorder="1" applyAlignment="1">
      <alignment horizontal="center"/>
    </xf>
    <xf numFmtId="0" fontId="71" fillId="0" borderId="46" xfId="0" applyFont="1" applyFill="1" applyBorder="1"/>
    <xf numFmtId="0" fontId="74" fillId="0" borderId="46" xfId="0" applyFont="1" applyFill="1" applyBorder="1" applyAlignment="1">
      <alignment horizontal="right"/>
    </xf>
    <xf numFmtId="0" fontId="71" fillId="5" borderId="46" xfId="0" applyFont="1" applyFill="1" applyBorder="1"/>
    <xf numFmtId="3" fontId="71" fillId="5" borderId="46" xfId="0" applyNumberFormat="1" applyFont="1" applyFill="1" applyBorder="1"/>
    <xf numFmtId="3" fontId="73" fillId="5" borderId="46" xfId="0" applyNumberFormat="1" applyFont="1" applyFill="1" applyBorder="1"/>
    <xf numFmtId="3" fontId="71" fillId="0" borderId="46" xfId="0" applyNumberFormat="1" applyFont="1" applyBorder="1"/>
    <xf numFmtId="0" fontId="83" fillId="0" borderId="54" xfId="0" applyFont="1" applyBorder="1"/>
    <xf numFmtId="0" fontId="72" fillId="5" borderId="54" xfId="0" applyFont="1" applyFill="1" applyBorder="1"/>
    <xf numFmtId="0" fontId="84" fillId="5" borderId="54" xfId="0" applyFont="1" applyFill="1" applyBorder="1"/>
    <xf numFmtId="0" fontId="85" fillId="5" borderId="54" xfId="0" applyFont="1" applyFill="1" applyBorder="1" applyAlignment="1">
      <alignment horizontal="right"/>
    </xf>
    <xf numFmtId="3" fontId="72" fillId="5" borderId="54" xfId="0" applyNumberFormat="1" applyFont="1" applyFill="1" applyBorder="1"/>
    <xf numFmtId="3" fontId="84" fillId="5" borderId="54" xfId="0" applyNumberFormat="1" applyFont="1" applyFill="1" applyBorder="1"/>
    <xf numFmtId="0" fontId="83" fillId="0" borderId="46" xfId="0" applyFont="1" applyBorder="1"/>
    <xf numFmtId="0" fontId="72" fillId="5" borderId="46" xfId="0" applyFont="1" applyFill="1" applyBorder="1"/>
    <xf numFmtId="0" fontId="84" fillId="5" borderId="46" xfId="0" applyFont="1" applyFill="1" applyBorder="1"/>
    <xf numFmtId="0" fontId="85" fillId="5" borderId="46" xfId="0" applyFont="1" applyFill="1" applyBorder="1" applyAlignment="1">
      <alignment horizontal="right"/>
    </xf>
    <xf numFmtId="3" fontId="72" fillId="5" borderId="46" xfId="0" applyNumberFormat="1" applyFont="1" applyFill="1" applyBorder="1"/>
    <xf numFmtId="3" fontId="84" fillId="5" borderId="46" xfId="0" applyNumberFormat="1" applyFont="1" applyFill="1" applyBorder="1"/>
    <xf numFmtId="0" fontId="72" fillId="3" borderId="46" xfId="0" applyFont="1" applyFill="1" applyBorder="1"/>
    <xf numFmtId="0" fontId="86" fillId="6" borderId="46" xfId="0" applyFont="1" applyFill="1" applyBorder="1"/>
    <xf numFmtId="0" fontId="85" fillId="7" borderId="46" xfId="0" applyFont="1" applyFill="1" applyBorder="1" applyAlignment="1">
      <alignment horizontal="right"/>
    </xf>
    <xf numFmtId="3" fontId="72" fillId="3" borderId="46" xfId="0" applyNumberFormat="1" applyFont="1" applyFill="1" applyBorder="1"/>
    <xf numFmtId="3" fontId="86" fillId="6" borderId="46" xfId="0" applyNumberFormat="1" applyFont="1" applyFill="1" applyBorder="1"/>
    <xf numFmtId="0" fontId="87" fillId="7" borderId="46" xfId="0" applyFont="1" applyFill="1" applyBorder="1" applyAlignment="1">
      <alignment horizontal="right"/>
    </xf>
    <xf numFmtId="0" fontId="73" fillId="0" borderId="46" xfId="0" applyFont="1" applyBorder="1" applyAlignment="1">
      <alignment vertical="top"/>
    </xf>
    <xf numFmtId="0" fontId="73" fillId="0" borderId="46" xfId="0" applyFont="1" applyBorder="1" applyAlignment="1">
      <alignment horizontal="centerContinuous" vertical="top"/>
    </xf>
    <xf numFmtId="165" fontId="75" fillId="2" borderId="46" xfId="45" applyNumberFormat="1" applyFont="1" applyFill="1" applyBorder="1" applyAlignment="1">
      <alignment horizontal="right" vertical="top" wrapText="1"/>
    </xf>
    <xf numFmtId="3" fontId="73" fillId="0" borderId="46" xfId="0" applyNumberFormat="1" applyFont="1" applyBorder="1" applyAlignment="1">
      <alignment vertical="top"/>
    </xf>
    <xf numFmtId="2" fontId="73" fillId="0" borderId="46" xfId="0" applyNumberFormat="1" applyFont="1" applyBorder="1" applyAlignment="1">
      <alignment vertical="top"/>
    </xf>
    <xf numFmtId="1" fontId="0" fillId="0" borderId="46" xfId="0" applyNumberFormat="1" applyBorder="1"/>
    <xf numFmtId="1" fontId="73" fillId="0" borderId="46" xfId="0" applyNumberFormat="1" applyFont="1" applyBorder="1" applyAlignment="1">
      <alignment vertical="top"/>
    </xf>
    <xf numFmtId="2" fontId="58" fillId="0" borderId="97" xfId="0" applyNumberFormat="1" applyFont="1" applyBorder="1" applyAlignment="1">
      <alignment vertical="top"/>
    </xf>
    <xf numFmtId="3" fontId="0" fillId="0" borderId="46" xfId="0" applyNumberFormat="1" applyBorder="1"/>
    <xf numFmtId="2" fontId="58" fillId="0" borderId="46" xfId="0" applyNumberFormat="1" applyFont="1" applyBorder="1" applyAlignment="1">
      <alignment vertical="top"/>
    </xf>
    <xf numFmtId="0" fontId="73" fillId="0" borderId="98" xfId="0" applyFont="1" applyBorder="1" applyAlignment="1">
      <alignment horizontal="center" vertical="top"/>
    </xf>
    <xf numFmtId="165" fontId="75" fillId="2" borderId="98" xfId="45" applyNumberFormat="1" applyFont="1" applyFill="1" applyBorder="1" applyAlignment="1">
      <alignment horizontal="right" vertical="top" wrapText="1"/>
    </xf>
    <xf numFmtId="2" fontId="58" fillId="0" borderId="100" xfId="0" applyNumberFormat="1" applyFont="1" applyBorder="1" applyAlignment="1">
      <alignment vertical="top"/>
    </xf>
    <xf numFmtId="0" fontId="0" fillId="0" borderId="11" xfId="0" applyBorder="1"/>
    <xf numFmtId="1" fontId="0" fillId="0" borderId="60" xfId="0" applyNumberFormat="1" applyBorder="1"/>
    <xf numFmtId="165" fontId="75" fillId="2" borderId="11" xfId="45" applyNumberFormat="1" applyFont="1" applyFill="1" applyBorder="1" applyAlignment="1">
      <alignment horizontal="right" vertical="top" wrapText="1"/>
    </xf>
    <xf numFmtId="1" fontId="73" fillId="0" borderId="60" xfId="0" applyNumberFormat="1" applyFont="1" applyBorder="1" applyAlignment="1">
      <alignment vertical="top"/>
    </xf>
    <xf numFmtId="0" fontId="73" fillId="0" borderId="98" xfId="0" applyFont="1" applyBorder="1" applyAlignment="1">
      <alignment horizontal="centerContinuous" vertical="top"/>
    </xf>
    <xf numFmtId="0" fontId="73" fillId="0" borderId="60" xfId="0" applyFont="1" applyBorder="1" applyAlignment="1">
      <alignment horizontal="centerContinuous" vertical="top"/>
    </xf>
    <xf numFmtId="0" fontId="73" fillId="0" borderId="11" xfId="0" applyFont="1" applyBorder="1" applyAlignment="1">
      <alignment horizontal="centerContinuous" vertical="top"/>
    </xf>
    <xf numFmtId="0" fontId="73" fillId="0" borderId="11" xfId="0" applyFont="1" applyBorder="1" applyAlignment="1">
      <alignment horizontal="center" vertical="top"/>
    </xf>
    <xf numFmtId="0" fontId="73" fillId="0" borderId="60" xfId="0" applyFont="1" applyBorder="1" applyAlignment="1">
      <alignment vertical="top"/>
    </xf>
    <xf numFmtId="0" fontId="73" fillId="0" borderId="101" xfId="0" applyFont="1" applyBorder="1" applyAlignment="1">
      <alignment horizontal="centerContinuous" vertical="top"/>
    </xf>
    <xf numFmtId="2" fontId="73" fillId="0" borderId="101" xfId="0" applyNumberFormat="1" applyFont="1" applyBorder="1" applyAlignment="1">
      <alignment vertical="top"/>
    </xf>
    <xf numFmtId="0" fontId="73" fillId="0" borderId="60" xfId="0" applyFont="1" applyBorder="1" applyAlignment="1">
      <alignment horizontal="centerContinuous" vertical="top" wrapText="1"/>
    </xf>
    <xf numFmtId="3" fontId="73" fillId="0" borderId="60" xfId="0" applyNumberFormat="1" applyFont="1" applyBorder="1" applyAlignment="1">
      <alignment vertical="top"/>
    </xf>
    <xf numFmtId="0" fontId="73" fillId="0" borderId="101" xfId="0" applyFont="1" applyBorder="1" applyAlignment="1">
      <alignment horizontal="centerContinuous" vertical="top" wrapText="1"/>
    </xf>
    <xf numFmtId="0" fontId="73" fillId="0" borderId="101" xfId="0" applyFont="1" applyBorder="1" applyAlignment="1">
      <alignment vertical="top"/>
    </xf>
    <xf numFmtId="0" fontId="73" fillId="0" borderId="10" xfId="0" applyFont="1" applyBorder="1" applyAlignment="1">
      <alignment vertical="top"/>
    </xf>
    <xf numFmtId="0" fontId="73" fillId="0" borderId="10" xfId="0" applyFont="1" applyBorder="1" applyAlignment="1">
      <alignment horizontal="center" vertical="top"/>
    </xf>
    <xf numFmtId="0" fontId="73" fillId="5" borderId="10" xfId="0" applyFont="1" applyFill="1" applyBorder="1"/>
    <xf numFmtId="0" fontId="83" fillId="0" borderId="10" xfId="0" applyFont="1" applyBorder="1"/>
    <xf numFmtId="0" fontId="88" fillId="0" borderId="102" xfId="0" applyFont="1" applyFill="1" applyBorder="1"/>
    <xf numFmtId="0" fontId="0" fillId="0" borderId="103" xfId="0" applyFill="1" applyBorder="1"/>
    <xf numFmtId="0" fontId="0" fillId="0" borderId="0" xfId="0" applyBorder="1"/>
    <xf numFmtId="0" fontId="73" fillId="0" borderId="10" xfId="0" applyFont="1" applyFill="1" applyBorder="1" applyAlignment="1">
      <alignment wrapText="1"/>
    </xf>
    <xf numFmtId="3" fontId="73" fillId="0" borderId="60" xfId="0" applyNumberFormat="1" applyFont="1" applyFill="1" applyBorder="1"/>
    <xf numFmtId="3" fontId="73" fillId="0" borderId="46" xfId="0" applyNumberFormat="1" applyFont="1" applyFill="1" applyBorder="1"/>
    <xf numFmtId="0" fontId="73" fillId="0" borderId="8" xfId="0" applyFont="1" applyFill="1" applyBorder="1" applyAlignment="1">
      <alignment wrapText="1"/>
    </xf>
    <xf numFmtId="3" fontId="73" fillId="0" borderId="55" xfId="0" applyNumberFormat="1" applyFont="1" applyFill="1" applyBorder="1"/>
    <xf numFmtId="3" fontId="73" fillId="0" borderId="54" xfId="0" applyNumberFormat="1" applyFont="1" applyFill="1" applyBorder="1"/>
    <xf numFmtId="0" fontId="0" fillId="0" borderId="0" xfId="0" applyAlignment="1">
      <alignment vertical="top" wrapText="1"/>
    </xf>
    <xf numFmtId="0" fontId="78" fillId="0" borderId="0" xfId="0" applyFont="1" applyAlignment="1">
      <alignment vertical="top" wrapText="1"/>
    </xf>
    <xf numFmtId="0" fontId="91" fillId="0" borderId="0" xfId="0" applyFont="1" applyAlignment="1">
      <alignment horizontal="center"/>
    </xf>
    <xf numFmtId="0" fontId="90" fillId="0" borderId="105" xfId="0" applyFont="1" applyBorder="1" applyAlignment="1">
      <alignment vertical="top" wrapText="1"/>
    </xf>
    <xf numFmtId="0" fontId="91" fillId="0" borderId="106" xfId="0" applyFont="1" applyBorder="1" applyAlignment="1">
      <alignment horizontal="center"/>
    </xf>
    <xf numFmtId="0" fontId="92" fillId="0" borderId="106" xfId="0" applyFont="1" applyBorder="1"/>
    <xf numFmtId="2" fontId="91" fillId="0" borderId="106" xfId="0" applyNumberFormat="1" applyFont="1" applyBorder="1" applyAlignment="1">
      <alignment horizontal="center"/>
    </xf>
    <xf numFmtId="0" fontId="92" fillId="0" borderId="107" xfId="0" applyFont="1" applyBorder="1"/>
    <xf numFmtId="0" fontId="90" fillId="0" borderId="108" xfId="0" applyFont="1" applyBorder="1" applyAlignment="1">
      <alignment vertical="top" wrapText="1"/>
    </xf>
    <xf numFmtId="0" fontId="91" fillId="0" borderId="109" xfId="0" applyFont="1" applyBorder="1" applyAlignment="1">
      <alignment horizontal="center"/>
    </xf>
    <xf numFmtId="0" fontId="92" fillId="0" borderId="109" xfId="0" applyFont="1" applyBorder="1"/>
    <xf numFmtId="2" fontId="91" fillId="0" borderId="109" xfId="0" applyNumberFormat="1" applyFont="1" applyBorder="1" applyAlignment="1">
      <alignment horizontal="center"/>
    </xf>
    <xf numFmtId="0" fontId="92" fillId="0" borderId="110" xfId="0" applyFont="1" applyBorder="1"/>
    <xf numFmtId="0" fontId="90" fillId="0" borderId="111" xfId="0" applyFont="1" applyBorder="1" applyAlignment="1">
      <alignment vertical="top" wrapText="1"/>
    </xf>
    <xf numFmtId="0" fontId="91" fillId="0" borderId="112" xfId="0" applyFont="1" applyBorder="1" applyAlignment="1">
      <alignment horizontal="center"/>
    </xf>
    <xf numFmtId="0" fontId="92" fillId="0" borderId="112" xfId="0" applyFont="1" applyBorder="1"/>
    <xf numFmtId="2" fontId="91" fillId="0" borderId="112" xfId="0" applyNumberFormat="1" applyFont="1" applyBorder="1" applyAlignment="1">
      <alignment horizontal="center"/>
    </xf>
    <xf numFmtId="0" fontId="92" fillId="0" borderId="113" xfId="0" applyFont="1" applyBorder="1"/>
    <xf numFmtId="0" fontId="90" fillId="0" borderId="0" xfId="0" applyFont="1"/>
    <xf numFmtId="0" fontId="90" fillId="0" borderId="114" xfId="0" applyFont="1" applyBorder="1" applyAlignment="1">
      <alignment vertical="top" wrapText="1"/>
    </xf>
    <xf numFmtId="2" fontId="91" fillId="0" borderId="115" xfId="0" applyNumberFormat="1" applyFont="1" applyBorder="1" applyAlignment="1">
      <alignment vertical="top" wrapText="1"/>
    </xf>
    <xf numFmtId="0" fontId="91" fillId="0" borderId="116" xfId="0" applyFont="1" applyBorder="1" applyAlignment="1">
      <alignment horizontal="center" vertical="top" wrapText="1"/>
    </xf>
    <xf numFmtId="0" fontId="91" fillId="0" borderId="0" xfId="0" applyFont="1" applyAlignment="1">
      <alignment horizontal="center" vertical="top" wrapText="1"/>
    </xf>
    <xf numFmtId="0" fontId="90" fillId="0" borderId="114" xfId="0" applyFont="1" applyBorder="1"/>
    <xf numFmtId="0" fontId="91" fillId="0" borderId="116" xfId="0" applyFont="1" applyBorder="1"/>
    <xf numFmtId="0" fontId="92" fillId="0" borderId="105" xfId="0" applyFont="1" applyBorder="1" applyAlignment="1">
      <alignment wrapText="1"/>
    </xf>
    <xf numFmtId="0" fontId="92" fillId="0" borderId="111" xfId="0" applyFont="1" applyBorder="1" applyAlignment="1">
      <alignment wrapText="1"/>
    </xf>
    <xf numFmtId="2" fontId="91" fillId="0" borderId="107" xfId="0" applyNumberFormat="1" applyFont="1" applyBorder="1" applyAlignment="1">
      <alignment horizontal="center" vertical="top" wrapText="1"/>
    </xf>
    <xf numFmtId="2" fontId="91" fillId="0" borderId="113" xfId="0" applyNumberFormat="1" applyFont="1" applyBorder="1" applyAlignment="1">
      <alignment horizontal="center" vertical="top" wrapText="1"/>
    </xf>
    <xf numFmtId="0" fontId="93" fillId="0" borderId="46" xfId="0" applyFont="1" applyBorder="1" applyAlignment="1">
      <alignment horizontal="center"/>
    </xf>
    <xf numFmtId="166" fontId="93" fillId="0" borderId="46" xfId="0" applyNumberFormat="1" applyFont="1" applyBorder="1" applyAlignment="1">
      <alignment horizontal="center"/>
    </xf>
    <xf numFmtId="0" fontId="97" fillId="5" borderId="14" xfId="0" applyFont="1" applyFill="1" applyBorder="1"/>
    <xf numFmtId="0" fontId="82" fillId="5" borderId="15" xfId="0" applyFont="1" applyFill="1" applyBorder="1"/>
    <xf numFmtId="0" fontId="98" fillId="0" borderId="9" xfId="0" applyFont="1" applyBorder="1" applyAlignment="1">
      <alignment horizontal="right"/>
    </xf>
    <xf numFmtId="0" fontId="98" fillId="0" borderId="11" xfId="0" applyFont="1" applyBorder="1" applyAlignment="1">
      <alignment horizontal="right"/>
    </xf>
    <xf numFmtId="0" fontId="82" fillId="0" borderId="12" xfId="0" applyFont="1" applyBorder="1"/>
    <xf numFmtId="0" fontId="94" fillId="0" borderId="6" xfId="0" applyFont="1" applyBorder="1"/>
    <xf numFmtId="0" fontId="82" fillId="0" borderId="0" xfId="0" applyFont="1" applyBorder="1" applyAlignment="1">
      <alignment horizontal="center"/>
    </xf>
    <xf numFmtId="0" fontId="82" fillId="0" borderId="3" xfId="0" applyFont="1" applyBorder="1" applyAlignment="1">
      <alignment horizontal="center"/>
    </xf>
    <xf numFmtId="0" fontId="82" fillId="0" borderId="0" xfId="0" applyFont="1" applyFill="1"/>
    <xf numFmtId="0" fontId="59" fillId="0" borderId="89" xfId="0" applyFont="1" applyBorder="1"/>
    <xf numFmtId="0" fontId="59" fillId="0" borderId="14" xfId="0" applyFont="1" applyBorder="1" applyAlignment="1">
      <alignment horizontal="right"/>
    </xf>
    <xf numFmtId="0" fontId="59" fillId="0" borderId="15" xfId="0" applyFont="1" applyBorder="1" applyAlignment="1">
      <alignment horizontal="right"/>
    </xf>
    <xf numFmtId="1" fontId="59" fillId="0" borderId="7" xfId="0" applyNumberFormat="1" applyFont="1" applyBorder="1"/>
    <xf numFmtId="1" fontId="59" fillId="0" borderId="15" xfId="0" applyNumberFormat="1" applyFont="1" applyBorder="1"/>
    <xf numFmtId="0" fontId="73" fillId="0" borderId="2" xfId="0" applyFont="1" applyBorder="1" applyAlignment="1">
      <alignment horizontal="center" vertical="center" wrapText="1"/>
    </xf>
    <xf numFmtId="0" fontId="73" fillId="0" borderId="117" xfId="0" applyFont="1" applyBorder="1" applyAlignment="1">
      <alignment horizontal="center" vertical="center" wrapText="1"/>
    </xf>
    <xf numFmtId="0" fontId="73" fillId="0" borderId="70" xfId="0" applyFont="1" applyBorder="1" applyAlignment="1">
      <alignment horizontal="center" vertical="center" wrapText="1"/>
    </xf>
    <xf numFmtId="0" fontId="73" fillId="0" borderId="13" xfId="0" applyFont="1" applyBorder="1" applyAlignment="1">
      <alignment horizontal="center" vertical="center" wrapText="1"/>
    </xf>
    <xf numFmtId="0" fontId="73" fillId="0" borderId="118" xfId="0" applyFont="1" applyBorder="1" applyAlignment="1">
      <alignment horizontal="center" vertical="center" wrapText="1"/>
    </xf>
    <xf numFmtId="0" fontId="73" fillId="0" borderId="119" xfId="0" applyFont="1" applyBorder="1" applyAlignment="1">
      <alignment horizontal="center" vertical="center" wrapText="1"/>
    </xf>
    <xf numFmtId="0" fontId="73" fillId="0" borderId="121" xfId="0" applyFont="1" applyBorder="1" applyAlignment="1">
      <alignment horizontal="center" vertical="center" wrapText="1"/>
    </xf>
    <xf numFmtId="0" fontId="73" fillId="0" borderId="69" xfId="0" applyFont="1" applyBorder="1" applyAlignment="1">
      <alignment horizontal="center" vertical="center" wrapText="1"/>
    </xf>
    <xf numFmtId="0" fontId="73" fillId="0" borderId="86" xfId="0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73" fillId="0" borderId="98" xfId="0" applyFont="1" applyBorder="1" applyAlignment="1">
      <alignment horizontal="center" vertical="center" wrapText="1"/>
    </xf>
    <xf numFmtId="0" fontId="73" fillId="0" borderId="11" xfId="0" applyFont="1" applyFill="1" applyBorder="1" applyAlignment="1">
      <alignment horizontal="center" vertical="center" wrapText="1"/>
    </xf>
    <xf numFmtId="0" fontId="73" fillId="0" borderId="86" xfId="0" applyFont="1" applyFill="1" applyBorder="1" applyAlignment="1">
      <alignment horizontal="center" vertical="center" wrapText="1"/>
    </xf>
    <xf numFmtId="0" fontId="73" fillId="0" borderId="98" xfId="0" applyFont="1" applyFill="1" applyBorder="1" applyAlignment="1">
      <alignment horizontal="center" vertical="center" wrapText="1"/>
    </xf>
    <xf numFmtId="0" fontId="73" fillId="0" borderId="88" xfId="0" applyFont="1" applyBorder="1" applyAlignment="1">
      <alignment horizontal="center" vertical="center" wrapText="1"/>
    </xf>
    <xf numFmtId="0" fontId="73" fillId="0" borderId="63" xfId="0" applyFont="1" applyBorder="1" applyAlignment="1">
      <alignment horizontal="center" vertical="center" wrapText="1"/>
    </xf>
    <xf numFmtId="0" fontId="73" fillId="0" borderId="122" xfId="0" applyFont="1" applyBorder="1" applyAlignment="1">
      <alignment horizontal="center" vertical="center" wrapText="1"/>
    </xf>
    <xf numFmtId="0" fontId="84" fillId="0" borderId="119" xfId="0" applyFont="1" applyBorder="1" applyAlignment="1">
      <alignment horizontal="center" vertical="center" wrapText="1"/>
    </xf>
    <xf numFmtId="0" fontId="104" fillId="0" borderId="0" xfId="0" applyFont="1"/>
    <xf numFmtId="0" fontId="62" fillId="0" borderId="0" xfId="0" applyFont="1" applyAlignment="1">
      <alignment horizontal="center"/>
    </xf>
    <xf numFmtId="0" fontId="105" fillId="0" borderId="0" xfId="0" applyFont="1"/>
    <xf numFmtId="0" fontId="105" fillId="0" borderId="0" xfId="0" applyFont="1" applyAlignment="1">
      <alignment horizontal="left"/>
    </xf>
    <xf numFmtId="0" fontId="105" fillId="0" borderId="0" xfId="0" applyFont="1" applyAlignment="1">
      <alignment horizontal="center"/>
    </xf>
    <xf numFmtId="0" fontId="106" fillId="0" borderId="0" xfId="0" applyFont="1" applyAlignment="1">
      <alignment horizontal="left"/>
    </xf>
    <xf numFmtId="0" fontId="62" fillId="0" borderId="0" xfId="2" applyFont="1" applyAlignment="1" applyProtection="1">
      <alignment horizontal="left"/>
    </xf>
    <xf numFmtId="0" fontId="106" fillId="0" borderId="0" xfId="0" applyFont="1" applyAlignment="1">
      <alignment horizontal="center"/>
    </xf>
    <xf numFmtId="0" fontId="0" fillId="0" borderId="0" xfId="0" applyAlignment="1"/>
    <xf numFmtId="0" fontId="108" fillId="8" borderId="101" xfId="0" applyFont="1" applyFill="1" applyBorder="1" applyAlignment="1">
      <alignment horizontal="center" vertical="top"/>
    </xf>
    <xf numFmtId="0" fontId="108" fillId="8" borderId="46" xfId="0" applyFont="1" applyFill="1" applyBorder="1" applyAlignment="1">
      <alignment horizontal="center" vertical="top"/>
    </xf>
    <xf numFmtId="3" fontId="108" fillId="0" borderId="101" xfId="0" applyNumberFormat="1" applyFont="1" applyBorder="1" applyAlignment="1">
      <alignment horizontal="center" vertical="center"/>
    </xf>
    <xf numFmtId="1" fontId="108" fillId="0" borderId="46" xfId="0" applyNumberFormat="1" applyFont="1" applyBorder="1" applyAlignment="1">
      <alignment horizontal="center" vertical="center"/>
    </xf>
    <xf numFmtId="10" fontId="108" fillId="0" borderId="46" xfId="0" applyNumberFormat="1" applyFont="1" applyBorder="1" applyAlignment="1">
      <alignment horizontal="center" vertical="center"/>
    </xf>
    <xf numFmtId="3" fontId="108" fillId="0" borderId="46" xfId="0" applyNumberFormat="1" applyFont="1" applyBorder="1" applyAlignment="1">
      <alignment horizontal="center" vertical="center"/>
    </xf>
    <xf numFmtId="4" fontId="108" fillId="0" borderId="101" xfId="0" applyNumberFormat="1" applyFont="1" applyBorder="1" applyAlignment="1">
      <alignment horizontal="center" vertical="center"/>
    </xf>
    <xf numFmtId="2" fontId="108" fillId="0" borderId="46" xfId="0" applyNumberFormat="1" applyFont="1" applyBorder="1" applyAlignment="1">
      <alignment horizontal="center" vertical="center"/>
    </xf>
    <xf numFmtId="0" fontId="107" fillId="0" borderId="0" xfId="0" applyFont="1"/>
    <xf numFmtId="0" fontId="107" fillId="0" borderId="0" xfId="0" applyFont="1" applyAlignment="1">
      <alignment horizontal="left" vertical="top"/>
    </xf>
    <xf numFmtId="0" fontId="111" fillId="0" borderId="69" xfId="0" applyFont="1" applyBorder="1" applyAlignment="1">
      <alignment horizontal="center"/>
    </xf>
    <xf numFmtId="0" fontId="112" fillId="0" borderId="69" xfId="0" applyFont="1" applyBorder="1" applyAlignment="1">
      <alignment horizontal="center"/>
    </xf>
    <xf numFmtId="0" fontId="73" fillId="0" borderId="46" xfId="0" applyFont="1" applyBorder="1" applyAlignment="1">
      <alignment horizontal="center" vertical="center" wrapText="1"/>
    </xf>
    <xf numFmtId="0" fontId="73" fillId="0" borderId="46" xfId="0" applyFont="1" applyFill="1" applyBorder="1" applyAlignment="1">
      <alignment horizontal="center" vertical="center" wrapText="1"/>
    </xf>
    <xf numFmtId="0" fontId="73" fillId="0" borderId="35" xfId="0" applyFont="1" applyBorder="1" applyAlignment="1">
      <alignment horizontal="center" vertical="center" wrapText="1"/>
    </xf>
    <xf numFmtId="0" fontId="73" fillId="0" borderId="121" xfId="0" applyFont="1" applyBorder="1" applyAlignment="1">
      <alignment horizontal="center"/>
    </xf>
    <xf numFmtId="0" fontId="59" fillId="0" borderId="119" xfId="0" applyFont="1" applyBorder="1"/>
    <xf numFmtId="0" fontId="59" fillId="0" borderId="86" xfId="0" applyFont="1" applyBorder="1"/>
    <xf numFmtId="0" fontId="59" fillId="0" borderId="121" xfId="0" applyFont="1" applyBorder="1"/>
    <xf numFmtId="0" fontId="59" fillId="0" borderId="54" xfId="0" applyFont="1" applyBorder="1"/>
    <xf numFmtId="0" fontId="59" fillId="0" borderId="46" xfId="0" applyFont="1" applyBorder="1"/>
    <xf numFmtId="0" fontId="59" fillId="0" borderId="69" xfId="0" applyFont="1" applyBorder="1"/>
    <xf numFmtId="0" fontId="73" fillId="0" borderId="69" xfId="0" applyFont="1" applyBorder="1" applyAlignment="1">
      <alignment horizontal="center"/>
    </xf>
    <xf numFmtId="0" fontId="59" fillId="0" borderId="89" xfId="0" applyFont="1" applyBorder="1" applyAlignment="1">
      <alignment horizontal="right"/>
    </xf>
    <xf numFmtId="1" fontId="59" fillId="0" borderId="119" xfId="0" applyNumberFormat="1" applyFont="1" applyBorder="1"/>
    <xf numFmtId="1" fontId="59" fillId="0" borderId="89" xfId="0" applyNumberFormat="1" applyFont="1" applyBorder="1"/>
    <xf numFmtId="1" fontId="59" fillId="0" borderId="86" xfId="0" applyNumberFormat="1" applyFont="1" applyBorder="1"/>
    <xf numFmtId="1" fontId="59" fillId="0" borderId="121" xfId="0" applyNumberFormat="1" applyFont="1" applyBorder="1"/>
    <xf numFmtId="1" fontId="59" fillId="0" borderId="54" xfId="0" applyNumberFormat="1" applyFont="1" applyBorder="1"/>
    <xf numFmtId="1" fontId="59" fillId="0" borderId="46" xfId="0" applyNumberFormat="1" applyFont="1" applyBorder="1"/>
    <xf numFmtId="1" fontId="59" fillId="0" borderId="69" xfId="0" applyNumberFormat="1" applyFont="1" applyBorder="1"/>
    <xf numFmtId="0" fontId="0" fillId="0" borderId="46" xfId="0" applyFill="1" applyBorder="1" applyAlignment="1">
      <alignment wrapText="1"/>
    </xf>
    <xf numFmtId="1" fontId="93" fillId="0" borderId="46" xfId="0" applyNumberFormat="1" applyFont="1" applyBorder="1" applyAlignment="1">
      <alignment horizontal="center"/>
    </xf>
    <xf numFmtId="0" fontId="92" fillId="0" borderId="0" xfId="0" applyFont="1"/>
    <xf numFmtId="0" fontId="0" fillId="0" borderId="0" xfId="0" applyFont="1" applyAlignment="1">
      <alignment horizontal="center"/>
    </xf>
    <xf numFmtId="0" fontId="113" fillId="0" borderId="0" xfId="0" applyFont="1" applyBorder="1" applyAlignment="1">
      <alignment horizontal="center" vertical="center"/>
    </xf>
    <xf numFmtId="0" fontId="114" fillId="0" borderId="0" xfId="0" applyFont="1" applyBorder="1" applyAlignment="1">
      <alignment horizontal="center" vertical="center"/>
    </xf>
    <xf numFmtId="0" fontId="92" fillId="0" borderId="0" xfId="0" applyFont="1" applyAlignment="1">
      <alignment horizontal="left"/>
    </xf>
    <xf numFmtId="0" fontId="68" fillId="0" borderId="70" xfId="0" applyFont="1" applyBorder="1" applyAlignment="1">
      <alignment vertical="top"/>
    </xf>
    <xf numFmtId="0" fontId="68" fillId="0" borderId="69" xfId="0" applyFont="1" applyBorder="1" applyAlignment="1">
      <alignment vertical="top"/>
    </xf>
    <xf numFmtId="0" fontId="73" fillId="10" borderId="86" xfId="0" applyFont="1" applyFill="1" applyBorder="1" applyAlignment="1">
      <alignment horizontal="center" vertical="center" wrapText="1"/>
    </xf>
    <xf numFmtId="0" fontId="73" fillId="10" borderId="46" xfId="0" applyFont="1" applyFill="1" applyBorder="1" applyAlignment="1">
      <alignment horizontal="center" vertical="center" wrapText="1"/>
    </xf>
    <xf numFmtId="0" fontId="73" fillId="10" borderId="11" xfId="0" applyFont="1" applyFill="1" applyBorder="1" applyAlignment="1">
      <alignment horizontal="center" vertical="center" wrapText="1"/>
    </xf>
    <xf numFmtId="0" fontId="73" fillId="10" borderId="98" xfId="0" applyFont="1" applyFill="1" applyBorder="1" applyAlignment="1">
      <alignment horizontal="center" vertical="center" wrapText="1"/>
    </xf>
    <xf numFmtId="0" fontId="59" fillId="10" borderId="0" xfId="0" applyFont="1" applyFill="1"/>
    <xf numFmtId="49" fontId="73" fillId="10" borderId="86" xfId="0" applyNumberFormat="1" applyFont="1" applyFill="1" applyBorder="1" applyAlignment="1">
      <alignment horizontal="center" vertical="center" wrapText="1"/>
    </xf>
    <xf numFmtId="0" fontId="82" fillId="0" borderId="0" xfId="0" applyFont="1" applyBorder="1" applyAlignment="1">
      <alignment horizontal="centerContinuous"/>
    </xf>
    <xf numFmtId="0" fontId="82" fillId="0" borderId="0" xfId="0" applyFont="1" applyFill="1" applyBorder="1" applyAlignment="1">
      <alignment horizontal="centerContinuous"/>
    </xf>
    <xf numFmtId="0" fontId="94" fillId="0" borderId="0" xfId="0" applyFont="1" applyBorder="1" applyAlignment="1">
      <alignment horizontal="centerContinuous"/>
    </xf>
    <xf numFmtId="0" fontId="82" fillId="0" borderId="0" xfId="0" applyFont="1" applyBorder="1"/>
    <xf numFmtId="0" fontId="119" fillId="0" borderId="105" xfId="0" applyFont="1" applyBorder="1" applyAlignment="1">
      <alignment vertical="top" wrapText="1"/>
    </xf>
    <xf numFmtId="0" fontId="120" fillId="0" borderId="106" xfId="0" applyFont="1" applyBorder="1" applyAlignment="1">
      <alignment horizontal="center" vertical="top" wrapText="1"/>
    </xf>
    <xf numFmtId="2" fontId="120" fillId="0" borderId="107" xfId="0" applyNumberFormat="1" applyFont="1" applyBorder="1" applyAlignment="1">
      <alignment vertical="top" wrapText="1"/>
    </xf>
    <xf numFmtId="0" fontId="119" fillId="0" borderId="108" xfId="0" applyFont="1" applyBorder="1" applyAlignment="1">
      <alignment vertical="top" wrapText="1"/>
    </xf>
    <xf numFmtId="0" fontId="120" fillId="0" borderId="109" xfId="0" applyFont="1" applyBorder="1" applyAlignment="1">
      <alignment horizontal="center" vertical="top" wrapText="1"/>
    </xf>
    <xf numFmtId="2" fontId="120" fillId="0" borderId="110" xfId="0" applyNumberFormat="1" applyFont="1" applyBorder="1" applyAlignment="1">
      <alignment vertical="top" wrapText="1"/>
    </xf>
    <xf numFmtId="0" fontId="119" fillId="0" borderId="111" xfId="0" applyFont="1" applyBorder="1" applyAlignment="1">
      <alignment vertical="top" wrapText="1"/>
    </xf>
    <xf numFmtId="0" fontId="120" fillId="0" borderId="112" xfId="0" applyFont="1" applyBorder="1" applyAlignment="1">
      <alignment horizontal="center" vertical="top" wrapText="1"/>
    </xf>
    <xf numFmtId="2" fontId="120" fillId="0" borderId="113" xfId="0" applyNumberFormat="1" applyFont="1" applyBorder="1" applyAlignment="1">
      <alignment vertical="top" wrapText="1"/>
    </xf>
    <xf numFmtId="0" fontId="68" fillId="0" borderId="123" xfId="0" applyFont="1" applyBorder="1" applyAlignment="1">
      <alignment horizontal="center" vertical="top" wrapText="1"/>
    </xf>
    <xf numFmtId="0" fontId="68" fillId="0" borderId="63" xfId="0" applyFont="1" applyBorder="1" applyAlignment="1">
      <alignment vertical="top"/>
    </xf>
    <xf numFmtId="0" fontId="68" fillId="0" borderId="122" xfId="0" applyFont="1" applyBorder="1" applyAlignment="1">
      <alignment vertical="top"/>
    </xf>
    <xf numFmtId="168" fontId="69" fillId="11" borderId="124" xfId="45" applyNumberFormat="1" applyFont="1" applyFill="1" applyBorder="1" applyAlignment="1">
      <alignment horizontal="right" vertical="top" wrapText="1"/>
    </xf>
    <xf numFmtId="168" fontId="69" fillId="11" borderId="98" xfId="45" applyNumberFormat="1" applyFont="1" applyFill="1" applyBorder="1" applyAlignment="1">
      <alignment horizontal="right" vertical="top" wrapText="1"/>
    </xf>
    <xf numFmtId="168" fontId="69" fillId="11" borderId="46" xfId="45" applyNumberFormat="1" applyFont="1" applyFill="1" applyBorder="1" applyAlignment="1">
      <alignment horizontal="right" vertical="top" wrapText="1"/>
    </xf>
    <xf numFmtId="0" fontId="68" fillId="0" borderId="46" xfId="0" applyFont="1" applyBorder="1" applyAlignment="1">
      <alignment vertical="top" wrapText="1"/>
    </xf>
    <xf numFmtId="0" fontId="68" fillId="0" borderId="118" xfId="0" applyFont="1" applyBorder="1" applyAlignment="1">
      <alignment vertical="top"/>
    </xf>
    <xf numFmtId="0" fontId="68" fillId="0" borderId="126" xfId="0" applyFont="1" applyBorder="1" applyAlignment="1">
      <alignment vertical="top"/>
    </xf>
    <xf numFmtId="0" fontId="92" fillId="0" borderId="0" xfId="0" applyFont="1" applyFill="1" applyBorder="1"/>
    <xf numFmtId="0" fontId="115" fillId="0" borderId="108" xfId="0" applyFont="1" applyBorder="1" applyAlignment="1">
      <alignment vertical="top"/>
    </xf>
    <xf numFmtId="0" fontId="115" fillId="0" borderId="111" xfId="0" applyFont="1" applyBorder="1" applyAlignment="1">
      <alignment vertical="top"/>
    </xf>
    <xf numFmtId="0" fontId="115" fillId="0" borderId="0" xfId="0" applyFont="1" applyAlignment="1">
      <alignment vertical="top" wrapText="1"/>
    </xf>
    <xf numFmtId="0" fontId="116" fillId="0" borderId="0" xfId="0" applyFont="1" applyAlignment="1">
      <alignment vertical="top" wrapText="1"/>
    </xf>
    <xf numFmtId="0" fontId="117" fillId="0" borderId="0" xfId="0" applyFont="1" applyAlignment="1">
      <alignment vertical="top" wrapText="1"/>
    </xf>
    <xf numFmtId="0" fontId="117" fillId="0" borderId="0" xfId="0" applyFont="1"/>
    <xf numFmtId="0" fontId="115" fillId="0" borderId="46" xfId="0" applyFont="1" applyBorder="1" applyAlignment="1">
      <alignment horizontal="center" vertical="top"/>
    </xf>
    <xf numFmtId="0" fontId="115" fillId="0" borderId="46" xfId="0" applyFont="1" applyBorder="1" applyAlignment="1">
      <alignment horizontal="center" vertical="top" wrapText="1"/>
    </xf>
    <xf numFmtId="0" fontId="115" fillId="0" borderId="87" xfId="0" applyFont="1" applyBorder="1" applyAlignment="1">
      <alignment horizontal="left"/>
    </xf>
    <xf numFmtId="0" fontId="115" fillId="0" borderId="46" xfId="0" applyFont="1" applyFill="1" applyBorder="1" applyAlignment="1">
      <alignment horizontal="center"/>
    </xf>
    <xf numFmtId="0" fontId="115" fillId="0" borderId="86" xfId="0" applyFont="1" applyBorder="1" applyAlignment="1">
      <alignment horizontal="center"/>
    </xf>
    <xf numFmtId="0" fontId="115" fillId="0" borderId="86" xfId="0" applyFont="1" applyBorder="1"/>
    <xf numFmtId="0" fontId="77" fillId="0" borderId="46" xfId="0" applyFont="1" applyBorder="1" applyAlignment="1">
      <alignment horizontal="center" vertical="center"/>
    </xf>
    <xf numFmtId="0" fontId="77" fillId="0" borderId="43" xfId="0" applyFont="1" applyBorder="1" applyAlignment="1">
      <alignment horizontal="center" vertical="center"/>
    </xf>
    <xf numFmtId="0" fontId="77" fillId="0" borderId="79" xfId="0" applyFont="1" applyBorder="1" applyAlignment="1">
      <alignment horizontal="center" vertical="center"/>
    </xf>
    <xf numFmtId="49" fontId="77" fillId="0" borderId="79" xfId="0" applyNumberFormat="1" applyFont="1" applyBorder="1" applyAlignment="1">
      <alignment horizontal="center" vertical="center"/>
    </xf>
    <xf numFmtId="0" fontId="0" fillId="0" borderId="43" xfId="0" applyBorder="1"/>
    <xf numFmtId="0" fontId="0" fillId="0" borderId="79" xfId="0" applyBorder="1" applyAlignment="1">
      <alignment horizontal="center"/>
    </xf>
    <xf numFmtId="0" fontId="74" fillId="0" borderId="79" xfId="0" applyFont="1" applyBorder="1" applyAlignment="1">
      <alignment horizontal="center"/>
    </xf>
    <xf numFmtId="3" fontId="0" fillId="0" borderId="79" xfId="0" applyNumberFormat="1" applyBorder="1" applyAlignment="1">
      <alignment horizontal="center"/>
    </xf>
    <xf numFmtId="3" fontId="74" fillId="0" borderId="79" xfId="0" applyNumberFormat="1" applyFont="1" applyBorder="1" applyAlignment="1">
      <alignment horizontal="center"/>
    </xf>
    <xf numFmtId="0" fontId="97" fillId="0" borderId="87" xfId="0" applyFont="1" applyBorder="1"/>
    <xf numFmtId="0" fontId="97" fillId="0" borderId="55" xfId="0" applyFont="1" applyBorder="1"/>
    <xf numFmtId="0" fontId="97" fillId="0" borderId="60" xfId="0" applyFont="1" applyFill="1" applyBorder="1"/>
    <xf numFmtId="0" fontId="98" fillId="0" borderId="6" xfId="0" applyFont="1" applyBorder="1" applyAlignment="1">
      <alignment horizontal="right"/>
    </xf>
    <xf numFmtId="0" fontId="98" fillId="0" borderId="6" xfId="0" applyFont="1" applyFill="1" applyBorder="1" applyAlignment="1">
      <alignment horizontal="right"/>
    </xf>
    <xf numFmtId="0" fontId="97" fillId="0" borderId="6" xfId="0" applyFont="1" applyBorder="1" applyAlignment="1">
      <alignment horizontal="right"/>
    </xf>
    <xf numFmtId="0" fontId="82" fillId="0" borderId="6" xfId="0" applyFont="1" applyBorder="1" applyAlignment="1">
      <alignment horizontal="right"/>
    </xf>
    <xf numFmtId="0" fontId="82" fillId="0" borderId="6" xfId="0" applyFont="1" applyFill="1" applyBorder="1" applyAlignment="1">
      <alignment horizontal="right"/>
    </xf>
    <xf numFmtId="0" fontId="122" fillId="0" borderId="6" xfId="0" applyFont="1" applyBorder="1" applyAlignment="1">
      <alignment horizontal="left"/>
    </xf>
    <xf numFmtId="0" fontId="92" fillId="0" borderId="7" xfId="0" applyFont="1" applyFill="1" applyBorder="1" applyAlignment="1">
      <alignment horizontal="center" vertical="center" wrapText="1"/>
    </xf>
    <xf numFmtId="0" fontId="92" fillId="0" borderId="43" xfId="0" applyFont="1" applyFill="1" applyBorder="1" applyAlignment="1">
      <alignment horizontal="center"/>
    </xf>
    <xf numFmtId="0" fontId="92" fillId="0" borderId="46" xfId="0" applyFont="1" applyFill="1" applyBorder="1" applyAlignment="1">
      <alignment horizontal="center"/>
    </xf>
    <xf numFmtId="0" fontId="92" fillId="0" borderId="46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2" fillId="0" borderId="119" xfId="0" applyFont="1" applyBorder="1"/>
    <xf numFmtId="0" fontId="82" fillId="0" borderId="86" xfId="0" applyFont="1" applyBorder="1"/>
    <xf numFmtId="0" fontId="82" fillId="0" borderId="121" xfId="0" applyFont="1" applyBorder="1"/>
    <xf numFmtId="0" fontId="82" fillId="0" borderId="86" xfId="0" applyFont="1" applyFill="1" applyBorder="1"/>
    <xf numFmtId="0" fontId="97" fillId="0" borderId="43" xfId="0" applyFont="1" applyBorder="1"/>
    <xf numFmtId="0" fontId="110" fillId="0" borderId="14" xfId="0" applyFont="1" applyBorder="1" applyAlignment="1">
      <alignment horizontal="center"/>
    </xf>
    <xf numFmtId="0" fontId="82" fillId="5" borderId="14" xfId="0" applyFont="1" applyFill="1" applyBorder="1"/>
    <xf numFmtId="0" fontId="97" fillId="0" borderId="60" xfId="0" applyFont="1" applyBorder="1"/>
    <xf numFmtId="0" fontId="97" fillId="0" borderId="70" xfId="0" applyFont="1" applyBorder="1"/>
    <xf numFmtId="0" fontId="97" fillId="0" borderId="11" xfId="0" applyFont="1" applyBorder="1"/>
    <xf numFmtId="0" fontId="97" fillId="0" borderId="11" xfId="0" applyFont="1" applyFill="1" applyBorder="1"/>
    <xf numFmtId="0" fontId="97" fillId="0" borderId="13" xfId="0" applyFont="1" applyBorder="1"/>
    <xf numFmtId="3" fontId="82" fillId="5" borderId="60" xfId="0" applyNumberFormat="1" applyFont="1" applyFill="1" applyBorder="1"/>
    <xf numFmtId="3" fontId="97" fillId="5" borderId="11" xfId="0" applyNumberFormat="1" applyFont="1" applyFill="1" applyBorder="1"/>
    <xf numFmtId="0" fontId="96" fillId="0" borderId="14" xfId="0" applyFont="1" applyFill="1" applyBorder="1" applyAlignment="1">
      <alignment horizontal="center"/>
    </xf>
    <xf numFmtId="0" fontId="100" fillId="6" borderId="14" xfId="0" applyFont="1" applyFill="1" applyBorder="1"/>
    <xf numFmtId="0" fontId="101" fillId="3" borderId="7" xfId="0" applyFont="1" applyFill="1" applyBorder="1"/>
    <xf numFmtId="0" fontId="82" fillId="5" borderId="60" xfId="0" applyFont="1" applyFill="1" applyBorder="1"/>
    <xf numFmtId="0" fontId="97" fillId="5" borderId="11" xfId="0" applyFont="1" applyFill="1" applyBorder="1"/>
    <xf numFmtId="0" fontId="94" fillId="0" borderId="1" xfId="0" applyFont="1" applyBorder="1"/>
    <xf numFmtId="0" fontId="82" fillId="5" borderId="76" xfId="0" applyFont="1" applyFill="1" applyBorder="1"/>
    <xf numFmtId="0" fontId="97" fillId="5" borderId="75" xfId="0" applyFont="1" applyFill="1" applyBorder="1"/>
    <xf numFmtId="3" fontId="82" fillId="5" borderId="62" xfId="0" applyNumberFormat="1" applyFont="1" applyFill="1" applyBorder="1"/>
    <xf numFmtId="3" fontId="97" fillId="5" borderId="63" xfId="0" applyNumberFormat="1" applyFont="1" applyFill="1" applyBorder="1"/>
    <xf numFmtId="0" fontId="82" fillId="5" borderId="62" xfId="0" applyFont="1" applyFill="1" applyBorder="1"/>
    <xf numFmtId="0" fontId="97" fillId="5" borderId="63" xfId="0" applyFont="1" applyFill="1" applyBorder="1"/>
    <xf numFmtId="3" fontId="100" fillId="6" borderId="14" xfId="0" applyNumberFormat="1" applyFont="1" applyFill="1" applyBorder="1"/>
    <xf numFmtId="3" fontId="96" fillId="3" borderId="7" xfId="0" applyNumberFormat="1" applyFont="1" applyFill="1" applyBorder="1"/>
    <xf numFmtId="0" fontId="99" fillId="3" borderId="7" xfId="0" applyFont="1" applyFill="1" applyBorder="1"/>
    <xf numFmtId="0" fontId="82" fillId="5" borderId="149" xfId="0" applyFont="1" applyFill="1" applyBorder="1"/>
    <xf numFmtId="0" fontId="82" fillId="0" borderId="1" xfId="0" applyFont="1" applyBorder="1" applyAlignment="1"/>
    <xf numFmtId="0" fontId="95" fillId="0" borderId="2" xfId="0" applyFont="1" applyBorder="1" applyAlignment="1">
      <alignment horizontal="centerContinuous"/>
    </xf>
    <xf numFmtId="0" fontId="82" fillId="0" borderId="3" xfId="0" applyFont="1" applyBorder="1" applyAlignment="1">
      <alignment horizontal="centerContinuous"/>
    </xf>
    <xf numFmtId="0" fontId="82" fillId="0" borderId="4" xfId="0" applyFont="1" applyBorder="1" applyAlignment="1">
      <alignment horizontal="centerContinuous"/>
    </xf>
    <xf numFmtId="0" fontId="82" fillId="0" borderId="2" xfId="0" applyFont="1" applyBorder="1" applyAlignment="1">
      <alignment horizontal="centerContinuous"/>
    </xf>
    <xf numFmtId="0" fontId="82" fillId="0" borderId="2" xfId="0" applyFont="1" applyFill="1" applyBorder="1" applyAlignment="1">
      <alignment horizontal="centerContinuous"/>
    </xf>
    <xf numFmtId="0" fontId="82" fillId="0" borderId="3" xfId="0" applyFont="1" applyFill="1" applyBorder="1" applyAlignment="1">
      <alignment horizontal="centerContinuous"/>
    </xf>
    <xf numFmtId="0" fontId="82" fillId="0" borderId="4" xfId="0" applyFont="1" applyFill="1" applyBorder="1" applyAlignment="1">
      <alignment horizontal="centerContinuous"/>
    </xf>
    <xf numFmtId="0" fontId="82" fillId="0" borderId="150" xfId="0" applyFont="1" applyBorder="1" applyAlignment="1"/>
    <xf numFmtId="0" fontId="96" fillId="0" borderId="7" xfId="0" applyFont="1" applyBorder="1" applyAlignment="1">
      <alignment horizontal="center"/>
    </xf>
    <xf numFmtId="0" fontId="96" fillId="0" borderId="7" xfId="0" applyFont="1" applyFill="1" applyBorder="1" applyAlignment="1">
      <alignment horizontal="center"/>
    </xf>
    <xf numFmtId="0" fontId="96" fillId="0" borderId="14" xfId="0" applyFont="1" applyBorder="1" applyAlignment="1">
      <alignment horizontal="center"/>
    </xf>
    <xf numFmtId="0" fontId="82" fillId="5" borderId="80" xfId="0" applyFont="1" applyFill="1" applyBorder="1"/>
    <xf numFmtId="0" fontId="97" fillId="5" borderId="151" xfId="0" applyFont="1" applyFill="1" applyBorder="1"/>
    <xf numFmtId="0" fontId="97" fillId="0" borderId="58" xfId="0" applyFont="1" applyBorder="1"/>
    <xf numFmtId="0" fontId="97" fillId="0" borderId="59" xfId="0" applyFont="1" applyBorder="1"/>
    <xf numFmtId="0" fontId="97" fillId="0" borderId="9" xfId="0" applyFont="1" applyBorder="1"/>
    <xf numFmtId="3" fontId="82" fillId="5" borderId="80" xfId="0" applyNumberFormat="1" applyFont="1" applyFill="1" applyBorder="1"/>
    <xf numFmtId="3" fontId="97" fillId="5" borderId="151" xfId="0" applyNumberFormat="1" applyFont="1" applyFill="1" applyBorder="1"/>
    <xf numFmtId="0" fontId="97" fillId="5" borderId="7" xfId="0" applyFont="1" applyFill="1" applyBorder="1"/>
    <xf numFmtId="0" fontId="96" fillId="0" borderId="15" xfId="0" applyFont="1" applyBorder="1" applyAlignment="1">
      <alignment horizontal="center"/>
    </xf>
    <xf numFmtId="0" fontId="96" fillId="0" borderId="125" xfId="0" applyFont="1" applyBorder="1" applyAlignment="1">
      <alignment horizontal="center"/>
    </xf>
    <xf numFmtId="0" fontId="96" fillId="0" borderId="83" xfId="0" applyFont="1" applyBorder="1" applyAlignment="1">
      <alignment horizontal="center"/>
    </xf>
    <xf numFmtId="0" fontId="96" fillId="0" borderId="83" xfId="0" applyFont="1" applyFill="1" applyBorder="1" applyAlignment="1">
      <alignment horizontal="center"/>
    </xf>
    <xf numFmtId="0" fontId="96" fillId="0" borderId="71" xfId="0" applyFont="1" applyBorder="1" applyAlignment="1">
      <alignment horizontal="center"/>
    </xf>
    <xf numFmtId="0" fontId="73" fillId="0" borderId="60" xfId="0" applyFont="1" applyBorder="1" applyAlignment="1">
      <alignment horizontal="center" vertical="center" wrapText="1"/>
    </xf>
    <xf numFmtId="0" fontId="73" fillId="0" borderId="60" xfId="0" applyFont="1" applyFill="1" applyBorder="1" applyAlignment="1">
      <alignment horizontal="center" vertical="center" wrapText="1"/>
    </xf>
    <xf numFmtId="0" fontId="73" fillId="10" borderId="60" xfId="0" applyFont="1" applyFill="1" applyBorder="1" applyAlignment="1">
      <alignment horizontal="center" vertical="center" wrapText="1"/>
    </xf>
    <xf numFmtId="0" fontId="59" fillId="0" borderId="70" xfId="0" applyFont="1" applyBorder="1" applyAlignment="1">
      <alignment horizontal="center" vertical="center" wrapText="1"/>
    </xf>
    <xf numFmtId="0" fontId="59" fillId="0" borderId="69" xfId="0" applyFont="1" applyBorder="1" applyAlignment="1">
      <alignment horizontal="center" vertical="center" wrapText="1"/>
    </xf>
    <xf numFmtId="0" fontId="73" fillId="0" borderId="62" xfId="0" applyFont="1" applyBorder="1" applyAlignment="1">
      <alignment horizontal="center" vertical="center" wrapText="1"/>
    </xf>
    <xf numFmtId="0" fontId="73" fillId="0" borderId="58" xfId="0" applyFont="1" applyBorder="1" applyAlignment="1">
      <alignment horizontal="center" vertical="center" wrapText="1"/>
    </xf>
    <xf numFmtId="0" fontId="73" fillId="0" borderId="43" xfId="0" applyFont="1" applyBorder="1" applyAlignment="1">
      <alignment horizontal="center" vertical="center" wrapText="1"/>
    </xf>
    <xf numFmtId="0" fontId="73" fillId="0" borderId="59" xfId="0" applyFont="1" applyBorder="1" applyAlignment="1">
      <alignment horizontal="center" vertical="center" wrapText="1"/>
    </xf>
    <xf numFmtId="0" fontId="111" fillId="0" borderId="70" xfId="0" applyFont="1" applyBorder="1" applyAlignment="1">
      <alignment horizontal="center" vertical="center" wrapText="1"/>
    </xf>
    <xf numFmtId="0" fontId="73" fillId="0" borderId="124" xfId="0" applyFont="1" applyBorder="1" applyAlignment="1">
      <alignment horizontal="center" vertical="center" wrapText="1"/>
    </xf>
    <xf numFmtId="3" fontId="73" fillId="0" borderId="43" xfId="0" applyNumberFormat="1" applyFont="1" applyBorder="1" applyAlignment="1">
      <alignment horizontal="center" vertical="center" wrapText="1"/>
    </xf>
    <xf numFmtId="0" fontId="73" fillId="0" borderId="118" xfId="0" applyFont="1" applyFill="1" applyBorder="1" applyAlignment="1">
      <alignment horizontal="center" vertical="center" wrapText="1"/>
    </xf>
    <xf numFmtId="0" fontId="73" fillId="0" borderId="124" xfId="0" applyFont="1" applyFill="1" applyBorder="1" applyAlignment="1">
      <alignment horizontal="center" vertical="center" wrapText="1"/>
    </xf>
    <xf numFmtId="0" fontId="73" fillId="0" borderId="122" xfId="0" applyFont="1" applyFill="1" applyBorder="1" applyAlignment="1">
      <alignment horizontal="center" vertical="center" wrapText="1"/>
    </xf>
    <xf numFmtId="0" fontId="121" fillId="0" borderId="89" xfId="0" applyFont="1" applyBorder="1"/>
    <xf numFmtId="1" fontId="100" fillId="6" borderId="14" xfId="0" applyNumberFormat="1" applyFont="1" applyFill="1" applyBorder="1"/>
    <xf numFmtId="0" fontId="92" fillId="0" borderId="104" xfId="0" applyFont="1" applyFill="1" applyBorder="1" applyAlignment="1">
      <alignment horizontal="center"/>
    </xf>
    <xf numFmtId="1" fontId="68" fillId="0" borderId="14" xfId="0" applyNumberFormat="1" applyFont="1" applyBorder="1" applyAlignment="1">
      <alignment vertical="top"/>
    </xf>
    <xf numFmtId="1" fontId="68" fillId="0" borderId="15" xfId="0" applyNumberFormat="1" applyFont="1" applyBorder="1" applyAlignment="1">
      <alignment vertical="top"/>
    </xf>
    <xf numFmtId="0" fontId="82" fillId="0" borderId="0" xfId="0" applyFont="1" applyBorder="1" applyAlignment="1">
      <alignment horizontal="center"/>
    </xf>
    <xf numFmtId="0" fontId="82" fillId="0" borderId="4" xfId="0" applyFont="1" applyBorder="1" applyAlignment="1">
      <alignment horizontal="center"/>
    </xf>
    <xf numFmtId="0" fontId="98" fillId="0" borderId="6" xfId="0" applyFont="1" applyBorder="1" applyAlignment="1">
      <alignment horizontal="center"/>
    </xf>
    <xf numFmtId="0" fontId="82" fillId="0" borderId="6" xfId="0" applyFont="1" applyBorder="1" applyAlignment="1">
      <alignment horizontal="center"/>
    </xf>
    <xf numFmtId="0" fontId="82" fillId="0" borderId="0" xfId="0" applyFont="1" applyFill="1" applyAlignment="1">
      <alignment horizontal="center"/>
    </xf>
    <xf numFmtId="168" fontId="102" fillId="0" borderId="46" xfId="0" applyNumberFormat="1" applyFont="1" applyBorder="1" applyAlignment="1">
      <alignment horizontal="center" vertical="center"/>
    </xf>
    <xf numFmtId="0" fontId="73" fillId="0" borderId="0" xfId="0" applyFont="1" applyAlignment="1">
      <alignment horizontal="left" vertical="center" wrapText="1"/>
    </xf>
    <xf numFmtId="0" fontId="123" fillId="0" borderId="0" xfId="0" applyFont="1"/>
    <xf numFmtId="0" fontId="123" fillId="0" borderId="0" xfId="0" applyNumberFormat="1" applyFont="1"/>
    <xf numFmtId="0" fontId="124" fillId="0" borderId="0" xfId="0" applyFont="1"/>
    <xf numFmtId="168" fontId="123" fillId="0" borderId="0" xfId="0" applyNumberFormat="1" applyFont="1"/>
    <xf numFmtId="0" fontId="95" fillId="0" borderId="2" xfId="0" applyFont="1" applyBorder="1" applyAlignment="1">
      <alignment horizontal="left"/>
    </xf>
    <xf numFmtId="0" fontId="92" fillId="0" borderId="0" xfId="0" applyFont="1" applyAlignment="1">
      <alignment horizontal="center"/>
    </xf>
    <xf numFmtId="0" fontId="92" fillId="0" borderId="0" xfId="0" applyFont="1" applyFill="1" applyBorder="1" applyAlignment="1">
      <alignment horizontal="center"/>
    </xf>
    <xf numFmtId="0" fontId="92" fillId="0" borderId="46" xfId="0" applyFont="1" applyBorder="1" applyAlignment="1">
      <alignment horizontal="center" vertical="center" wrapText="1"/>
    </xf>
    <xf numFmtId="0" fontId="92" fillId="0" borderId="104" xfId="0" applyFont="1" applyFill="1" applyBorder="1" applyAlignment="1">
      <alignment horizontal="center" vertical="center" wrapText="1"/>
    </xf>
    <xf numFmtId="0" fontId="92" fillId="0" borderId="104" xfId="0" applyFont="1" applyBorder="1" applyAlignment="1">
      <alignment horizontal="center"/>
    </xf>
    <xf numFmtId="0" fontId="92" fillId="0" borderId="97" xfId="0" applyFont="1" applyBorder="1" applyAlignment="1">
      <alignment horizontal="center"/>
    </xf>
    <xf numFmtId="0" fontId="92" fillId="0" borderId="0" xfId="0" applyFont="1" applyBorder="1" applyAlignment="1">
      <alignment horizontal="center"/>
    </xf>
    <xf numFmtId="0" fontId="60" fillId="0" borderId="0" xfId="1" applyAlignment="1" applyProtection="1">
      <alignment horizontal="left"/>
    </xf>
    <xf numFmtId="0" fontId="60" fillId="0" borderId="0" xfId="1" applyAlignment="1" applyProtection="1"/>
    <xf numFmtId="0" fontId="82" fillId="11" borderId="86" xfId="0" applyFont="1" applyFill="1" applyBorder="1"/>
    <xf numFmtId="0" fontId="97" fillId="11" borderId="60" xfId="0" applyFont="1" applyFill="1" applyBorder="1"/>
    <xf numFmtId="0" fontId="97" fillId="11" borderId="11" xfId="0" applyFont="1" applyFill="1" applyBorder="1"/>
    <xf numFmtId="168" fontId="102" fillId="11" borderId="46" xfId="0" applyNumberFormat="1" applyFont="1" applyFill="1" applyBorder="1" applyAlignment="1">
      <alignment horizontal="center" vertical="center"/>
    </xf>
    <xf numFmtId="0" fontId="82" fillId="11" borderId="0" xfId="0" applyFont="1" applyFill="1"/>
    <xf numFmtId="1" fontId="0" fillId="0" borderId="79" xfId="0" applyNumberFormat="1" applyBorder="1" applyAlignment="1">
      <alignment horizontal="center"/>
    </xf>
    <xf numFmtId="0" fontId="73" fillId="0" borderId="0" xfId="0" applyFont="1" applyAlignment="1">
      <alignment horizontal="center" wrapText="1"/>
    </xf>
    <xf numFmtId="0" fontId="73" fillId="0" borderId="55" xfId="0" applyFont="1" applyBorder="1" applyAlignment="1">
      <alignment horizontal="center" vertical="center" wrapText="1"/>
    </xf>
    <xf numFmtId="0" fontId="73" fillId="0" borderId="54" xfId="0" applyFont="1" applyBorder="1" applyAlignment="1">
      <alignment horizontal="center" vertical="center" wrapText="1"/>
    </xf>
    <xf numFmtId="0" fontId="73" fillId="0" borderId="9" xfId="0" applyFont="1" applyBorder="1" applyAlignment="1">
      <alignment horizontal="center" vertical="center" wrapText="1"/>
    </xf>
    <xf numFmtId="0" fontId="73" fillId="0" borderId="120" xfId="0" applyFont="1" applyBorder="1" applyAlignment="1">
      <alignment horizontal="center" vertical="center" wrapText="1"/>
    </xf>
    <xf numFmtId="0" fontId="73" fillId="0" borderId="120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0" fillId="8" borderId="0" xfId="0" applyFill="1"/>
    <xf numFmtId="0" fontId="82" fillId="0" borderId="0" xfId="0" applyFont="1" applyBorder="1" applyAlignment="1">
      <alignment horizontal="center"/>
    </xf>
    <xf numFmtId="0" fontId="73" fillId="0" borderId="0" xfId="0" applyFont="1" applyAlignment="1">
      <alignment horizontal="center" wrapText="1"/>
    </xf>
    <xf numFmtId="0" fontId="73" fillId="0" borderId="119" xfId="0" applyFont="1" applyBorder="1" applyAlignment="1">
      <alignment horizontal="center" vertical="center" wrapText="1"/>
    </xf>
    <xf numFmtId="0" fontId="73" fillId="0" borderId="123" xfId="0" applyFont="1" applyBorder="1" applyAlignment="1">
      <alignment horizontal="center" vertical="center" wrapText="1"/>
    </xf>
    <xf numFmtId="0" fontId="73" fillId="0" borderId="72" xfId="0" applyFont="1" applyBorder="1" applyAlignment="1">
      <alignment horizontal="center" vertical="center" wrapText="1"/>
    </xf>
    <xf numFmtId="0" fontId="73" fillId="0" borderId="119" xfId="0" applyFont="1" applyFill="1" applyBorder="1" applyAlignment="1">
      <alignment horizontal="center" vertical="center" wrapText="1"/>
    </xf>
    <xf numFmtId="0" fontId="73" fillId="0" borderId="123" xfId="0" applyFont="1" applyFill="1" applyBorder="1" applyAlignment="1">
      <alignment horizontal="center" vertical="center" wrapText="1"/>
    </xf>
    <xf numFmtId="0" fontId="73" fillId="0" borderId="72" xfId="0" applyFont="1" applyFill="1" applyBorder="1" applyAlignment="1">
      <alignment horizontal="center" vertical="center" wrapText="1"/>
    </xf>
    <xf numFmtId="0" fontId="0" fillId="4" borderId="136" xfId="0" applyFill="1" applyBorder="1" applyAlignment="1">
      <alignment horizontal="center"/>
    </xf>
    <xf numFmtId="0" fontId="81" fillId="4" borderId="137" xfId="0" applyFont="1" applyFill="1" applyBorder="1" applyAlignment="1">
      <alignment horizontal="center"/>
    </xf>
    <xf numFmtId="0" fontId="81" fillId="4" borderId="138" xfId="0" applyFont="1" applyFill="1" applyBorder="1" applyAlignment="1">
      <alignment horizontal="center"/>
    </xf>
    <xf numFmtId="0" fontId="81" fillId="4" borderId="139" xfId="0" applyFont="1" applyFill="1" applyBorder="1" applyAlignment="1">
      <alignment horizontal="center"/>
    </xf>
    <xf numFmtId="0" fontId="81" fillId="4" borderId="14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33" xfId="0" applyFill="1" applyBorder="1" applyAlignment="1">
      <alignment horizontal="center"/>
    </xf>
    <xf numFmtId="0" fontId="0" fillId="9" borderId="127" xfId="0" applyFill="1" applyBorder="1" applyAlignment="1">
      <alignment horizontal="center"/>
    </xf>
    <xf numFmtId="0" fontId="0" fillId="9" borderId="128" xfId="0" applyFill="1" applyBorder="1" applyAlignment="1">
      <alignment horizontal="center"/>
    </xf>
    <xf numFmtId="0" fontId="0" fillId="9" borderId="129" xfId="0" applyFill="1" applyBorder="1" applyAlignment="1">
      <alignment horizontal="center"/>
    </xf>
    <xf numFmtId="0" fontId="0" fillId="9" borderId="130" xfId="0" applyFill="1" applyBorder="1" applyAlignment="1">
      <alignment horizontal="center"/>
    </xf>
    <xf numFmtId="0" fontId="0" fillId="9" borderId="131" xfId="0" applyFill="1" applyBorder="1" applyAlignment="1">
      <alignment horizontal="center"/>
    </xf>
    <xf numFmtId="0" fontId="0" fillId="4" borderId="84" xfId="0" applyFill="1" applyBorder="1" applyAlignment="1">
      <alignment horizontal="center"/>
    </xf>
    <xf numFmtId="0" fontId="0" fillId="4" borderId="127" xfId="0" applyFill="1" applyBorder="1" applyAlignment="1">
      <alignment horizontal="center"/>
    </xf>
    <xf numFmtId="0" fontId="0" fillId="4" borderId="128" xfId="0" applyFill="1" applyBorder="1" applyAlignment="1">
      <alignment horizontal="center"/>
    </xf>
    <xf numFmtId="0" fontId="0" fillId="4" borderId="13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29" xfId="0" applyFill="1" applyBorder="1" applyAlignment="1">
      <alignment horizontal="center"/>
    </xf>
    <xf numFmtId="0" fontId="0" fillId="4" borderId="134" xfId="0" applyFill="1" applyBorder="1" applyAlignment="1">
      <alignment horizontal="center"/>
    </xf>
    <xf numFmtId="0" fontId="0" fillId="4" borderId="135" xfId="0" applyFill="1" applyBorder="1" applyAlignment="1">
      <alignment horizontal="center"/>
    </xf>
    <xf numFmtId="0" fontId="68" fillId="0" borderId="119" xfId="0" applyFont="1" applyBorder="1" applyAlignment="1">
      <alignment horizontal="center" vertical="top" wrapText="1"/>
    </xf>
    <xf numFmtId="0" fontId="68" fillId="0" borderId="123" xfId="0" applyFont="1" applyBorder="1" applyAlignment="1">
      <alignment horizontal="center" vertical="top" wrapText="1"/>
    </xf>
    <xf numFmtId="0" fontId="68" fillId="0" borderId="72" xfId="0" applyFont="1" applyBorder="1" applyAlignment="1">
      <alignment horizontal="center" vertical="top" wrapText="1"/>
    </xf>
    <xf numFmtId="10" fontId="61" fillId="2" borderId="85" xfId="45" applyNumberFormat="1" applyFont="1" applyFill="1" applyBorder="1" applyAlignment="1">
      <alignment horizontal="center" vertical="top" wrapText="1"/>
    </xf>
    <xf numFmtId="10" fontId="61" fillId="2" borderId="31" xfId="45" applyNumberFormat="1" applyFont="1" applyFill="1" applyBorder="1" applyAlignment="1">
      <alignment horizontal="center" vertical="top" wrapText="1"/>
    </xf>
    <xf numFmtId="0" fontId="61" fillId="0" borderId="141" xfId="45" applyFont="1" applyBorder="1" applyAlignment="1">
      <alignment horizontal="left" vertical="top" wrapText="1"/>
    </xf>
    <xf numFmtId="0" fontId="61" fillId="0" borderId="25" xfId="45" applyFont="1" applyBorder="1" applyAlignment="1">
      <alignment horizontal="left" vertical="top" wrapText="1"/>
    </xf>
    <xf numFmtId="0" fontId="61" fillId="2" borderId="67" xfId="45" applyNumberFormat="1" applyFont="1" applyFill="1" applyBorder="1" applyAlignment="1">
      <alignment horizontal="center" vertical="top" wrapText="1"/>
    </xf>
    <xf numFmtId="0" fontId="61" fillId="2" borderId="68" xfId="45" applyNumberFormat="1" applyFont="1" applyFill="1" applyBorder="1" applyAlignment="1">
      <alignment horizontal="center" vertical="top" wrapText="1"/>
    </xf>
    <xf numFmtId="10" fontId="61" fillId="2" borderId="67" xfId="45" applyNumberFormat="1" applyFont="1" applyFill="1" applyBorder="1" applyAlignment="1">
      <alignment horizontal="center" vertical="top" wrapText="1"/>
    </xf>
    <xf numFmtId="10" fontId="61" fillId="2" borderId="68" xfId="45" applyNumberFormat="1" applyFont="1" applyFill="1" applyBorder="1" applyAlignment="1">
      <alignment horizontal="center" vertical="top" wrapText="1"/>
    </xf>
    <xf numFmtId="0" fontId="63" fillId="0" borderId="0" xfId="45" applyFont="1" applyAlignment="1">
      <alignment horizontal="center"/>
    </xf>
    <xf numFmtId="0" fontId="63" fillId="0" borderId="142" xfId="45" applyFont="1" applyBorder="1" applyAlignment="1">
      <alignment horizontal="left" vertical="top" wrapText="1"/>
    </xf>
    <xf numFmtId="0" fontId="63" fillId="0" borderId="21" xfId="45" applyFont="1" applyBorder="1" applyAlignment="1">
      <alignment horizontal="left" vertical="top" wrapText="1"/>
    </xf>
    <xf numFmtId="0" fontId="63" fillId="0" borderId="28" xfId="45" applyFont="1" applyBorder="1" applyAlignment="1">
      <alignment horizontal="left" vertical="top" wrapText="1"/>
    </xf>
    <xf numFmtId="0" fontId="61" fillId="0" borderId="142" xfId="45" applyFont="1" applyBorder="1" applyAlignment="1">
      <alignment horizontal="left" vertical="top" wrapText="1"/>
    </xf>
    <xf numFmtId="0" fontId="61" fillId="0" borderId="21" xfId="45" applyFont="1" applyBorder="1" applyAlignment="1">
      <alignment horizontal="left" vertical="top" wrapText="1"/>
    </xf>
    <xf numFmtId="0" fontId="61" fillId="0" borderId="28" xfId="45" applyFont="1" applyBorder="1" applyAlignment="1">
      <alignment horizontal="left" vertical="top" wrapText="1"/>
    </xf>
    <xf numFmtId="0" fontId="63" fillId="0" borderId="0" xfId="45" applyFont="1" applyBorder="1" applyAlignment="1">
      <alignment horizontal="center"/>
    </xf>
    <xf numFmtId="0" fontId="63" fillId="0" borderId="143" xfId="45" applyFont="1" applyBorder="1" applyAlignment="1">
      <alignment horizontal="center"/>
    </xf>
    <xf numFmtId="0" fontId="65" fillId="0" borderId="0" xfId="45" applyFont="1" applyAlignment="1">
      <alignment horizontal="center"/>
    </xf>
    <xf numFmtId="0" fontId="65" fillId="0" borderId="144" xfId="45" applyFont="1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86" xfId="0" applyBorder="1" applyAlignment="1">
      <alignment horizontal="center" wrapText="1"/>
    </xf>
    <xf numFmtId="0" fontId="0" fillId="0" borderId="99" xfId="0" applyBorder="1" applyAlignment="1">
      <alignment horizontal="center" wrapText="1"/>
    </xf>
    <xf numFmtId="0" fontId="0" fillId="0" borderId="101" xfId="0" applyBorder="1" applyAlignment="1">
      <alignment horizontal="center" wrapText="1"/>
    </xf>
    <xf numFmtId="0" fontId="77" fillId="0" borderId="98" xfId="0" applyFont="1" applyBorder="1" applyAlignment="1">
      <alignment horizontal="center" vertical="center"/>
    </xf>
    <xf numFmtId="0" fontId="77" fillId="0" borderId="99" xfId="0" applyFont="1" applyBorder="1" applyAlignment="1">
      <alignment horizontal="center" vertical="center"/>
    </xf>
    <xf numFmtId="0" fontId="77" fillId="0" borderId="101" xfId="0" applyFont="1" applyBorder="1" applyAlignment="1">
      <alignment horizontal="center" vertical="center"/>
    </xf>
    <xf numFmtId="0" fontId="92" fillId="0" borderId="0" xfId="0" applyFont="1" applyAlignment="1">
      <alignment horizontal="center"/>
    </xf>
    <xf numFmtId="0" fontId="117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7" fillId="0" borderId="0" xfId="0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145" xfId="0" applyBorder="1" applyAlignment="1">
      <alignment horizontal="center"/>
    </xf>
    <xf numFmtId="0" fontId="5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90" xfId="0" applyBorder="1" applyAlignment="1">
      <alignment horizontal="center"/>
    </xf>
    <xf numFmtId="0" fontId="0" fillId="0" borderId="146" xfId="0" applyBorder="1" applyAlignment="1">
      <alignment horizontal="center"/>
    </xf>
    <xf numFmtId="3" fontId="0" fillId="0" borderId="91" xfId="0" applyNumberFormat="1" applyBorder="1" applyAlignment="1">
      <alignment horizontal="center"/>
    </xf>
    <xf numFmtId="0" fontId="0" fillId="0" borderId="14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8" xfId="0" applyBorder="1" applyAlignment="1">
      <alignment horizontal="center"/>
    </xf>
    <xf numFmtId="0" fontId="107" fillId="0" borderId="0" xfId="0" applyFont="1" applyAlignment="1">
      <alignment horizontal="center"/>
    </xf>
    <xf numFmtId="0" fontId="108" fillId="8" borderId="46" xfId="0" applyFont="1" applyFill="1" applyBorder="1" applyAlignment="1">
      <alignment horizontal="left" vertical="top"/>
    </xf>
    <xf numFmtId="0" fontId="107" fillId="0" borderId="46" xfId="0" applyFont="1" applyBorder="1" applyAlignment="1">
      <alignment horizontal="left" vertical="top"/>
    </xf>
    <xf numFmtId="0" fontId="108" fillId="0" borderId="0" xfId="0" applyFont="1" applyAlignment="1">
      <alignment horizontal="center"/>
    </xf>
    <xf numFmtId="0" fontId="108" fillId="8" borderId="46" xfId="0" applyFont="1" applyFill="1" applyBorder="1" applyAlignment="1">
      <alignment horizontal="center"/>
    </xf>
    <xf numFmtId="0" fontId="92" fillId="0" borderId="0" xfId="0" applyFont="1" applyAlignment="1">
      <alignment horizontal="left"/>
    </xf>
    <xf numFmtId="0" fontId="92" fillId="0" borderId="0" xfId="0" applyFont="1" applyAlignment="1">
      <alignment horizontal="right"/>
    </xf>
    <xf numFmtId="0" fontId="107" fillId="0" borderId="46" xfId="0" applyFont="1" applyBorder="1" applyAlignment="1">
      <alignment horizontal="left" vertical="top" wrapText="1"/>
    </xf>
    <xf numFmtId="0" fontId="108" fillId="8" borderId="98" xfId="0" applyFont="1" applyFill="1" applyBorder="1" applyAlignment="1">
      <alignment horizontal="center"/>
    </xf>
    <xf numFmtId="0" fontId="108" fillId="8" borderId="99" xfId="0" applyFont="1" applyFill="1" applyBorder="1" applyAlignment="1">
      <alignment horizontal="center"/>
    </xf>
    <xf numFmtId="0" fontId="108" fillId="8" borderId="101" xfId="0" applyFont="1" applyFill="1" applyBorder="1" applyAlignment="1">
      <alignment horizontal="center"/>
    </xf>
  </cellXfs>
  <cellStyles count="103">
    <cellStyle name="Гиперссылка" xfId="1" builtinId="8"/>
    <cellStyle name="Гиперссылка_ПРИВОЛЖСКФЕДОКРУГ_АВТОМАТ 12-2008" xfId="2"/>
    <cellStyle name="Обычный" xfId="0" builtinId="0"/>
    <cellStyle name="Обычный 10" xfId="3"/>
    <cellStyle name="Обычный 100" xfId="102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13"/>
    <cellStyle name="Обычный 20" xfId="14"/>
    <cellStyle name="Обычный 21" xfId="15"/>
    <cellStyle name="Обычный 22" xfId="16"/>
    <cellStyle name="Обычный 23" xfId="17"/>
    <cellStyle name="Обычный 24" xfId="18"/>
    <cellStyle name="Обычный 25" xfId="19"/>
    <cellStyle name="Обычный 26" xfId="20"/>
    <cellStyle name="Обычный 27" xfId="21"/>
    <cellStyle name="Обычный 28" xfId="22"/>
    <cellStyle name="Обычный 29" xfId="23"/>
    <cellStyle name="Обычный 3" xfId="24"/>
    <cellStyle name="Обычный 30" xfId="25"/>
    <cellStyle name="Обычный 31" xfId="26"/>
    <cellStyle name="Обычный 32" xfId="27"/>
    <cellStyle name="Обычный 33" xfId="28"/>
    <cellStyle name="Обычный 34" xfId="29"/>
    <cellStyle name="Обычный 35" xfId="30"/>
    <cellStyle name="Обычный 36" xfId="31"/>
    <cellStyle name="Обычный 37" xfId="32"/>
    <cellStyle name="Обычный 38" xfId="33"/>
    <cellStyle name="Обычный 39" xfId="34"/>
    <cellStyle name="Обычный 4" xfId="35"/>
    <cellStyle name="Обычный 40" xfId="36"/>
    <cellStyle name="Обычный 41" xfId="37"/>
    <cellStyle name="Обычный 42" xfId="38"/>
    <cellStyle name="Обычный 43" xfId="39"/>
    <cellStyle name="Обычный 44" xfId="46"/>
    <cellStyle name="Обычный 45" xfId="47"/>
    <cellStyle name="Обычный 46" xfId="48"/>
    <cellStyle name="Обычный 47" xfId="49"/>
    <cellStyle name="Обычный 48" xfId="50"/>
    <cellStyle name="Обычный 49" xfId="51"/>
    <cellStyle name="Обычный 5" xfId="40"/>
    <cellStyle name="Обычный 50" xfId="52"/>
    <cellStyle name="Обычный 51" xfId="53"/>
    <cellStyle name="Обычный 52" xfId="54"/>
    <cellStyle name="Обычный 53" xfId="55"/>
    <cellStyle name="Обычный 54" xfId="56"/>
    <cellStyle name="Обычный 55" xfId="57"/>
    <cellStyle name="Обычный 56" xfId="58"/>
    <cellStyle name="Обычный 57" xfId="59"/>
    <cellStyle name="Обычный 58" xfId="60"/>
    <cellStyle name="Обычный 59" xfId="61"/>
    <cellStyle name="Обычный 6" xfId="41"/>
    <cellStyle name="Обычный 60" xfId="62"/>
    <cellStyle name="Обычный 61" xfId="63"/>
    <cellStyle name="Обычный 62" xfId="64"/>
    <cellStyle name="Обычный 63" xfId="65"/>
    <cellStyle name="Обычный 64" xfId="66"/>
    <cellStyle name="Обычный 65" xfId="67"/>
    <cellStyle name="Обычный 66" xfId="68"/>
    <cellStyle name="Обычный 67" xfId="69"/>
    <cellStyle name="Обычный 68" xfId="70"/>
    <cellStyle name="Обычный 69" xfId="71"/>
    <cellStyle name="Обычный 7" xfId="42"/>
    <cellStyle name="Обычный 70" xfId="72"/>
    <cellStyle name="Обычный 71" xfId="73"/>
    <cellStyle name="Обычный 72" xfId="74"/>
    <cellStyle name="Обычный 73" xfId="75"/>
    <cellStyle name="Обычный 74" xfId="76"/>
    <cellStyle name="Обычный 75" xfId="77"/>
    <cellStyle name="Обычный 76" xfId="78"/>
    <cellStyle name="Обычный 77" xfId="79"/>
    <cellStyle name="Обычный 78" xfId="80"/>
    <cellStyle name="Обычный 79" xfId="81"/>
    <cellStyle name="Обычный 8" xfId="43"/>
    <cellStyle name="Обычный 80" xfId="82"/>
    <cellStyle name="Обычный 81" xfId="83"/>
    <cellStyle name="Обычный 82" xfId="84"/>
    <cellStyle name="Обычный 83" xfId="85"/>
    <cellStyle name="Обычный 84" xfId="86"/>
    <cellStyle name="Обычный 85" xfId="87"/>
    <cellStyle name="Обычный 86" xfId="88"/>
    <cellStyle name="Обычный 87" xfId="89"/>
    <cellStyle name="Обычный 88" xfId="90"/>
    <cellStyle name="Обычный 89" xfId="91"/>
    <cellStyle name="Обычный 9" xfId="44"/>
    <cellStyle name="Обычный 90" xfId="92"/>
    <cellStyle name="Обычный 91" xfId="93"/>
    <cellStyle name="Обычный 92" xfId="94"/>
    <cellStyle name="Обычный 93" xfId="95"/>
    <cellStyle name="Обычный 94" xfId="96"/>
    <cellStyle name="Обычный 95" xfId="97"/>
    <cellStyle name="Обычный 96" xfId="98"/>
    <cellStyle name="Обычный 97" xfId="99"/>
    <cellStyle name="Обычный 98" xfId="100"/>
    <cellStyle name="Обычный 99" xfId="101"/>
    <cellStyle name="Обычный_в блокнот 0310 12 мес" xfId="45"/>
  </cellStyles>
  <dxfs count="12">
    <dxf>
      <fill>
        <patternFill>
          <bgColor indexed="45"/>
        </patternFill>
      </fill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  <dxf>
      <fill>
        <patternFill>
          <bgColor indexed="45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1802180235030001E-4"/>
          <c:y val="5.8103366273846713E-2"/>
          <c:w val="0.92500000000000004"/>
          <c:h val="0.8842592592592593"/>
        </c:manualLayout>
      </c:layout>
      <c:pie3DChart>
        <c:varyColors val="1"/>
        <c:ser>
          <c:idx val="0"/>
          <c:order val="0"/>
          <c:dPt>
            <c:idx val="0"/>
            <c:bubble3D val="0"/>
            <c:explosion val="33"/>
          </c:dPt>
          <c:dLbls>
            <c:dLbl>
              <c:idx val="1"/>
              <c:layout>
                <c:manualLayout>
                  <c:x val="2.296440536725566E-2"/>
                  <c:y val="0.14512894361359188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314552473597389E-2"/>
                  <c:y val="-3.337287956455108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2448937943244567E-2"/>
                  <c:y val="-0.1115312054114042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rgbClr val="000000"/>
                </a:solidFill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Население!$L$10:$L$14</c:f>
              <c:strCache>
                <c:ptCount val="5"/>
                <c:pt idx="0">
                  <c:v>НОсО</c:v>
                </c:pt>
                <c:pt idx="1">
                  <c:v>Нарушение правил устройства и эксплуатации  электрооборудования</c:v>
                </c:pt>
                <c:pt idx="2">
                  <c:v>Неисправность и несоблюдение ППБ при эксплуатации отопительных печей</c:v>
                </c:pt>
                <c:pt idx="3">
                  <c:v>Поджог</c:v>
                </c:pt>
                <c:pt idx="4">
                  <c:v>Другие</c:v>
                </c:pt>
              </c:strCache>
            </c:strRef>
          </c:cat>
          <c:val>
            <c:numRef>
              <c:f>Население!$M$10:$M$14</c:f>
              <c:numCache>
                <c:formatCode>General</c:formatCode>
                <c:ptCount val="5"/>
                <c:pt idx="0">
                  <c:v>48</c:v>
                </c:pt>
                <c:pt idx="1">
                  <c:v>12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ГРАФИКИ!$Q$146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ГРАФИКИ!$O$149</c:f>
              <c:strCache>
                <c:ptCount val="1"/>
                <c:pt idx="0">
                  <c:v>Количество травмированных</c:v>
                </c:pt>
              </c:strCache>
            </c:strRef>
          </c:cat>
          <c:val>
            <c:numRef>
              <c:f>ГРАФИКИ!$Q$149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</c:ser>
        <c:ser>
          <c:idx val="1"/>
          <c:order val="1"/>
          <c:tx>
            <c:strRef>
              <c:f>ГРАФИКИ!$P$146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1C40F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ГРАФИКИ!$O$149</c:f>
              <c:strCache>
                <c:ptCount val="1"/>
                <c:pt idx="0">
                  <c:v>Количество травмированных</c:v>
                </c:pt>
              </c:strCache>
            </c:strRef>
          </c:cat>
          <c:val>
            <c:numRef>
              <c:f>ГРАФИКИ!$P$149</c:f>
              <c:numCache>
                <c:formatCode>General</c:formatCode>
                <c:ptCount val="1"/>
                <c:pt idx="0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"/>
        <c:axId val="106726912"/>
        <c:axId val="92783744"/>
      </c:barChart>
      <c:catAx>
        <c:axId val="10672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crossAx val="92783744"/>
        <c:crosses val="autoZero"/>
        <c:auto val="1"/>
        <c:lblAlgn val="ctr"/>
        <c:lblOffset val="100"/>
        <c:noMultiLvlLbl val="0"/>
      </c:catAx>
      <c:valAx>
        <c:axId val="92783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67269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8814708188765268E-2"/>
          <c:y val="4.5481226003774328E-2"/>
          <c:w val="0.23927024810848391"/>
          <c:h val="6.0688705234159875E-2"/>
        </c:manualLayout>
      </c:layout>
      <c:overlay val="0"/>
      <c:spPr>
        <a:ln w="6350">
          <a:solidFill>
            <a:sysClr val="windowText" lastClr="000000"/>
          </a:solidFill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ГРАФИКИ!$Q$146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ГРАФИКИ!$O$150</c:f>
              <c:strCache>
                <c:ptCount val="1"/>
                <c:pt idx="0">
                  <c:v>Количество спасенных</c:v>
                </c:pt>
              </c:strCache>
            </c:strRef>
          </c:cat>
          <c:val>
            <c:numRef>
              <c:f>ГРАФИКИ!$Q$150</c:f>
              <c:numCache>
                <c:formatCode>General</c:formatCode>
                <c:ptCount val="1"/>
                <c:pt idx="0">
                  <c:v>200</c:v>
                </c:pt>
              </c:numCache>
            </c:numRef>
          </c:val>
        </c:ser>
        <c:ser>
          <c:idx val="1"/>
          <c:order val="1"/>
          <c:tx>
            <c:strRef>
              <c:f>ГРАФИКИ!$P$146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1C40F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ГРАФИКИ!$O$150</c:f>
              <c:strCache>
                <c:ptCount val="1"/>
                <c:pt idx="0">
                  <c:v>Количество спасенных</c:v>
                </c:pt>
              </c:strCache>
            </c:strRef>
          </c:cat>
          <c:val>
            <c:numRef>
              <c:f>ГРАФИКИ!$P$150</c:f>
              <c:numCache>
                <c:formatCode>General</c:formatCode>
                <c:ptCount val="1"/>
                <c:pt idx="0">
                  <c:v>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"/>
        <c:axId val="106727424"/>
        <c:axId val="92786048"/>
      </c:barChart>
      <c:catAx>
        <c:axId val="106727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crossAx val="92786048"/>
        <c:crosses val="autoZero"/>
        <c:auto val="1"/>
        <c:lblAlgn val="ctr"/>
        <c:lblOffset val="100"/>
        <c:noMultiLvlLbl val="0"/>
      </c:catAx>
      <c:valAx>
        <c:axId val="92786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672742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8814708188765268E-2"/>
          <c:y val="4.5481009088739942E-2"/>
          <c:w val="0.23927024810848391"/>
          <c:h val="6.0688705234159777E-2"/>
        </c:manualLayout>
      </c:layout>
      <c:overlay val="0"/>
      <c:spPr>
        <a:ln w="6350">
          <a:solidFill>
            <a:sysClr val="windowText" lastClr="000000"/>
          </a:solidFill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rPr lang="ru-RU"/>
              <a:t>Динамика обстановки с пожарами 
по Чувашской Республике</a:t>
            </a:r>
          </a:p>
        </c:rich>
      </c:tx>
      <c:layout>
        <c:manualLayout>
          <c:xMode val="edge"/>
          <c:yMode val="edge"/>
          <c:x val="0.25647681993118737"/>
          <c:y val="2.1163810406052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725401709617938E-2"/>
          <c:y val="0.2328048342552142"/>
          <c:w val="0.96114050428360065"/>
          <c:h val="0.58994861407861265"/>
        </c:manualLayout>
      </c:layout>
      <c:barChart>
        <c:barDir val="col"/>
        <c:grouping val="clustered"/>
        <c:varyColors val="0"/>
        <c:ser>
          <c:idx val="1"/>
          <c:order val="0"/>
          <c:spPr>
            <a:gradFill rotWithShape="0"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ГРАФИКИ!$A$410:$M$410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ГРАФИКИ!$A$411:$M$411</c:f>
              <c:numCache>
                <c:formatCode>General</c:formatCode>
                <c:ptCount val="13"/>
                <c:pt idx="0">
                  <c:v>1978</c:v>
                </c:pt>
                <c:pt idx="1">
                  <c:v>2057</c:v>
                </c:pt>
                <c:pt idx="2">
                  <c:v>1809</c:v>
                </c:pt>
                <c:pt idx="3">
                  <c:v>1682</c:v>
                </c:pt>
                <c:pt idx="4">
                  <c:v>1645</c:v>
                </c:pt>
                <c:pt idx="5">
                  <c:v>1517</c:v>
                </c:pt>
                <c:pt idx="6">
                  <c:v>1479</c:v>
                </c:pt>
                <c:pt idx="7">
                  <c:v>1384</c:v>
                </c:pt>
                <c:pt idx="8">
                  <c:v>1380</c:v>
                </c:pt>
                <c:pt idx="9">
                  <c:v>1301</c:v>
                </c:pt>
                <c:pt idx="10">
                  <c:v>1128</c:v>
                </c:pt>
                <c:pt idx="11">
                  <c:v>1100</c:v>
                </c:pt>
                <c:pt idx="12">
                  <c:v>1053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727936"/>
        <c:axId val="9278835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519819227852242E-2"/>
                  <c:y val="-6.9177332868205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1519868376862152E-2"/>
                  <c:y val="-7.2058923949294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1519781532508548E-2"/>
                  <c:y val="-6.90409746951375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519830681518486E-2"/>
                  <c:y val="-7.3102140551596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2815217437387412E-2"/>
                  <c:y val="-6.6581546230424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1519792986175812E-2"/>
                  <c:y val="-6.46440038099245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5043154100929096E-2"/>
                  <c:y val="-6.57985133632068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CC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ГРАФИКИ!$A$410:$M$410</c:f>
              <c:numCache>
                <c:formatCode>General</c:formatCod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numCache>
            </c:numRef>
          </c:cat>
          <c:val>
            <c:numRef>
              <c:f>ГРАФИКИ!$A$412:$M$412</c:f>
              <c:numCache>
                <c:formatCode>General</c:formatCode>
                <c:ptCount val="13"/>
                <c:pt idx="0">
                  <c:v>128</c:v>
                </c:pt>
                <c:pt idx="1">
                  <c:v>127</c:v>
                </c:pt>
                <c:pt idx="2">
                  <c:v>151</c:v>
                </c:pt>
                <c:pt idx="3">
                  <c:v>145</c:v>
                </c:pt>
                <c:pt idx="4">
                  <c:v>139</c:v>
                </c:pt>
                <c:pt idx="5">
                  <c:v>136</c:v>
                </c:pt>
                <c:pt idx="6">
                  <c:v>121</c:v>
                </c:pt>
                <c:pt idx="7">
                  <c:v>120</c:v>
                </c:pt>
                <c:pt idx="8">
                  <c:v>111</c:v>
                </c:pt>
                <c:pt idx="9">
                  <c:v>110</c:v>
                </c:pt>
                <c:pt idx="10">
                  <c:v>106</c:v>
                </c:pt>
                <c:pt idx="11">
                  <c:v>98</c:v>
                </c:pt>
                <c:pt idx="12">
                  <c:v>95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726400"/>
        <c:axId val="92788928"/>
      </c:lineChart>
      <c:catAx>
        <c:axId val="106727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92788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27883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6727936"/>
        <c:crosses val="autoZero"/>
        <c:crossBetween val="between"/>
      </c:valAx>
      <c:catAx>
        <c:axId val="106726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2788928"/>
        <c:crosses val="autoZero"/>
        <c:auto val="0"/>
        <c:lblAlgn val="ctr"/>
        <c:lblOffset val="100"/>
        <c:noMultiLvlLbl val="0"/>
      </c:catAx>
      <c:valAx>
        <c:axId val="927889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067264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9300531734051377"/>
          <c:y val="0.93386506098502398"/>
          <c:w val="0.61917139243613251"/>
          <c:h val="5.820132777519966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RU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05641617312039E-2"/>
          <c:y val="6.1475409836065573E-2"/>
          <c:w val="0.90040987674390005"/>
          <c:h val="0.77663934426229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ГРАФИКИ!$A$439</c:f>
              <c:strCache>
                <c:ptCount val="1"/>
                <c:pt idx="0">
                  <c:v>кол-во пожаров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ГРАФИКИ!$B$438:$F$438</c:f>
              <c:strCache>
                <c:ptCount val="5"/>
                <c:pt idx="0">
                  <c:v>01.01-31.01.2005</c:v>
                </c:pt>
                <c:pt idx="1">
                  <c:v>01.01-31.01.2006</c:v>
                </c:pt>
                <c:pt idx="2">
                  <c:v>01.01-31.01.2007</c:v>
                </c:pt>
                <c:pt idx="3">
                  <c:v>01.01-31.01.2008</c:v>
                </c:pt>
                <c:pt idx="4">
                  <c:v>01.01-31.01.2009</c:v>
                </c:pt>
              </c:strCache>
            </c:strRef>
          </c:cat>
          <c:val>
            <c:numRef>
              <c:f>ГРАФИКИ!$B$439:$F$439</c:f>
              <c:numCache>
                <c:formatCode>General</c:formatCode>
                <c:ptCount val="5"/>
                <c:pt idx="0">
                  <c:v>141</c:v>
                </c:pt>
                <c:pt idx="1">
                  <c:v>149</c:v>
                </c:pt>
                <c:pt idx="2">
                  <c:v>90</c:v>
                </c:pt>
                <c:pt idx="3">
                  <c:v>130</c:v>
                </c:pt>
                <c:pt idx="4">
                  <c:v>116</c:v>
                </c:pt>
              </c:numCache>
            </c:numRef>
          </c:val>
        </c:ser>
        <c:ser>
          <c:idx val="1"/>
          <c:order val="1"/>
          <c:tx>
            <c:strRef>
              <c:f>ГРАФИКИ!$A$440</c:f>
              <c:strCache>
                <c:ptCount val="1"/>
                <c:pt idx="0">
                  <c:v>гибель люжей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ГРАФИКИ!$B$438:$F$438</c:f>
              <c:strCache>
                <c:ptCount val="5"/>
                <c:pt idx="0">
                  <c:v>01.01-31.01.2005</c:v>
                </c:pt>
                <c:pt idx="1">
                  <c:v>01.01-31.01.2006</c:v>
                </c:pt>
                <c:pt idx="2">
                  <c:v>01.01-31.01.2007</c:v>
                </c:pt>
                <c:pt idx="3">
                  <c:v>01.01-31.01.2008</c:v>
                </c:pt>
                <c:pt idx="4">
                  <c:v>01.01-31.01.2009</c:v>
                </c:pt>
              </c:strCache>
            </c:strRef>
          </c:cat>
          <c:val>
            <c:numRef>
              <c:f>ГРАФИКИ!$B$440:$F$440</c:f>
              <c:numCache>
                <c:formatCode>General</c:formatCode>
                <c:ptCount val="5"/>
                <c:pt idx="0">
                  <c:v>18</c:v>
                </c:pt>
                <c:pt idx="1">
                  <c:v>18</c:v>
                </c:pt>
                <c:pt idx="2">
                  <c:v>9</c:v>
                </c:pt>
                <c:pt idx="3">
                  <c:v>17</c:v>
                </c:pt>
                <c:pt idx="4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6728960"/>
        <c:axId val="107405312"/>
      </c:barChart>
      <c:catAx>
        <c:axId val="10672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740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40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672896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12784877310076E-3"/>
          <c:y val="0.89754100039343165"/>
          <c:w val="0.90723118626565058"/>
          <c:h val="8.401644866260124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ГРАФИКИ!$P$18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ГРАФИКИ!$O$19:$O$24</c:f>
              <c:strCache>
                <c:ptCount val="6"/>
                <c:pt idx="0">
                  <c:v>Поджоги</c:v>
                </c:pt>
                <c:pt idx="1">
                  <c:v>Неосторожное обращение с огнем</c:v>
                </c:pt>
                <c:pt idx="2">
                  <c:v>НПУиЭ печей </c:v>
                </c:pt>
                <c:pt idx="3">
                  <c:v>НПУиЭ электрооборудования</c:v>
                </c:pt>
                <c:pt idx="4">
                  <c:v>Неисправности трансп.средств</c:v>
                </c:pt>
                <c:pt idx="5">
                  <c:v>Другие причины</c:v>
                </c:pt>
              </c:strCache>
            </c:strRef>
          </c:cat>
          <c:val>
            <c:numRef>
              <c:f>ГРАФИКИ!$P$19:$P$24</c:f>
              <c:numCache>
                <c:formatCode>General</c:formatCode>
                <c:ptCount val="6"/>
                <c:pt idx="0">
                  <c:v>86</c:v>
                </c:pt>
                <c:pt idx="1">
                  <c:v>185</c:v>
                </c:pt>
                <c:pt idx="2">
                  <c:v>141</c:v>
                </c:pt>
                <c:pt idx="3">
                  <c:v>249</c:v>
                </c:pt>
                <c:pt idx="4">
                  <c:v>60</c:v>
                </c:pt>
                <c:pt idx="5">
                  <c:v>27</c:v>
                </c:pt>
              </c:numCache>
            </c:numRef>
          </c:val>
        </c:ser>
        <c:ser>
          <c:idx val="1"/>
          <c:order val="1"/>
          <c:tx>
            <c:strRef>
              <c:f>ГРАФИКИ!$Q$18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ГРАФИКИ!$O$19:$O$24</c:f>
              <c:strCache>
                <c:ptCount val="6"/>
                <c:pt idx="0">
                  <c:v>Поджоги</c:v>
                </c:pt>
                <c:pt idx="1">
                  <c:v>Неосторожное обращение с огнем</c:v>
                </c:pt>
                <c:pt idx="2">
                  <c:v>НПУиЭ печей </c:v>
                </c:pt>
                <c:pt idx="3">
                  <c:v>НПУиЭ электрооборудования</c:v>
                </c:pt>
                <c:pt idx="4">
                  <c:v>Неисправности трансп.средств</c:v>
                </c:pt>
                <c:pt idx="5">
                  <c:v>Другие причины</c:v>
                </c:pt>
              </c:strCache>
            </c:strRef>
          </c:cat>
          <c:val>
            <c:numRef>
              <c:f>ГРАФИКИ!$Q$19:$Q$24</c:f>
              <c:numCache>
                <c:formatCode>General</c:formatCode>
                <c:ptCount val="6"/>
                <c:pt idx="0">
                  <c:v>68</c:v>
                </c:pt>
                <c:pt idx="1">
                  <c:v>202</c:v>
                </c:pt>
                <c:pt idx="2">
                  <c:v>151</c:v>
                </c:pt>
                <c:pt idx="3">
                  <c:v>269</c:v>
                </c:pt>
                <c:pt idx="4">
                  <c:v>47</c:v>
                </c:pt>
                <c:pt idx="5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91040"/>
        <c:axId val="107407616"/>
      </c:barChart>
      <c:catAx>
        <c:axId val="1079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700"/>
            </a:pPr>
            <a:endParaRPr lang="ru-RU"/>
          </a:p>
        </c:txPr>
        <c:crossAx val="107407616"/>
        <c:crosses val="autoZero"/>
        <c:auto val="1"/>
        <c:lblAlgn val="ctr"/>
        <c:lblOffset val="100"/>
        <c:noMultiLvlLbl val="0"/>
      </c:catAx>
      <c:valAx>
        <c:axId val="107407616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one"/>
        <c:crossAx val="107991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707596144701587"/>
          <c:y val="0.91577235046951388"/>
          <c:w val="0.28584807710598648"/>
          <c:h val="6.3243232525515891E-2"/>
        </c:manualLayout>
      </c:layout>
      <c:overlay val="0"/>
      <c:spPr>
        <a:ln>
          <a:noFill/>
        </a:ln>
      </c:spPr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ГРАФИКИ!$P$34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ГРАФИКИ!$O$35:$O$41</c:f>
              <c:strCache>
                <c:ptCount val="7"/>
                <c:pt idx="0">
                  <c:v>Жилой сектор</c:v>
                </c:pt>
                <c:pt idx="1">
                  <c:v>Транспортные средства</c:v>
                </c:pt>
                <c:pt idx="2">
                  <c:v>Носильные вещи (вещи на человеке)</c:v>
                </c:pt>
                <c:pt idx="3">
                  <c:v>Объекты торговли</c:v>
                </c:pt>
                <c:pt idx="4">
                  <c:v>Производственные здания</c:v>
                </c:pt>
                <c:pt idx="5">
                  <c:v>Места открытого хранения и с/х объекты</c:v>
                </c:pt>
                <c:pt idx="6">
                  <c:v>Прочие объекты</c:v>
                </c:pt>
              </c:strCache>
            </c:strRef>
          </c:cat>
          <c:val>
            <c:numRef>
              <c:f>ГРАФИКИ!$P$35:$P$41</c:f>
              <c:numCache>
                <c:formatCode>General</c:formatCode>
                <c:ptCount val="7"/>
                <c:pt idx="0">
                  <c:v>570</c:v>
                </c:pt>
                <c:pt idx="1">
                  <c:v>91</c:v>
                </c:pt>
                <c:pt idx="2">
                  <c:v>14</c:v>
                </c:pt>
                <c:pt idx="3">
                  <c:v>16</c:v>
                </c:pt>
                <c:pt idx="4">
                  <c:v>10</c:v>
                </c:pt>
                <c:pt idx="5">
                  <c:v>14</c:v>
                </c:pt>
                <c:pt idx="6">
                  <c:v>33</c:v>
                </c:pt>
              </c:numCache>
            </c:numRef>
          </c:val>
        </c:ser>
        <c:ser>
          <c:idx val="1"/>
          <c:order val="1"/>
          <c:tx>
            <c:strRef>
              <c:f>ГРАФИКИ!$Q$34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ГРАФИКИ!$O$35:$O$41</c:f>
              <c:strCache>
                <c:ptCount val="7"/>
                <c:pt idx="0">
                  <c:v>Жилой сектор</c:v>
                </c:pt>
                <c:pt idx="1">
                  <c:v>Транспортные средства</c:v>
                </c:pt>
                <c:pt idx="2">
                  <c:v>Носильные вещи (вещи на человеке)</c:v>
                </c:pt>
                <c:pt idx="3">
                  <c:v>Объекты торговли</c:v>
                </c:pt>
                <c:pt idx="4">
                  <c:v>Производственные здания</c:v>
                </c:pt>
                <c:pt idx="5">
                  <c:v>Места открытого хранения и с/х объекты</c:v>
                </c:pt>
                <c:pt idx="6">
                  <c:v>Прочие объекты</c:v>
                </c:pt>
              </c:strCache>
            </c:strRef>
          </c:cat>
          <c:val>
            <c:numRef>
              <c:f>ГРАФИКИ!$Q$35:$Q$41</c:f>
              <c:numCache>
                <c:formatCode>General</c:formatCode>
                <c:ptCount val="7"/>
                <c:pt idx="0">
                  <c:v>622</c:v>
                </c:pt>
                <c:pt idx="1">
                  <c:v>62</c:v>
                </c:pt>
                <c:pt idx="2">
                  <c:v>14</c:v>
                </c:pt>
                <c:pt idx="3">
                  <c:v>12</c:v>
                </c:pt>
                <c:pt idx="4">
                  <c:v>14</c:v>
                </c:pt>
                <c:pt idx="5">
                  <c:v>11</c:v>
                </c:pt>
                <c:pt idx="6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91552"/>
        <c:axId val="107409920"/>
      </c:barChart>
      <c:catAx>
        <c:axId val="10799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ru-RU"/>
          </a:p>
        </c:txPr>
        <c:crossAx val="107409920"/>
        <c:crosses val="autoZero"/>
        <c:auto val="1"/>
        <c:lblAlgn val="ctr"/>
        <c:lblOffset val="100"/>
        <c:noMultiLvlLbl val="0"/>
      </c:catAx>
      <c:valAx>
        <c:axId val="10740992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one"/>
        <c:crossAx val="107991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095754137476852"/>
          <c:y val="0.89865943041298824"/>
          <c:w val="0.26850544876737775"/>
          <c:h val="7.8398602527108924E-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ГРАФИКИ!$P$159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44270208639091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9236027818550174E-3"/>
                  <c:y val="2.637747447781864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4427020863909124E-3"/>
                  <c:y val="-5.27549489556371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96180139092720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618013909272402E-3"/>
                  <c:y val="2.8775759119253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4427020863909124E-3"/>
                  <c:y val="8.6327277357760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5.92360278185501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2.9618013909272402E-3"/>
                  <c:y val="5.755151823850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-4.4427020863909124E-3"/>
                  <c:y val="1.1510303647701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-5.9236027818549315E-3"/>
                  <c:y val="-4.531615609331538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-4.4427020863909913E-3"/>
                  <c:y val="8.6327277357760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-2.96180139092748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4.4427020863909124E-3"/>
                  <c:y val="5.755151823850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-2.9618013909274801E-3"/>
                  <c:y val="2.8775759119253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-5.9236027818550261E-3"/>
                  <c:y val="8.6327277357760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ГРАФИКИ!$O$160:$O$184</c:f>
              <c:strCache>
                <c:ptCount val="25"/>
                <c:pt idx="0">
                  <c:v>Ленинский</c:v>
                </c:pt>
                <c:pt idx="1">
                  <c:v>Московский</c:v>
                </c:pt>
                <c:pt idx="2">
                  <c:v>Калининский</c:v>
                </c:pt>
                <c:pt idx="3">
                  <c:v>Алатырский</c:v>
                </c:pt>
                <c:pt idx="4">
                  <c:v>Аликовский</c:v>
                </c:pt>
                <c:pt idx="5">
                  <c:v>Батыревский</c:v>
                </c:pt>
                <c:pt idx="6">
                  <c:v>Вурнарский</c:v>
                </c:pt>
                <c:pt idx="7">
                  <c:v>Ибресинский</c:v>
                </c:pt>
                <c:pt idx="8">
                  <c:v>Канашский</c:v>
                </c:pt>
                <c:pt idx="9">
                  <c:v>Козловский</c:v>
                </c:pt>
                <c:pt idx="10">
                  <c:v>Комсомольский</c:v>
                </c:pt>
                <c:pt idx="11">
                  <c:v>Красноармейский</c:v>
                </c:pt>
                <c:pt idx="12">
                  <c:v>Красночетайский</c:v>
                </c:pt>
                <c:pt idx="13">
                  <c:v>Марпосадский</c:v>
                </c:pt>
                <c:pt idx="14">
                  <c:v>Моргаушский</c:v>
                </c:pt>
                <c:pt idx="15">
                  <c:v>г.Новочебоксарск</c:v>
                </c:pt>
                <c:pt idx="16">
                  <c:v>Порецкий</c:v>
                </c:pt>
                <c:pt idx="17">
                  <c:v>Урмарский</c:v>
                </c:pt>
                <c:pt idx="18">
                  <c:v>Цивильский</c:v>
                </c:pt>
                <c:pt idx="19">
                  <c:v>Чебоксарский</c:v>
                </c:pt>
                <c:pt idx="20">
                  <c:v>Шемуршинский</c:v>
                </c:pt>
                <c:pt idx="21">
                  <c:v>Шумерлинский</c:v>
                </c:pt>
                <c:pt idx="22">
                  <c:v>Ядринский</c:v>
                </c:pt>
                <c:pt idx="23">
                  <c:v>Яльчикский</c:v>
                </c:pt>
                <c:pt idx="24">
                  <c:v>Янтиковский</c:v>
                </c:pt>
              </c:strCache>
            </c:strRef>
          </c:cat>
          <c:val>
            <c:numRef>
              <c:f>ГРАФИКИ!$P$160:$P$184</c:f>
              <c:numCache>
                <c:formatCode>General</c:formatCode>
                <c:ptCount val="25"/>
                <c:pt idx="0">
                  <c:v>46</c:v>
                </c:pt>
                <c:pt idx="1">
                  <c:v>56</c:v>
                </c:pt>
                <c:pt idx="2">
                  <c:v>51</c:v>
                </c:pt>
                <c:pt idx="3">
                  <c:v>54</c:v>
                </c:pt>
                <c:pt idx="4">
                  <c:v>17</c:v>
                </c:pt>
                <c:pt idx="5">
                  <c:v>34</c:v>
                </c:pt>
                <c:pt idx="6">
                  <c:v>37</c:v>
                </c:pt>
                <c:pt idx="7">
                  <c:v>25</c:v>
                </c:pt>
                <c:pt idx="8">
                  <c:v>48</c:v>
                </c:pt>
                <c:pt idx="9">
                  <c:v>23</c:v>
                </c:pt>
                <c:pt idx="10">
                  <c:v>23</c:v>
                </c:pt>
                <c:pt idx="11">
                  <c:v>12</c:v>
                </c:pt>
                <c:pt idx="12">
                  <c:v>15</c:v>
                </c:pt>
                <c:pt idx="13">
                  <c:v>17</c:v>
                </c:pt>
                <c:pt idx="14">
                  <c:v>33</c:v>
                </c:pt>
                <c:pt idx="15">
                  <c:v>28</c:v>
                </c:pt>
                <c:pt idx="16">
                  <c:v>13</c:v>
                </c:pt>
                <c:pt idx="17">
                  <c:v>20</c:v>
                </c:pt>
                <c:pt idx="18">
                  <c:v>39</c:v>
                </c:pt>
                <c:pt idx="19">
                  <c:v>57</c:v>
                </c:pt>
                <c:pt idx="20">
                  <c:v>9</c:v>
                </c:pt>
                <c:pt idx="21">
                  <c:v>40</c:v>
                </c:pt>
                <c:pt idx="22">
                  <c:v>29</c:v>
                </c:pt>
                <c:pt idx="23">
                  <c:v>14</c:v>
                </c:pt>
                <c:pt idx="24">
                  <c:v>8</c:v>
                </c:pt>
              </c:numCache>
            </c:numRef>
          </c:val>
        </c:ser>
        <c:ser>
          <c:idx val="1"/>
          <c:order val="1"/>
          <c:tx>
            <c:strRef>
              <c:f>ГРАФИКИ!$Q$159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9618013909272402E-3"/>
                  <c:y val="5.755151823850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9236027818550174E-3"/>
                  <c:y val="2.8775759119253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8.36820083682017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5.9236027818550174E-3"/>
                  <c:y val="8.6327277357760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4.4427020863909124E-3"/>
                  <c:y val="5.755151823850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2.96180139092724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4427020863909124E-3"/>
                  <c:y val="5.755151823850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2.9618013909272402E-3"/>
                  <c:y val="8.6327277357760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4.4427020863909124E-3"/>
                  <c:y val="8.6327277357760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9618013909272402E-3"/>
                  <c:y val="5.27549489556371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4.4427020863909124E-3"/>
                  <c:y val="8.63272773577600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4.44270208639091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5.9236027818550174E-3"/>
                  <c:y val="2.87734933114486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4.44270208639091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5.9236027818550174E-3"/>
                  <c:y val="5.755151823850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4.4427020863909913E-3"/>
                  <c:y val="5.7551518238506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ГРАФИКИ!$O$160:$O$184</c:f>
              <c:strCache>
                <c:ptCount val="25"/>
                <c:pt idx="0">
                  <c:v>Ленинский</c:v>
                </c:pt>
                <c:pt idx="1">
                  <c:v>Московский</c:v>
                </c:pt>
                <c:pt idx="2">
                  <c:v>Калининский</c:v>
                </c:pt>
                <c:pt idx="3">
                  <c:v>Алатырский</c:v>
                </c:pt>
                <c:pt idx="4">
                  <c:v>Аликовский</c:v>
                </c:pt>
                <c:pt idx="5">
                  <c:v>Батыревский</c:v>
                </c:pt>
                <c:pt idx="6">
                  <c:v>Вурнарский</c:v>
                </c:pt>
                <c:pt idx="7">
                  <c:v>Ибресинский</c:v>
                </c:pt>
                <c:pt idx="8">
                  <c:v>Канашский</c:v>
                </c:pt>
                <c:pt idx="9">
                  <c:v>Козловский</c:v>
                </c:pt>
                <c:pt idx="10">
                  <c:v>Комсомольский</c:v>
                </c:pt>
                <c:pt idx="11">
                  <c:v>Красноармейский</c:v>
                </c:pt>
                <c:pt idx="12">
                  <c:v>Красночетайский</c:v>
                </c:pt>
                <c:pt idx="13">
                  <c:v>Марпосадский</c:v>
                </c:pt>
                <c:pt idx="14">
                  <c:v>Моргаушский</c:v>
                </c:pt>
                <c:pt idx="15">
                  <c:v>г.Новочебоксарск</c:v>
                </c:pt>
                <c:pt idx="16">
                  <c:v>Порецкий</c:v>
                </c:pt>
                <c:pt idx="17">
                  <c:v>Урмарский</c:v>
                </c:pt>
                <c:pt idx="18">
                  <c:v>Цивильский</c:v>
                </c:pt>
                <c:pt idx="19">
                  <c:v>Чебоксарский</c:v>
                </c:pt>
                <c:pt idx="20">
                  <c:v>Шемуршинский</c:v>
                </c:pt>
                <c:pt idx="21">
                  <c:v>Шумерлинский</c:v>
                </c:pt>
                <c:pt idx="22">
                  <c:v>Ядринский</c:v>
                </c:pt>
                <c:pt idx="23">
                  <c:v>Яльчикский</c:v>
                </c:pt>
                <c:pt idx="24">
                  <c:v>Янтиковский</c:v>
                </c:pt>
              </c:strCache>
            </c:strRef>
          </c:cat>
          <c:val>
            <c:numRef>
              <c:f>ГРАФИКИ!$Q$160:$Q$184</c:f>
              <c:numCache>
                <c:formatCode>General</c:formatCode>
                <c:ptCount val="25"/>
                <c:pt idx="0">
                  <c:v>42</c:v>
                </c:pt>
                <c:pt idx="1">
                  <c:v>58</c:v>
                </c:pt>
                <c:pt idx="2">
                  <c:v>62</c:v>
                </c:pt>
                <c:pt idx="3">
                  <c:v>52</c:v>
                </c:pt>
                <c:pt idx="4">
                  <c:v>16</c:v>
                </c:pt>
                <c:pt idx="5">
                  <c:v>32</c:v>
                </c:pt>
                <c:pt idx="6">
                  <c:v>30</c:v>
                </c:pt>
                <c:pt idx="7">
                  <c:v>21</c:v>
                </c:pt>
                <c:pt idx="8">
                  <c:v>74</c:v>
                </c:pt>
                <c:pt idx="9">
                  <c:v>15</c:v>
                </c:pt>
                <c:pt idx="10">
                  <c:v>23</c:v>
                </c:pt>
                <c:pt idx="11">
                  <c:v>9</c:v>
                </c:pt>
                <c:pt idx="12">
                  <c:v>22</c:v>
                </c:pt>
                <c:pt idx="13">
                  <c:v>18</c:v>
                </c:pt>
                <c:pt idx="14">
                  <c:v>34</c:v>
                </c:pt>
                <c:pt idx="15">
                  <c:v>50</c:v>
                </c:pt>
                <c:pt idx="16">
                  <c:v>14</c:v>
                </c:pt>
                <c:pt idx="17">
                  <c:v>24</c:v>
                </c:pt>
                <c:pt idx="18">
                  <c:v>27</c:v>
                </c:pt>
                <c:pt idx="19">
                  <c:v>55</c:v>
                </c:pt>
                <c:pt idx="20">
                  <c:v>16</c:v>
                </c:pt>
                <c:pt idx="21">
                  <c:v>33</c:v>
                </c:pt>
                <c:pt idx="22">
                  <c:v>25</c:v>
                </c:pt>
                <c:pt idx="23">
                  <c:v>15</c:v>
                </c:pt>
                <c:pt idx="2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52800"/>
        <c:axId val="107412224"/>
      </c:barChart>
      <c:catAx>
        <c:axId val="1046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7412224"/>
        <c:crosses val="autoZero"/>
        <c:auto val="1"/>
        <c:lblAlgn val="ctr"/>
        <c:lblOffset val="100"/>
        <c:noMultiLvlLbl val="0"/>
      </c:catAx>
      <c:valAx>
        <c:axId val="10741222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crossAx val="1046528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ГРАФИКИ!$P$188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ГРАФИКИ!$O$189:$O$213</c:f>
              <c:strCache>
                <c:ptCount val="25"/>
                <c:pt idx="0">
                  <c:v>Ленинский</c:v>
                </c:pt>
                <c:pt idx="1">
                  <c:v>Московский</c:v>
                </c:pt>
                <c:pt idx="2">
                  <c:v>Калининский</c:v>
                </c:pt>
                <c:pt idx="3">
                  <c:v>Алатырский</c:v>
                </c:pt>
                <c:pt idx="4">
                  <c:v>Аликовский</c:v>
                </c:pt>
                <c:pt idx="5">
                  <c:v>Батыревский</c:v>
                </c:pt>
                <c:pt idx="6">
                  <c:v>Вурнарский</c:v>
                </c:pt>
                <c:pt idx="7">
                  <c:v>Ибресинский</c:v>
                </c:pt>
                <c:pt idx="8">
                  <c:v>Канашский</c:v>
                </c:pt>
                <c:pt idx="9">
                  <c:v>Козловский</c:v>
                </c:pt>
                <c:pt idx="10">
                  <c:v>Комсомольский</c:v>
                </c:pt>
                <c:pt idx="11">
                  <c:v>Красноармейский</c:v>
                </c:pt>
                <c:pt idx="12">
                  <c:v>Красночетайский</c:v>
                </c:pt>
                <c:pt idx="13">
                  <c:v>Марпосадский</c:v>
                </c:pt>
                <c:pt idx="14">
                  <c:v>Моргаушский</c:v>
                </c:pt>
                <c:pt idx="15">
                  <c:v>г.Новочебоксарск</c:v>
                </c:pt>
                <c:pt idx="16">
                  <c:v>Порецкий</c:v>
                </c:pt>
                <c:pt idx="17">
                  <c:v>Урмарский</c:v>
                </c:pt>
                <c:pt idx="18">
                  <c:v>Цивильский</c:v>
                </c:pt>
                <c:pt idx="19">
                  <c:v>Чебоксарский</c:v>
                </c:pt>
                <c:pt idx="20">
                  <c:v>Шемуршинский</c:v>
                </c:pt>
                <c:pt idx="21">
                  <c:v>Шумерлинский</c:v>
                </c:pt>
                <c:pt idx="22">
                  <c:v>Ядринский</c:v>
                </c:pt>
                <c:pt idx="23">
                  <c:v>Яльчикский</c:v>
                </c:pt>
                <c:pt idx="24">
                  <c:v>Янтиковский</c:v>
                </c:pt>
              </c:strCache>
            </c:strRef>
          </c:cat>
          <c:val>
            <c:numRef>
              <c:f>ГРАФИКИ!$P$189:$P$213</c:f>
              <c:numCache>
                <c:formatCode>General</c:formatCode>
                <c:ptCount val="25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  <c:pt idx="9">
                  <c:v>5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4</c:v>
                </c:pt>
                <c:pt idx="15">
                  <c:v>1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6</c:v>
                </c:pt>
                <c:pt idx="20">
                  <c:v>1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</c:numCache>
            </c:numRef>
          </c:val>
        </c:ser>
        <c:ser>
          <c:idx val="1"/>
          <c:order val="1"/>
          <c:tx>
            <c:strRef>
              <c:f>ГРАФИКИ!$Q$188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12"/>
              <c:layout>
                <c:manualLayout>
                  <c:x val="7.2911303571436834E-3"/>
                  <c:y val="6.22710649651470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ГРАФИКИ!$O$189:$O$213</c:f>
              <c:strCache>
                <c:ptCount val="25"/>
                <c:pt idx="0">
                  <c:v>Ленинский</c:v>
                </c:pt>
                <c:pt idx="1">
                  <c:v>Московский</c:v>
                </c:pt>
                <c:pt idx="2">
                  <c:v>Калининский</c:v>
                </c:pt>
                <c:pt idx="3">
                  <c:v>Алатырский</c:v>
                </c:pt>
                <c:pt idx="4">
                  <c:v>Аликовский</c:v>
                </c:pt>
                <c:pt idx="5">
                  <c:v>Батыревский</c:v>
                </c:pt>
                <c:pt idx="6">
                  <c:v>Вурнарский</c:v>
                </c:pt>
                <c:pt idx="7">
                  <c:v>Ибресинский</c:v>
                </c:pt>
                <c:pt idx="8">
                  <c:v>Канашский</c:v>
                </c:pt>
                <c:pt idx="9">
                  <c:v>Козловский</c:v>
                </c:pt>
                <c:pt idx="10">
                  <c:v>Комсомольский</c:v>
                </c:pt>
                <c:pt idx="11">
                  <c:v>Красноармейский</c:v>
                </c:pt>
                <c:pt idx="12">
                  <c:v>Красночетайский</c:v>
                </c:pt>
                <c:pt idx="13">
                  <c:v>Марпосадский</c:v>
                </c:pt>
                <c:pt idx="14">
                  <c:v>Моргаушский</c:v>
                </c:pt>
                <c:pt idx="15">
                  <c:v>г.Новочебоксарск</c:v>
                </c:pt>
                <c:pt idx="16">
                  <c:v>Порецкий</c:v>
                </c:pt>
                <c:pt idx="17">
                  <c:v>Урмарский</c:v>
                </c:pt>
                <c:pt idx="18">
                  <c:v>Цивильский</c:v>
                </c:pt>
                <c:pt idx="19">
                  <c:v>Чебоксарский</c:v>
                </c:pt>
                <c:pt idx="20">
                  <c:v>Шемуршинский</c:v>
                </c:pt>
                <c:pt idx="21">
                  <c:v>Шумерлинский</c:v>
                </c:pt>
                <c:pt idx="22">
                  <c:v>Ядринский</c:v>
                </c:pt>
                <c:pt idx="23">
                  <c:v>Яльчикский</c:v>
                </c:pt>
                <c:pt idx="24">
                  <c:v>Янтиковский</c:v>
                </c:pt>
              </c:strCache>
            </c:strRef>
          </c:cat>
          <c:val>
            <c:numRef>
              <c:f>ГРАФИКИ!$Q$189:$Q$213</c:f>
              <c:numCache>
                <c:formatCode>General</c:formatCode>
                <c:ptCount val="25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6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1</c:v>
                </c:pt>
                <c:pt idx="16">
                  <c:v>1</c:v>
                </c:pt>
                <c:pt idx="17">
                  <c:v>3</c:v>
                </c:pt>
                <c:pt idx="18">
                  <c:v>2</c:v>
                </c:pt>
                <c:pt idx="19">
                  <c:v>3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92064"/>
        <c:axId val="108053632"/>
      </c:barChart>
      <c:catAx>
        <c:axId val="107992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8053632"/>
        <c:crosses val="autoZero"/>
        <c:auto val="1"/>
        <c:lblAlgn val="ctr"/>
        <c:lblOffset val="100"/>
        <c:noMultiLvlLbl val="0"/>
      </c:catAx>
      <c:valAx>
        <c:axId val="10805363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0799206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ГРАФИКИ!$P$217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12"/>
              <c:layout>
                <c:manualLayout>
                  <c:x val="-2.9228453968982377E-3"/>
                  <c:y val="1.2027947456811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1.4614226984491178E-3"/>
                  <c:y val="6.01397372840569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-2.922845396898347E-3"/>
                  <c:y val="6.01397372840563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-1.4614226984492238E-3"/>
                  <c:y val="1.2027947456811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ГРАФИКИ!$O$218:$O$242</c:f>
              <c:strCache>
                <c:ptCount val="25"/>
                <c:pt idx="0">
                  <c:v>Ленинский</c:v>
                </c:pt>
                <c:pt idx="1">
                  <c:v>Московский</c:v>
                </c:pt>
                <c:pt idx="2">
                  <c:v>Калининский</c:v>
                </c:pt>
                <c:pt idx="3">
                  <c:v>Алатырский</c:v>
                </c:pt>
                <c:pt idx="4">
                  <c:v>Аликовский</c:v>
                </c:pt>
                <c:pt idx="5">
                  <c:v>Батыревский</c:v>
                </c:pt>
                <c:pt idx="6">
                  <c:v>Вурнарский</c:v>
                </c:pt>
                <c:pt idx="7">
                  <c:v>Ибресинский</c:v>
                </c:pt>
                <c:pt idx="8">
                  <c:v>Канашский</c:v>
                </c:pt>
                <c:pt idx="9">
                  <c:v>Козловский</c:v>
                </c:pt>
                <c:pt idx="10">
                  <c:v>Комсомольский</c:v>
                </c:pt>
                <c:pt idx="11">
                  <c:v>Красноармейский</c:v>
                </c:pt>
                <c:pt idx="12">
                  <c:v>Красночетайский</c:v>
                </c:pt>
                <c:pt idx="13">
                  <c:v>Марпосадский</c:v>
                </c:pt>
                <c:pt idx="14">
                  <c:v>Моргаушский</c:v>
                </c:pt>
                <c:pt idx="15">
                  <c:v>г.Новочебоксарск</c:v>
                </c:pt>
                <c:pt idx="16">
                  <c:v>Порецкий</c:v>
                </c:pt>
                <c:pt idx="17">
                  <c:v>Урмарский</c:v>
                </c:pt>
                <c:pt idx="18">
                  <c:v>Цивильский</c:v>
                </c:pt>
                <c:pt idx="19">
                  <c:v>Чебоксарский</c:v>
                </c:pt>
                <c:pt idx="20">
                  <c:v>Шемуршинский</c:v>
                </c:pt>
                <c:pt idx="21">
                  <c:v>Шумерлинский</c:v>
                </c:pt>
                <c:pt idx="22">
                  <c:v>Ядринский</c:v>
                </c:pt>
                <c:pt idx="23">
                  <c:v>Яльчикский</c:v>
                </c:pt>
                <c:pt idx="24">
                  <c:v>Янтиковский</c:v>
                </c:pt>
              </c:strCache>
            </c:strRef>
          </c:cat>
          <c:val>
            <c:numRef>
              <c:f>ГРАФИКИ!$P$218:$P$242</c:f>
              <c:numCache>
                <c:formatCode>General</c:formatCode>
                <c:ptCount val="25"/>
                <c:pt idx="0">
                  <c:v>7</c:v>
                </c:pt>
                <c:pt idx="1">
                  <c:v>6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4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  <c:pt idx="18">
                  <c:v>4</c:v>
                </c:pt>
                <c:pt idx="19">
                  <c:v>4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2</c:v>
                </c:pt>
                <c:pt idx="24">
                  <c:v>0</c:v>
                </c:pt>
              </c:numCache>
            </c:numRef>
          </c:val>
        </c:ser>
        <c:ser>
          <c:idx val="1"/>
          <c:order val="1"/>
          <c:tx>
            <c:strRef>
              <c:f>ГРАФИКИ!$Q$217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614226984491178E-3"/>
                  <c:y val="1.2027947456811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ГРАФИКИ!$O$218:$O$242</c:f>
              <c:strCache>
                <c:ptCount val="25"/>
                <c:pt idx="0">
                  <c:v>Ленинский</c:v>
                </c:pt>
                <c:pt idx="1">
                  <c:v>Московский</c:v>
                </c:pt>
                <c:pt idx="2">
                  <c:v>Калининский</c:v>
                </c:pt>
                <c:pt idx="3">
                  <c:v>Алатырский</c:v>
                </c:pt>
                <c:pt idx="4">
                  <c:v>Аликовский</c:v>
                </c:pt>
                <c:pt idx="5">
                  <c:v>Батыревский</c:v>
                </c:pt>
                <c:pt idx="6">
                  <c:v>Вурнарский</c:v>
                </c:pt>
                <c:pt idx="7">
                  <c:v>Ибресинский</c:v>
                </c:pt>
                <c:pt idx="8">
                  <c:v>Канашский</c:v>
                </c:pt>
                <c:pt idx="9">
                  <c:v>Козловский</c:v>
                </c:pt>
                <c:pt idx="10">
                  <c:v>Комсомольский</c:v>
                </c:pt>
                <c:pt idx="11">
                  <c:v>Красноармейский</c:v>
                </c:pt>
                <c:pt idx="12">
                  <c:v>Красночетайский</c:v>
                </c:pt>
                <c:pt idx="13">
                  <c:v>Марпосадский</c:v>
                </c:pt>
                <c:pt idx="14">
                  <c:v>Моргаушский</c:v>
                </c:pt>
                <c:pt idx="15">
                  <c:v>г.Новочебоксарск</c:v>
                </c:pt>
                <c:pt idx="16">
                  <c:v>Порецкий</c:v>
                </c:pt>
                <c:pt idx="17">
                  <c:v>Урмарский</c:v>
                </c:pt>
                <c:pt idx="18">
                  <c:v>Цивильский</c:v>
                </c:pt>
                <c:pt idx="19">
                  <c:v>Чебоксарский</c:v>
                </c:pt>
                <c:pt idx="20">
                  <c:v>Шемуршинский</c:v>
                </c:pt>
                <c:pt idx="21">
                  <c:v>Шумерлинский</c:v>
                </c:pt>
                <c:pt idx="22">
                  <c:v>Ядринский</c:v>
                </c:pt>
                <c:pt idx="23">
                  <c:v>Яльчикский</c:v>
                </c:pt>
                <c:pt idx="24">
                  <c:v>Янтиковский</c:v>
                </c:pt>
              </c:strCache>
            </c:strRef>
          </c:cat>
          <c:val>
            <c:numRef>
              <c:f>ГРАФИКИ!$Q$218:$Q$242</c:f>
              <c:numCache>
                <c:formatCode>General</c:formatCode>
                <c:ptCount val="25"/>
                <c:pt idx="0">
                  <c:v>4</c:v>
                </c:pt>
                <c:pt idx="1">
                  <c:v>6</c:v>
                </c:pt>
                <c:pt idx="2">
                  <c:v>11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10</c:v>
                </c:pt>
                <c:pt idx="9">
                  <c:v>1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</c:v>
                </c:pt>
                <c:pt idx="16">
                  <c:v>2</c:v>
                </c:pt>
                <c:pt idx="17">
                  <c:v>2</c:v>
                </c:pt>
                <c:pt idx="18">
                  <c:v>7</c:v>
                </c:pt>
                <c:pt idx="19">
                  <c:v>2</c:v>
                </c:pt>
                <c:pt idx="20">
                  <c:v>1</c:v>
                </c:pt>
                <c:pt idx="21">
                  <c:v>4</c:v>
                </c:pt>
                <c:pt idx="22">
                  <c:v>3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93088"/>
        <c:axId val="108056512"/>
      </c:barChart>
      <c:catAx>
        <c:axId val="10799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108056512"/>
        <c:crosses val="autoZero"/>
        <c:auto val="1"/>
        <c:lblAlgn val="ctr"/>
        <c:lblOffset val="100"/>
        <c:noMultiLvlLbl val="0"/>
      </c:catAx>
      <c:valAx>
        <c:axId val="10805651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0799308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ГРАФИКИ!$P$259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5.8170117097193106E-3"/>
                  <c:y val="-8.4564549345655647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1231702207571615E-3"/>
                  <c:y val="7.5898924147690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8064205978368049E-17"/>
                  <c:y val="1.517978482953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615851103786367E-3"/>
                  <c:y val="1.517978482953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0615851103786367E-3"/>
                  <c:y val="1.517978482953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4.5923776655678707E-3"/>
                  <c:y val="1.897473103692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ГРАФИКИ!$O$260:$O$288</c:f>
              <c:strCache>
                <c:ptCount val="29"/>
                <c:pt idx="0">
                  <c:v>г.Чебоксары</c:v>
                </c:pt>
                <c:pt idx="1">
                  <c:v>Ленинский</c:v>
                </c:pt>
                <c:pt idx="2">
                  <c:v>Московский</c:v>
                </c:pt>
                <c:pt idx="3">
                  <c:v>Калининский</c:v>
                </c:pt>
                <c:pt idx="4">
                  <c:v>Алатырский</c:v>
                </c:pt>
                <c:pt idx="5">
                  <c:v>г.Алатырь</c:v>
                </c:pt>
                <c:pt idx="6">
                  <c:v>Аликовский</c:v>
                </c:pt>
                <c:pt idx="7">
                  <c:v>Батыревский</c:v>
                </c:pt>
                <c:pt idx="8">
                  <c:v>Вурнарский</c:v>
                </c:pt>
                <c:pt idx="9">
                  <c:v>Ибресинский</c:v>
                </c:pt>
                <c:pt idx="10">
                  <c:v>Канашский</c:v>
                </c:pt>
                <c:pt idx="11">
                  <c:v>г.Канаш</c:v>
                </c:pt>
                <c:pt idx="12">
                  <c:v>Козловский</c:v>
                </c:pt>
                <c:pt idx="13">
                  <c:v>Комсомольский</c:v>
                </c:pt>
                <c:pt idx="14">
                  <c:v>Красноармейский</c:v>
                </c:pt>
                <c:pt idx="15">
                  <c:v>Красночетайский</c:v>
                </c:pt>
                <c:pt idx="16">
                  <c:v>Марпосадский</c:v>
                </c:pt>
                <c:pt idx="17">
                  <c:v>Моргаушский</c:v>
                </c:pt>
                <c:pt idx="18">
                  <c:v>г.Новочебоксарск</c:v>
                </c:pt>
                <c:pt idx="19">
                  <c:v>Порецкий</c:v>
                </c:pt>
                <c:pt idx="20">
                  <c:v>Урмарский</c:v>
                </c:pt>
                <c:pt idx="21">
                  <c:v>Цивильский</c:v>
                </c:pt>
                <c:pt idx="22">
                  <c:v>Чебоксарский</c:v>
                </c:pt>
                <c:pt idx="23">
                  <c:v>Шемуршинский</c:v>
                </c:pt>
                <c:pt idx="24">
                  <c:v>Шумерлинский</c:v>
                </c:pt>
                <c:pt idx="25">
                  <c:v>г.Шумерля</c:v>
                </c:pt>
                <c:pt idx="26">
                  <c:v>Ядринский</c:v>
                </c:pt>
                <c:pt idx="27">
                  <c:v>Яльчикский</c:v>
                </c:pt>
                <c:pt idx="28">
                  <c:v>Янтиковский</c:v>
                </c:pt>
              </c:strCache>
            </c:strRef>
          </c:cat>
          <c:val>
            <c:numRef>
              <c:f>ГРАФИКИ!$P$260:$P$288</c:f>
              <c:numCache>
                <c:formatCode>General</c:formatCode>
                <c:ptCount val="29"/>
                <c:pt idx="0">
                  <c:v>153</c:v>
                </c:pt>
                <c:pt idx="1">
                  <c:v>46</c:v>
                </c:pt>
                <c:pt idx="2">
                  <c:v>56</c:v>
                </c:pt>
                <c:pt idx="3">
                  <c:v>51</c:v>
                </c:pt>
                <c:pt idx="4">
                  <c:v>27</c:v>
                </c:pt>
                <c:pt idx="5">
                  <c:v>27</c:v>
                </c:pt>
                <c:pt idx="6">
                  <c:v>17</c:v>
                </c:pt>
                <c:pt idx="7">
                  <c:v>34</c:v>
                </c:pt>
                <c:pt idx="8">
                  <c:v>37</c:v>
                </c:pt>
                <c:pt idx="9">
                  <c:v>25</c:v>
                </c:pt>
                <c:pt idx="10">
                  <c:v>36</c:v>
                </c:pt>
                <c:pt idx="11">
                  <c:v>12</c:v>
                </c:pt>
                <c:pt idx="12">
                  <c:v>23</c:v>
                </c:pt>
                <c:pt idx="13">
                  <c:v>23</c:v>
                </c:pt>
                <c:pt idx="14">
                  <c:v>12</c:v>
                </c:pt>
                <c:pt idx="15">
                  <c:v>15</c:v>
                </c:pt>
                <c:pt idx="16">
                  <c:v>17</c:v>
                </c:pt>
                <c:pt idx="17">
                  <c:v>33</c:v>
                </c:pt>
                <c:pt idx="18">
                  <c:v>28</c:v>
                </c:pt>
                <c:pt idx="19">
                  <c:v>13</c:v>
                </c:pt>
                <c:pt idx="20">
                  <c:v>20</c:v>
                </c:pt>
                <c:pt idx="21">
                  <c:v>39</c:v>
                </c:pt>
                <c:pt idx="22">
                  <c:v>57</c:v>
                </c:pt>
                <c:pt idx="23">
                  <c:v>9</c:v>
                </c:pt>
                <c:pt idx="24">
                  <c:v>16</c:v>
                </c:pt>
                <c:pt idx="25">
                  <c:v>24</c:v>
                </c:pt>
                <c:pt idx="26">
                  <c:v>29</c:v>
                </c:pt>
                <c:pt idx="27">
                  <c:v>14</c:v>
                </c:pt>
                <c:pt idx="28">
                  <c:v>8</c:v>
                </c:pt>
              </c:numCache>
            </c:numRef>
          </c:val>
        </c:ser>
        <c:ser>
          <c:idx val="1"/>
          <c:order val="1"/>
          <c:tx>
            <c:strRef>
              <c:f>ГРАФИКИ!$Q$259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1600456875283488E-3"/>
                  <c:y val="3.79494620738454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517978482953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0615851103785808E-3"/>
                  <c:y val="1.1384838622153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0615851103785808E-3"/>
                  <c:y val="1.517978482953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5923776655678993E-3"/>
                  <c:y val="1.1384838622153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615851103786367E-3"/>
                  <c:y val="1.1384838622153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1.517978482953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4.5923776655678152E-3"/>
                  <c:y val="1.1384838622153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1.5307925551891781E-3"/>
                  <c:y val="7.5898924147690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4.5923776655678152E-3"/>
                  <c:y val="1.1384838622153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0"/>
                  <c:y val="1.517978482953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4.5923776655678707E-3"/>
                  <c:y val="1.1384838622153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4.5923776655677588E-3"/>
                  <c:y val="1.517978482953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layout>
                <c:manualLayout>
                  <c:x val="3.0615851103785808E-3"/>
                  <c:y val="1.517978482953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layout>
                <c:manualLayout>
                  <c:x val="1.5307925551892904E-3"/>
                  <c:y val="1.1384838622153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layout>
                <c:manualLayout>
                  <c:x val="1.5307925551891781E-3"/>
                  <c:y val="7.58989241476909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layout>
                <c:manualLayout>
                  <c:x val="3.0615851103785808E-3"/>
                  <c:y val="1.1384838622153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1.5307925551892904E-3"/>
                  <c:y val="1.8974731036922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layout>
                <c:manualLayout>
                  <c:x val="3.0615851103784684E-3"/>
                  <c:y val="1.517978482953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layout>
                <c:manualLayout>
                  <c:x val="1.5307925551891781E-3"/>
                  <c:y val="2.6564623451691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layout>
                <c:manualLayout>
                  <c:x val="3.0615851103785808E-3"/>
                  <c:y val="1.1384838622153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layout>
                <c:manualLayout>
                  <c:x val="-1.122568239134722E-16"/>
                  <c:y val="1.8974731036922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layout>
                <c:manualLayout>
                  <c:x val="3.0615851103785808E-3"/>
                  <c:y val="1.5179784829538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layout>
                <c:manualLayout>
                  <c:x val="3.0615851103785808E-3"/>
                  <c:y val="2.276967724430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layout>
                <c:manualLayout>
                  <c:x val="3.0615851103785808E-3"/>
                  <c:y val="1.13848386221535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ГРАФИКИ!$O$260:$O$288</c:f>
              <c:strCache>
                <c:ptCount val="29"/>
                <c:pt idx="0">
                  <c:v>г.Чебоксары</c:v>
                </c:pt>
                <c:pt idx="1">
                  <c:v>Ленинский</c:v>
                </c:pt>
                <c:pt idx="2">
                  <c:v>Московский</c:v>
                </c:pt>
                <c:pt idx="3">
                  <c:v>Калининский</c:v>
                </c:pt>
                <c:pt idx="4">
                  <c:v>Алатырский</c:v>
                </c:pt>
                <c:pt idx="5">
                  <c:v>г.Алатырь</c:v>
                </c:pt>
                <c:pt idx="6">
                  <c:v>Аликовский</c:v>
                </c:pt>
                <c:pt idx="7">
                  <c:v>Батыревский</c:v>
                </c:pt>
                <c:pt idx="8">
                  <c:v>Вурнарский</c:v>
                </c:pt>
                <c:pt idx="9">
                  <c:v>Ибресинский</c:v>
                </c:pt>
                <c:pt idx="10">
                  <c:v>Канашский</c:v>
                </c:pt>
                <c:pt idx="11">
                  <c:v>г.Канаш</c:v>
                </c:pt>
                <c:pt idx="12">
                  <c:v>Козловский</c:v>
                </c:pt>
                <c:pt idx="13">
                  <c:v>Комсомольский</c:v>
                </c:pt>
                <c:pt idx="14">
                  <c:v>Красноармейский</c:v>
                </c:pt>
                <c:pt idx="15">
                  <c:v>Красночетайский</c:v>
                </c:pt>
                <c:pt idx="16">
                  <c:v>Марпосадский</c:v>
                </c:pt>
                <c:pt idx="17">
                  <c:v>Моргаушский</c:v>
                </c:pt>
                <c:pt idx="18">
                  <c:v>г.Новочебоксарск</c:v>
                </c:pt>
                <c:pt idx="19">
                  <c:v>Порецкий</c:v>
                </c:pt>
                <c:pt idx="20">
                  <c:v>Урмарский</c:v>
                </c:pt>
                <c:pt idx="21">
                  <c:v>Цивильский</c:v>
                </c:pt>
                <c:pt idx="22">
                  <c:v>Чебоксарский</c:v>
                </c:pt>
                <c:pt idx="23">
                  <c:v>Шемуршинский</c:v>
                </c:pt>
                <c:pt idx="24">
                  <c:v>Шумерлинский</c:v>
                </c:pt>
                <c:pt idx="25">
                  <c:v>г.Шумерля</c:v>
                </c:pt>
                <c:pt idx="26">
                  <c:v>Ядринский</c:v>
                </c:pt>
                <c:pt idx="27">
                  <c:v>Яльчикский</c:v>
                </c:pt>
                <c:pt idx="28">
                  <c:v>Янтиковский</c:v>
                </c:pt>
              </c:strCache>
            </c:strRef>
          </c:cat>
          <c:val>
            <c:numRef>
              <c:f>ГРАФИКИ!$Q$260:$Q$288</c:f>
              <c:numCache>
                <c:formatCode>General</c:formatCode>
                <c:ptCount val="29"/>
                <c:pt idx="0">
                  <c:v>162</c:v>
                </c:pt>
                <c:pt idx="1">
                  <c:v>42</c:v>
                </c:pt>
                <c:pt idx="2">
                  <c:v>58</c:v>
                </c:pt>
                <c:pt idx="3">
                  <c:v>62</c:v>
                </c:pt>
                <c:pt idx="4">
                  <c:v>24</c:v>
                </c:pt>
                <c:pt idx="5">
                  <c:v>28</c:v>
                </c:pt>
                <c:pt idx="6">
                  <c:v>16</c:v>
                </c:pt>
                <c:pt idx="7">
                  <c:v>32</c:v>
                </c:pt>
                <c:pt idx="8">
                  <c:v>30</c:v>
                </c:pt>
                <c:pt idx="9">
                  <c:v>21</c:v>
                </c:pt>
                <c:pt idx="10">
                  <c:v>43</c:v>
                </c:pt>
                <c:pt idx="11">
                  <c:v>31</c:v>
                </c:pt>
                <c:pt idx="12">
                  <c:v>15</c:v>
                </c:pt>
                <c:pt idx="13">
                  <c:v>23</c:v>
                </c:pt>
                <c:pt idx="14">
                  <c:v>9</c:v>
                </c:pt>
                <c:pt idx="15">
                  <c:v>22</c:v>
                </c:pt>
                <c:pt idx="16">
                  <c:v>18</c:v>
                </c:pt>
                <c:pt idx="17">
                  <c:v>34</c:v>
                </c:pt>
                <c:pt idx="18">
                  <c:v>50</c:v>
                </c:pt>
                <c:pt idx="19">
                  <c:v>14</c:v>
                </c:pt>
                <c:pt idx="20">
                  <c:v>24</c:v>
                </c:pt>
                <c:pt idx="21">
                  <c:v>27</c:v>
                </c:pt>
                <c:pt idx="22">
                  <c:v>55</c:v>
                </c:pt>
                <c:pt idx="23">
                  <c:v>16</c:v>
                </c:pt>
                <c:pt idx="24">
                  <c:v>14</c:v>
                </c:pt>
                <c:pt idx="25">
                  <c:v>19</c:v>
                </c:pt>
                <c:pt idx="26">
                  <c:v>25</c:v>
                </c:pt>
                <c:pt idx="27">
                  <c:v>15</c:v>
                </c:pt>
                <c:pt idx="28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93600"/>
        <c:axId val="108058816"/>
      </c:barChart>
      <c:catAx>
        <c:axId val="107993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08058816"/>
        <c:crosses val="autoZero"/>
        <c:auto val="1"/>
        <c:lblAlgn val="ctr"/>
        <c:lblOffset val="100"/>
        <c:noMultiLvlLbl val="0"/>
      </c:catAx>
      <c:valAx>
        <c:axId val="10805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7993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460526315791692"/>
          <c:y val="0.15910569272835673"/>
          <c:w val="0.76221804511278191"/>
          <c:h val="0.74967373203685983"/>
        </c:manualLayout>
      </c:layout>
      <c:pie3DChart>
        <c:varyColors val="1"/>
        <c:ser>
          <c:idx val="0"/>
          <c:order val="0"/>
          <c:dLbls>
            <c:dLbl>
              <c:idx val="1"/>
              <c:layout>
                <c:manualLayout>
                  <c:x val="-1.1526034574625541E-2"/>
                  <c:y val="0.19390760880738594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0741644958856326"/>
                  <c:y val="-9.697703583396723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Население!$H$10:$H$14</c:f>
              <c:strCache>
                <c:ptCount val="5"/>
                <c:pt idx="0">
                  <c:v>Неосторожное обращение с огнем</c:v>
                </c:pt>
                <c:pt idx="1">
                  <c:v>Поджог</c:v>
                </c:pt>
                <c:pt idx="2">
                  <c:v>Нарушение правил устройства и эксплуатации  электрооборудования</c:v>
                </c:pt>
                <c:pt idx="3">
                  <c:v>Неисправность и несоблюдение ППБ при эксплуатации отопительных печей</c:v>
                </c:pt>
                <c:pt idx="4">
                  <c:v>Другие</c:v>
                </c:pt>
              </c:strCache>
            </c:strRef>
          </c:cat>
          <c:val>
            <c:numRef>
              <c:f>Население!$I$10:$I$14</c:f>
              <c:numCache>
                <c:formatCode>General</c:formatCode>
                <c:ptCount val="5"/>
                <c:pt idx="0">
                  <c:v>43</c:v>
                </c:pt>
                <c:pt idx="1">
                  <c:v>1</c:v>
                </c:pt>
                <c:pt idx="2">
                  <c:v>10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ГРАФИКИ!$V$259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ГРАФИКИ!$O$260:$O$288</c:f>
              <c:strCache>
                <c:ptCount val="29"/>
                <c:pt idx="0">
                  <c:v>г.Чебоксары</c:v>
                </c:pt>
                <c:pt idx="1">
                  <c:v>Ленинский</c:v>
                </c:pt>
                <c:pt idx="2">
                  <c:v>Московский</c:v>
                </c:pt>
                <c:pt idx="3">
                  <c:v>Калининский</c:v>
                </c:pt>
                <c:pt idx="4">
                  <c:v>Алатырский</c:v>
                </c:pt>
                <c:pt idx="5">
                  <c:v>г.Алатырь</c:v>
                </c:pt>
                <c:pt idx="6">
                  <c:v>Аликовский</c:v>
                </c:pt>
                <c:pt idx="7">
                  <c:v>Батыревский</c:v>
                </c:pt>
                <c:pt idx="8">
                  <c:v>Вурнарский</c:v>
                </c:pt>
                <c:pt idx="9">
                  <c:v>Ибресинский</c:v>
                </c:pt>
                <c:pt idx="10">
                  <c:v>Канашский</c:v>
                </c:pt>
                <c:pt idx="11">
                  <c:v>г.Канаш</c:v>
                </c:pt>
                <c:pt idx="12">
                  <c:v>Козловский</c:v>
                </c:pt>
                <c:pt idx="13">
                  <c:v>Комсомольский</c:v>
                </c:pt>
                <c:pt idx="14">
                  <c:v>Красноармейский</c:v>
                </c:pt>
                <c:pt idx="15">
                  <c:v>Красночетайский</c:v>
                </c:pt>
                <c:pt idx="16">
                  <c:v>Марпосадский</c:v>
                </c:pt>
                <c:pt idx="17">
                  <c:v>Моргаушский</c:v>
                </c:pt>
                <c:pt idx="18">
                  <c:v>г.Новочебоксарск</c:v>
                </c:pt>
                <c:pt idx="19">
                  <c:v>Порецкий</c:v>
                </c:pt>
                <c:pt idx="20">
                  <c:v>Урмарский</c:v>
                </c:pt>
                <c:pt idx="21">
                  <c:v>Цивильский</c:v>
                </c:pt>
                <c:pt idx="22">
                  <c:v>Чебоксарский</c:v>
                </c:pt>
                <c:pt idx="23">
                  <c:v>Шемуршинский</c:v>
                </c:pt>
                <c:pt idx="24">
                  <c:v>Шумерлинский</c:v>
                </c:pt>
                <c:pt idx="25">
                  <c:v>г.Шумерля</c:v>
                </c:pt>
                <c:pt idx="26">
                  <c:v>Ядринский</c:v>
                </c:pt>
                <c:pt idx="27">
                  <c:v>Яльчикский</c:v>
                </c:pt>
                <c:pt idx="28">
                  <c:v>Янтиковский</c:v>
                </c:pt>
              </c:strCache>
            </c:strRef>
          </c:cat>
          <c:val>
            <c:numRef>
              <c:f>ГРАФИКИ!$V$260:$V$288</c:f>
              <c:numCache>
                <c:formatCode>General</c:formatCode>
                <c:ptCount val="29"/>
                <c:pt idx="0">
                  <c:v>9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5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4</c:v>
                </c:pt>
                <c:pt idx="17">
                  <c:v>4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1</c:v>
                </c:pt>
                <c:pt idx="22">
                  <c:v>6</c:v>
                </c:pt>
                <c:pt idx="23">
                  <c:v>1</c:v>
                </c:pt>
                <c:pt idx="24">
                  <c:v>0</c:v>
                </c:pt>
                <c:pt idx="25">
                  <c:v>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</c:numCache>
            </c:numRef>
          </c:val>
        </c:ser>
        <c:ser>
          <c:idx val="1"/>
          <c:order val="1"/>
          <c:tx>
            <c:strRef>
              <c:f>ГРАФИКИ!$W$259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3.927329796358704E-3"/>
                  <c:y val="-1.020516245036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ГРАФИКИ!$O$260:$O$288</c:f>
              <c:strCache>
                <c:ptCount val="29"/>
                <c:pt idx="0">
                  <c:v>г.Чебоксары</c:v>
                </c:pt>
                <c:pt idx="1">
                  <c:v>Ленинский</c:v>
                </c:pt>
                <c:pt idx="2">
                  <c:v>Московский</c:v>
                </c:pt>
                <c:pt idx="3">
                  <c:v>Калининский</c:v>
                </c:pt>
                <c:pt idx="4">
                  <c:v>Алатырский</c:v>
                </c:pt>
                <c:pt idx="5">
                  <c:v>г.Алатырь</c:v>
                </c:pt>
                <c:pt idx="6">
                  <c:v>Аликовский</c:v>
                </c:pt>
                <c:pt idx="7">
                  <c:v>Батыревский</c:v>
                </c:pt>
                <c:pt idx="8">
                  <c:v>Вурнарский</c:v>
                </c:pt>
                <c:pt idx="9">
                  <c:v>Ибресинский</c:v>
                </c:pt>
                <c:pt idx="10">
                  <c:v>Канашский</c:v>
                </c:pt>
                <c:pt idx="11">
                  <c:v>г.Канаш</c:v>
                </c:pt>
                <c:pt idx="12">
                  <c:v>Козловский</c:v>
                </c:pt>
                <c:pt idx="13">
                  <c:v>Комсомольский</c:v>
                </c:pt>
                <c:pt idx="14">
                  <c:v>Красноармейский</c:v>
                </c:pt>
                <c:pt idx="15">
                  <c:v>Красночетайский</c:v>
                </c:pt>
                <c:pt idx="16">
                  <c:v>Марпосадский</c:v>
                </c:pt>
                <c:pt idx="17">
                  <c:v>Моргаушский</c:v>
                </c:pt>
                <c:pt idx="18">
                  <c:v>г.Новочебоксарск</c:v>
                </c:pt>
                <c:pt idx="19">
                  <c:v>Порецкий</c:v>
                </c:pt>
                <c:pt idx="20">
                  <c:v>Урмарский</c:v>
                </c:pt>
                <c:pt idx="21">
                  <c:v>Цивильский</c:v>
                </c:pt>
                <c:pt idx="22">
                  <c:v>Чебоксарский</c:v>
                </c:pt>
                <c:pt idx="23">
                  <c:v>Шемуршинский</c:v>
                </c:pt>
                <c:pt idx="24">
                  <c:v>Шумерлинский</c:v>
                </c:pt>
                <c:pt idx="25">
                  <c:v>г.Шумерля</c:v>
                </c:pt>
                <c:pt idx="26">
                  <c:v>Ядринский</c:v>
                </c:pt>
                <c:pt idx="27">
                  <c:v>Яльчикский</c:v>
                </c:pt>
                <c:pt idx="28">
                  <c:v>Янтиковский</c:v>
                </c:pt>
              </c:strCache>
            </c:strRef>
          </c:cat>
          <c:val>
            <c:numRef>
              <c:f>ГРАФИКИ!$W$260:$W$288</c:f>
              <c:numCache>
                <c:formatCode>General</c:formatCode>
                <c:ptCount val="29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0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1</c:v>
                </c:pt>
                <c:pt idx="20">
                  <c:v>3</c:v>
                </c:pt>
                <c:pt idx="21">
                  <c:v>2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0</c:v>
                </c:pt>
                <c:pt idx="26">
                  <c:v>4</c:v>
                </c:pt>
                <c:pt idx="27">
                  <c:v>5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91456"/>
        <c:axId val="108191744"/>
      </c:barChart>
      <c:catAx>
        <c:axId val="1086914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08191744"/>
        <c:crosses val="autoZero"/>
        <c:auto val="1"/>
        <c:lblAlgn val="ctr"/>
        <c:lblOffset val="100"/>
        <c:noMultiLvlLbl val="0"/>
      </c:catAx>
      <c:valAx>
        <c:axId val="1081917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86914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ГРАФИКИ!$Y$259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-4.1351264760037214E-4"/>
                  <c:y val="-1.08100684589380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ГРАФИКИ!$O$260:$O$288</c:f>
              <c:strCache>
                <c:ptCount val="29"/>
                <c:pt idx="0">
                  <c:v>г.Чебоксары</c:v>
                </c:pt>
                <c:pt idx="1">
                  <c:v>Ленинский</c:v>
                </c:pt>
                <c:pt idx="2">
                  <c:v>Московский</c:v>
                </c:pt>
                <c:pt idx="3">
                  <c:v>Калининский</c:v>
                </c:pt>
                <c:pt idx="4">
                  <c:v>Алатырский</c:v>
                </c:pt>
                <c:pt idx="5">
                  <c:v>г.Алатырь</c:v>
                </c:pt>
                <c:pt idx="6">
                  <c:v>Аликовский</c:v>
                </c:pt>
                <c:pt idx="7">
                  <c:v>Батыревский</c:v>
                </c:pt>
                <c:pt idx="8">
                  <c:v>Вурнарский</c:v>
                </c:pt>
                <c:pt idx="9">
                  <c:v>Ибресинский</c:v>
                </c:pt>
                <c:pt idx="10">
                  <c:v>Канашский</c:v>
                </c:pt>
                <c:pt idx="11">
                  <c:v>г.Канаш</c:v>
                </c:pt>
                <c:pt idx="12">
                  <c:v>Козловский</c:v>
                </c:pt>
                <c:pt idx="13">
                  <c:v>Комсомольский</c:v>
                </c:pt>
                <c:pt idx="14">
                  <c:v>Красноармейский</c:v>
                </c:pt>
                <c:pt idx="15">
                  <c:v>Красночетайский</c:v>
                </c:pt>
                <c:pt idx="16">
                  <c:v>Марпосадский</c:v>
                </c:pt>
                <c:pt idx="17">
                  <c:v>Моргаушский</c:v>
                </c:pt>
                <c:pt idx="18">
                  <c:v>г.Новочебоксарск</c:v>
                </c:pt>
                <c:pt idx="19">
                  <c:v>Порецкий</c:v>
                </c:pt>
                <c:pt idx="20">
                  <c:v>Урмарский</c:v>
                </c:pt>
                <c:pt idx="21">
                  <c:v>Цивильский</c:v>
                </c:pt>
                <c:pt idx="22">
                  <c:v>Чебоксарский</c:v>
                </c:pt>
                <c:pt idx="23">
                  <c:v>Шемуршинский</c:v>
                </c:pt>
                <c:pt idx="24">
                  <c:v>Шумерлинский</c:v>
                </c:pt>
                <c:pt idx="25">
                  <c:v>г.Шумерля</c:v>
                </c:pt>
                <c:pt idx="26">
                  <c:v>Ядринский</c:v>
                </c:pt>
                <c:pt idx="27">
                  <c:v>Яльчикский</c:v>
                </c:pt>
                <c:pt idx="28">
                  <c:v>Янтиковский</c:v>
                </c:pt>
              </c:strCache>
            </c:strRef>
          </c:cat>
          <c:val>
            <c:numRef>
              <c:f>ГРАФИКИ!$Y$260:$Y$288</c:f>
              <c:numCache>
                <c:formatCode>General</c:formatCode>
                <c:ptCount val="29"/>
                <c:pt idx="0">
                  <c:v>18</c:v>
                </c:pt>
                <c:pt idx="1">
                  <c:v>7</c:v>
                </c:pt>
                <c:pt idx="2">
                  <c:v>6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3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4</c:v>
                </c:pt>
                <c:pt idx="23">
                  <c:v>1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0</c:v>
                </c:pt>
              </c:numCache>
            </c:numRef>
          </c:val>
        </c:ser>
        <c:ser>
          <c:idx val="1"/>
          <c:order val="1"/>
          <c:tx>
            <c:strRef>
              <c:f>ГРАФИКИ!$Z$259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5959252840064692E-3"/>
                  <c:y val="3.6796534287995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ГРАФИКИ!$O$260:$O$288</c:f>
              <c:strCache>
                <c:ptCount val="29"/>
                <c:pt idx="0">
                  <c:v>г.Чебоксары</c:v>
                </c:pt>
                <c:pt idx="1">
                  <c:v>Ленинский</c:v>
                </c:pt>
                <c:pt idx="2">
                  <c:v>Московский</c:v>
                </c:pt>
                <c:pt idx="3">
                  <c:v>Калининский</c:v>
                </c:pt>
                <c:pt idx="4">
                  <c:v>Алатырский</c:v>
                </c:pt>
                <c:pt idx="5">
                  <c:v>г.Алатырь</c:v>
                </c:pt>
                <c:pt idx="6">
                  <c:v>Аликовский</c:v>
                </c:pt>
                <c:pt idx="7">
                  <c:v>Батыревский</c:v>
                </c:pt>
                <c:pt idx="8">
                  <c:v>Вурнарский</c:v>
                </c:pt>
                <c:pt idx="9">
                  <c:v>Ибресинский</c:v>
                </c:pt>
                <c:pt idx="10">
                  <c:v>Канашский</c:v>
                </c:pt>
                <c:pt idx="11">
                  <c:v>г.Канаш</c:v>
                </c:pt>
                <c:pt idx="12">
                  <c:v>Козловский</c:v>
                </c:pt>
                <c:pt idx="13">
                  <c:v>Комсомольский</c:v>
                </c:pt>
                <c:pt idx="14">
                  <c:v>Красноармейский</c:v>
                </c:pt>
                <c:pt idx="15">
                  <c:v>Красночетайский</c:v>
                </c:pt>
                <c:pt idx="16">
                  <c:v>Марпосадский</c:v>
                </c:pt>
                <c:pt idx="17">
                  <c:v>Моргаушский</c:v>
                </c:pt>
                <c:pt idx="18">
                  <c:v>г.Новочебоксарск</c:v>
                </c:pt>
                <c:pt idx="19">
                  <c:v>Порецкий</c:v>
                </c:pt>
                <c:pt idx="20">
                  <c:v>Урмарский</c:v>
                </c:pt>
                <c:pt idx="21">
                  <c:v>Цивильский</c:v>
                </c:pt>
                <c:pt idx="22">
                  <c:v>Чебоксарский</c:v>
                </c:pt>
                <c:pt idx="23">
                  <c:v>Шемуршинский</c:v>
                </c:pt>
                <c:pt idx="24">
                  <c:v>Шумерлинский</c:v>
                </c:pt>
                <c:pt idx="25">
                  <c:v>г.Шумерля</c:v>
                </c:pt>
                <c:pt idx="26">
                  <c:v>Ядринский</c:v>
                </c:pt>
                <c:pt idx="27">
                  <c:v>Яльчикский</c:v>
                </c:pt>
                <c:pt idx="28">
                  <c:v>Янтиковский</c:v>
                </c:pt>
              </c:strCache>
            </c:strRef>
          </c:cat>
          <c:val>
            <c:numRef>
              <c:f>ГРАФИКИ!$Z$260:$Z$288</c:f>
              <c:numCache>
                <c:formatCode>General</c:formatCode>
                <c:ptCount val="29"/>
                <c:pt idx="0">
                  <c:v>21</c:v>
                </c:pt>
                <c:pt idx="1">
                  <c:v>4</c:v>
                </c:pt>
                <c:pt idx="2">
                  <c:v>6</c:v>
                </c:pt>
                <c:pt idx="3">
                  <c:v>11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3</c:v>
                </c:pt>
                <c:pt idx="10">
                  <c:v>3</c:v>
                </c:pt>
                <c:pt idx="11">
                  <c:v>7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11</c:v>
                </c:pt>
                <c:pt idx="19">
                  <c:v>2</c:v>
                </c:pt>
                <c:pt idx="20">
                  <c:v>2</c:v>
                </c:pt>
                <c:pt idx="21">
                  <c:v>7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91968"/>
        <c:axId val="108194048"/>
      </c:barChart>
      <c:catAx>
        <c:axId val="108691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08194048"/>
        <c:crosses val="autoZero"/>
        <c:auto val="1"/>
        <c:lblAlgn val="ctr"/>
        <c:lblOffset val="100"/>
        <c:noMultiLvlLbl val="0"/>
      </c:catAx>
      <c:valAx>
        <c:axId val="108194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08691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114490773456643"/>
          <c:y val="0.91295324594047322"/>
          <c:w val="0.16983811174296648"/>
          <c:h val="6.7340689919134167E-2"/>
        </c:manualLayout>
      </c:layout>
      <c:overlay val="0"/>
      <c:txPr>
        <a:bodyPr/>
        <a:lstStyle/>
        <a:p>
          <a:pPr>
            <a:defRPr sz="12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593936935421856E-2"/>
          <c:y val="0.10733194048642759"/>
          <c:w val="0.98874959996593659"/>
          <c:h val="0.7329207365278811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ГРАФИКИ!$Q$146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ГРАФИКИ!$O$147:$O$150</c:f>
              <c:strCache>
                <c:ptCount val="4"/>
                <c:pt idx="0">
                  <c:v>Количество пожаров</c:v>
                </c:pt>
                <c:pt idx="1">
                  <c:v>Количество погибших</c:v>
                </c:pt>
                <c:pt idx="2">
                  <c:v>Количество травмированных</c:v>
                </c:pt>
                <c:pt idx="3">
                  <c:v>Количество спасенных</c:v>
                </c:pt>
              </c:strCache>
            </c:strRef>
          </c:cat>
          <c:val>
            <c:numRef>
              <c:f>ГРАФИКИ!$Q$147:$Q$151</c:f>
              <c:numCache>
                <c:formatCode>General</c:formatCode>
                <c:ptCount val="5"/>
                <c:pt idx="0" formatCode="0">
                  <c:v>748</c:v>
                </c:pt>
                <c:pt idx="1">
                  <c:v>57</c:v>
                </c:pt>
                <c:pt idx="2">
                  <c:v>62</c:v>
                </c:pt>
                <c:pt idx="3">
                  <c:v>200</c:v>
                </c:pt>
                <c:pt idx="4" formatCode="0">
                  <c:v>477.73500000000001</c:v>
                </c:pt>
              </c:numCache>
            </c:numRef>
          </c:val>
        </c:ser>
        <c:ser>
          <c:idx val="0"/>
          <c:order val="1"/>
          <c:tx>
            <c:strRef>
              <c:f>ГРАФИКИ!$P$146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1C40F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6.8560647110245984E-4"/>
                  <c:y val="-8.51881466394106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5891604308736385E-3"/>
                  <c:y val="-1.295781122006588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0174901005532024E-3"/>
                  <c:y val="-1.90116724360041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1323372119458092E-3"/>
                  <c:y val="-7.94023896303099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3853839760448084E-4"/>
                  <c:y val="-1.152433619843982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ГРАФИКИ!$O$147:$O$151</c:f>
              <c:strCache>
                <c:ptCount val="5"/>
                <c:pt idx="0">
                  <c:v>Количество пожаров</c:v>
                </c:pt>
                <c:pt idx="1">
                  <c:v>Количество погибших</c:v>
                </c:pt>
                <c:pt idx="2">
                  <c:v>Количество травмированных</c:v>
                </c:pt>
                <c:pt idx="3">
                  <c:v>Количество спасенных</c:v>
                </c:pt>
                <c:pt idx="4">
                  <c:v>Количество материальных спасенных ценностей, млн. руб.</c:v>
                </c:pt>
              </c:strCache>
            </c:strRef>
          </c:cat>
          <c:val>
            <c:numRef>
              <c:f>ГРАФИКИ!$P$147:$P$151</c:f>
              <c:numCache>
                <c:formatCode>General</c:formatCode>
                <c:ptCount val="5"/>
                <c:pt idx="0">
                  <c:v>778</c:v>
                </c:pt>
                <c:pt idx="1">
                  <c:v>59</c:v>
                </c:pt>
                <c:pt idx="2">
                  <c:v>72</c:v>
                </c:pt>
                <c:pt idx="3">
                  <c:v>339</c:v>
                </c:pt>
                <c:pt idx="4" formatCode="0">
                  <c:v>536.34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706112"/>
        <c:axId val="100792512"/>
      </c:barChart>
      <c:catAx>
        <c:axId val="10370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10079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7925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37061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6321895678533125"/>
          <c:y val="0.87640166907302963"/>
          <c:w val="0.43009397064803534"/>
          <c:h val="7.8259678787788389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 alignWithMargins="0"/>
    <c:pageMargins b="0.98425196850393659" l="0.74803149606314234" r="0.74803149606314234" t="0.98425196850393659" header="0.51181102362204722" footer="0.51181102362204722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484209286106933E-2"/>
          <c:y val="0.14988745809758874"/>
          <c:w val="0.77411472382293856"/>
          <c:h val="0.66969270632223465"/>
        </c:manualLayout>
      </c:layout>
      <c:pie3D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4.8640914132572896E-3"/>
                  <c:y val="0.1910306332832891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315759451912647E-2"/>
                  <c:y val="-8.418068927312369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2490103297470979E-2"/>
                  <c:y val="-0.2850099208166864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335543154321533E-2"/>
                  <c:y val="9.226154743185029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9144415257058935E-2"/>
                  <c:y val="4.39932445758837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12700">
                  <a:solidFill>
                    <a:srgbClr val="000000"/>
                  </a:solidFill>
                  <a:prstDash val="solid"/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ГРАФИКИ!$O$2:$O$6</c:f>
              <c:strCache>
                <c:ptCount val="5"/>
                <c:pt idx="0">
                  <c:v>Неосторожное обращение с огнем</c:v>
                </c:pt>
                <c:pt idx="1">
                  <c:v>НПУиЭ печей </c:v>
                </c:pt>
                <c:pt idx="2">
                  <c:v>НПУиЭ электрооборудования</c:v>
                </c:pt>
                <c:pt idx="3">
                  <c:v>Поджоги</c:v>
                </c:pt>
                <c:pt idx="4">
                  <c:v>Неисправности транспортных средств</c:v>
                </c:pt>
              </c:strCache>
            </c:strRef>
          </c:cat>
          <c:val>
            <c:numRef>
              <c:f>ГРАФИКИ!$P$2:$P$6</c:f>
              <c:numCache>
                <c:formatCode>0.0%</c:formatCode>
                <c:ptCount val="5"/>
                <c:pt idx="0">
                  <c:v>0.25964010282776351</c:v>
                </c:pt>
                <c:pt idx="1">
                  <c:v>0.19408740359897173</c:v>
                </c:pt>
                <c:pt idx="2">
                  <c:v>0.34575835475578404</c:v>
                </c:pt>
                <c:pt idx="3">
                  <c:v>8.7403598971722368E-2</c:v>
                </c:pt>
                <c:pt idx="4">
                  <c:v>6.0411311053984576E-2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8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685039370078738" l="0.19685039370078738" r="0.19685039370078738" t="0.19685039370078738" header="0" footer="0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41147274846775"/>
          <c:y val="0.15132565407055337"/>
          <c:w val="0.78824738900502656"/>
          <c:h val="0.67403773688746171"/>
        </c:manualLayout>
      </c:layout>
      <c:pie3DChart>
        <c:varyColors val="1"/>
        <c:ser>
          <c:idx val="0"/>
          <c:order val="0"/>
          <c:explosion val="11"/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-8.1769748878030134E-3"/>
                  <c:y val="7.693354587212751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376326513002935E-2"/>
                  <c:y val="7.200181784382270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1664832241238158E-2"/>
                  <c:y val="4.503760493027633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1246339281220181E-2"/>
                  <c:y val="-4.95217272258404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0283907937352532E-2"/>
                  <c:y val="-4.81228584989239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ru-RU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ГРАФИКИ!$O$10:$O$15</c:f>
              <c:strCache>
                <c:ptCount val="6"/>
                <c:pt idx="0">
                  <c:v>Носильные вещи (вещи на человеке)</c:v>
                </c:pt>
                <c:pt idx="1">
                  <c:v>Транспортные средства</c:v>
                </c:pt>
                <c:pt idx="2">
                  <c:v>Объекты торговли</c:v>
                </c:pt>
                <c:pt idx="3">
                  <c:v>Производственные здания</c:v>
                </c:pt>
                <c:pt idx="4">
                  <c:v>Жилой сектор</c:v>
                </c:pt>
                <c:pt idx="5">
                  <c:v>Здания сервисного обслуживания населения</c:v>
                </c:pt>
              </c:strCache>
            </c:strRef>
          </c:cat>
          <c:val>
            <c:numRef>
              <c:f>ГРАФИКИ!$P$10:$P$15</c:f>
              <c:numCache>
                <c:formatCode>0.0%</c:formatCode>
                <c:ptCount val="6"/>
                <c:pt idx="0">
                  <c:v>1.7994858611825194E-2</c:v>
                </c:pt>
                <c:pt idx="1">
                  <c:v>7.9691516709511565E-2</c:v>
                </c:pt>
                <c:pt idx="2">
                  <c:v>1.5424164524421594E-2</c:v>
                </c:pt>
                <c:pt idx="3">
                  <c:v>1.7994858611825194E-2</c:v>
                </c:pt>
                <c:pt idx="4">
                  <c:v>0.7994858611825193</c:v>
                </c:pt>
                <c:pt idx="5">
                  <c:v>7.7120822622107968E-3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0.19685039370078738" l="0.19685039370078738" r="0.19685039370078738" t="0.19685039370078738" header="0" footer="0"/>
    <c:pageSetup paperSize="9"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Основные причины пожаров за 11 месяцев 2004-2005г.г.</a:t>
            </a:r>
          </a:p>
        </c:rich>
      </c:tx>
      <c:layout>
        <c:manualLayout>
          <c:xMode val="edge"/>
          <c:yMode val="edge"/>
          <c:x val="0.33841417678326907"/>
          <c:y val="9.37321752306752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9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21897618120194"/>
          <c:y val="0.11531647437583704"/>
          <c:w val="0.68397328890669551"/>
          <c:h val="0.80412472329645635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ГРАФИКИ!$P$1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0705084938518998E-2"/>
                  <c:y val="-2.60728727244135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5716600248708765E-3"/>
                  <c:y val="2.85079877524900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4274977131455964E-2"/>
                  <c:y val="-7.1550521635317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5359314823327419E-2"/>
                  <c:y val="6.03500237739285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4447835256300898E-3"/>
                  <c:y val="1.18406768550238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5056447217375138"/>
                  <c:y val="0.152062047033624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25395047855448138"/>
                  <c:y val="0.162371338357938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ГРАФИКИ!$O$2:$O$6</c:f>
              <c:strCache>
                <c:ptCount val="5"/>
                <c:pt idx="0">
                  <c:v>Неосторожное обращение с огнем</c:v>
                </c:pt>
                <c:pt idx="1">
                  <c:v>НПУиЭ печей </c:v>
                </c:pt>
                <c:pt idx="2">
                  <c:v>НПУиЭ электрооборудования</c:v>
                </c:pt>
                <c:pt idx="3">
                  <c:v>Поджоги</c:v>
                </c:pt>
                <c:pt idx="4">
                  <c:v>Неисправности транспортных средств</c:v>
                </c:pt>
              </c:strCache>
            </c:strRef>
          </c:cat>
          <c:val>
            <c:numRef>
              <c:f>ГРАФИКИ!$P$2:$P$6</c:f>
              <c:numCache>
                <c:formatCode>0.0%</c:formatCode>
                <c:ptCount val="5"/>
                <c:pt idx="0">
                  <c:v>0.25964010282776351</c:v>
                </c:pt>
                <c:pt idx="1">
                  <c:v>0.19408740359897173</c:v>
                </c:pt>
                <c:pt idx="2">
                  <c:v>0.34575835475578404</c:v>
                </c:pt>
                <c:pt idx="3">
                  <c:v>8.7403598971722368E-2</c:v>
                </c:pt>
                <c:pt idx="4">
                  <c:v>6.0411311053984576E-2</c:v>
                </c:pt>
              </c:numCache>
            </c:numRef>
          </c:val>
        </c:ser>
        <c:ser>
          <c:idx val="1"/>
          <c:order val="1"/>
          <c:tx>
            <c:strRef>
              <c:f>ГРАФИКИ!$Q$1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1541987501432692E-4"/>
                  <c:y val="-2.6452912105836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8139304735895766E-3"/>
                  <c:y val="-1.5840180395991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2992552992873424E-3"/>
                  <c:y val="-2.0691385672618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8139304735895766E-3"/>
                  <c:y val="-1.5233029040189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4.2992552992873424E-3"/>
                  <c:y val="-2.0084234316814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18848768852714032"/>
                  <c:y val="0.113402204567448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25620781614161703"/>
                  <c:y val="0.1262888187228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ГРАФИКИ!$O$2:$O$6</c:f>
              <c:strCache>
                <c:ptCount val="5"/>
                <c:pt idx="0">
                  <c:v>Неосторожное обращение с огнем</c:v>
                </c:pt>
                <c:pt idx="1">
                  <c:v>НПУиЭ печей </c:v>
                </c:pt>
                <c:pt idx="2">
                  <c:v>НПУиЭ электрооборудования</c:v>
                </c:pt>
                <c:pt idx="3">
                  <c:v>Поджоги</c:v>
                </c:pt>
                <c:pt idx="4">
                  <c:v>Неисправности транспортных средств</c:v>
                </c:pt>
              </c:strCache>
            </c:strRef>
          </c:cat>
          <c:val>
            <c:numRef>
              <c:f>ГРАФИКИ!$Q$2:$Q$6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4653312"/>
        <c:axId val="104540992"/>
        <c:axId val="0"/>
      </c:bar3DChart>
      <c:catAx>
        <c:axId val="104653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54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40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653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18061060651843"/>
          <c:y val="0.86598046378223337"/>
          <c:w val="0.13882630359694595"/>
          <c:h val="6.95876288659793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Распределение пожаров по основным объектам  за 11 месяцев 2004-2005г.г.      </a:t>
            </a:r>
          </a:p>
        </c:rich>
      </c:tx>
      <c:layout>
        <c:manualLayout>
          <c:xMode val="edge"/>
          <c:yMode val="edge"/>
          <c:x val="0.15011298531250244"/>
          <c:y val="3.287671232877321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233"/>
      <c:rotY val="3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CC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51258702689227"/>
          <c:y val="4.3835616438356192E-2"/>
          <c:w val="0.67381526976453165"/>
          <c:h val="0.884931506849315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ГРАФИКИ!$P$1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6562931609458433E-2"/>
                  <c:y val="1.9168014957034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0612377104530514E-2"/>
                  <c:y val="3.3408262323374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990535750235837E-2"/>
                  <c:y val="1.751181102362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3.9534155605481493E-2"/>
                  <c:y val="2.6272893970445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3.4211079985554692E-2"/>
                  <c:y val="1.8595333117606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6562931609458433E-2"/>
                  <c:y val="1.9137237982238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ГРАФИКИ!$O$10:$O$15</c:f>
              <c:strCache>
                <c:ptCount val="6"/>
                <c:pt idx="0">
                  <c:v>Носильные вещи (вещи на человеке)</c:v>
                </c:pt>
                <c:pt idx="1">
                  <c:v>Транспортные средства</c:v>
                </c:pt>
                <c:pt idx="2">
                  <c:v>Объекты торговли</c:v>
                </c:pt>
                <c:pt idx="3">
                  <c:v>Производственные здания</c:v>
                </c:pt>
                <c:pt idx="4">
                  <c:v>Жилой сектор</c:v>
                </c:pt>
                <c:pt idx="5">
                  <c:v>Здания сервисного обслуживания населения</c:v>
                </c:pt>
              </c:strCache>
            </c:strRef>
          </c:cat>
          <c:val>
            <c:numRef>
              <c:f>ГРАФИКИ!$P$10:$P$15</c:f>
              <c:numCache>
                <c:formatCode>0.0%</c:formatCode>
                <c:ptCount val="6"/>
                <c:pt idx="0">
                  <c:v>1.7994858611825194E-2</c:v>
                </c:pt>
                <c:pt idx="1">
                  <c:v>7.9691516709511565E-2</c:v>
                </c:pt>
                <c:pt idx="2">
                  <c:v>1.5424164524421594E-2</c:v>
                </c:pt>
                <c:pt idx="3">
                  <c:v>1.7994858611825194E-2</c:v>
                </c:pt>
                <c:pt idx="4">
                  <c:v>0.7994858611825193</c:v>
                </c:pt>
                <c:pt idx="5">
                  <c:v>7.7120822622107968E-3</c:v>
                </c:pt>
              </c:numCache>
            </c:numRef>
          </c:val>
        </c:ser>
        <c:ser>
          <c:idx val="1"/>
          <c:order val="1"/>
          <c:tx>
            <c:strRef>
              <c:f>ГРАФИКИ!$Q$1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820269196609287E-2"/>
                  <c:y val="1.2277711861359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3.4463613164486311E-2"/>
                  <c:y val="1.82990687807860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4463613164486311E-2"/>
                  <c:y val="1.0621507927947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5434262815885816E-2"/>
                  <c:y val="8.4236867651817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562931609458433E-2"/>
                  <c:y val="6.22586560241615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948937990184658E-2"/>
                  <c:y val="-4.1911336425412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ГРАФИКИ!$O$10:$O$15</c:f>
              <c:strCache>
                <c:ptCount val="6"/>
                <c:pt idx="0">
                  <c:v>Носильные вещи (вещи на человеке)</c:v>
                </c:pt>
                <c:pt idx="1">
                  <c:v>Транспортные средства</c:v>
                </c:pt>
                <c:pt idx="2">
                  <c:v>Объекты торговли</c:v>
                </c:pt>
                <c:pt idx="3">
                  <c:v>Производственные здания</c:v>
                </c:pt>
                <c:pt idx="4">
                  <c:v>Жилой сектор</c:v>
                </c:pt>
                <c:pt idx="5">
                  <c:v>Здания сервисного обслуживания населения</c:v>
                </c:pt>
              </c:strCache>
            </c:strRef>
          </c:cat>
          <c:val>
            <c:numRef>
              <c:f>ГРАФИКИ!$Q$10:$Q$15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4654336"/>
        <c:axId val="104543296"/>
        <c:axId val="0"/>
      </c:bar3DChart>
      <c:catAx>
        <c:axId val="104654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543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543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104654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548556430453378"/>
          <c:y val="0.85205479452056065"/>
          <c:w val="0.13882630359694448"/>
          <c:h val="7.3972602739724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ГРАФИКИ!$Q$146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ГРАФИКИ!$O$147</c:f>
              <c:strCache>
                <c:ptCount val="1"/>
                <c:pt idx="0">
                  <c:v>Количество пожаров</c:v>
                </c:pt>
              </c:strCache>
            </c:strRef>
          </c:cat>
          <c:val>
            <c:numRef>
              <c:f>ГРАФИКИ!$Q$147</c:f>
              <c:numCache>
                <c:formatCode>0</c:formatCode>
                <c:ptCount val="1"/>
                <c:pt idx="0">
                  <c:v>748</c:v>
                </c:pt>
              </c:numCache>
            </c:numRef>
          </c:val>
        </c:ser>
        <c:ser>
          <c:idx val="1"/>
          <c:order val="1"/>
          <c:tx>
            <c:strRef>
              <c:f>ГРАФИКИ!$P$146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1C40F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ГРАФИКИ!$O$147</c:f>
              <c:strCache>
                <c:ptCount val="1"/>
                <c:pt idx="0">
                  <c:v>Количество пожаров</c:v>
                </c:pt>
              </c:strCache>
            </c:strRef>
          </c:cat>
          <c:val>
            <c:numRef>
              <c:f>ГРАФИКИ!$P$147</c:f>
              <c:numCache>
                <c:formatCode>General</c:formatCode>
                <c:ptCount val="1"/>
                <c:pt idx="0">
                  <c:v>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"/>
        <c:axId val="106725376"/>
        <c:axId val="106369536"/>
      </c:barChart>
      <c:catAx>
        <c:axId val="106725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crossAx val="106369536"/>
        <c:crosses val="autoZero"/>
        <c:auto val="1"/>
        <c:lblAlgn val="ctr"/>
        <c:lblOffset val="100"/>
        <c:noMultiLvlLbl val="0"/>
      </c:catAx>
      <c:valAx>
        <c:axId val="1063695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6725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8814678137985765E-2"/>
          <c:y val="4.5481189851268734E-2"/>
          <c:w val="0.23938910224777876"/>
          <c:h val="5.930533683290469E-2"/>
        </c:manualLayout>
      </c:layout>
      <c:overlay val="0"/>
      <c:spPr>
        <a:ln w="6350">
          <a:solidFill>
            <a:sysClr val="windowText" lastClr="000000"/>
          </a:solidFill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ГРАФИКИ!$Q$146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ГРАФИКИ!$O$147</c:f>
              <c:strCache>
                <c:ptCount val="1"/>
                <c:pt idx="0">
                  <c:v>Количество пожаров</c:v>
                </c:pt>
              </c:strCache>
            </c:strRef>
          </c:cat>
          <c:val>
            <c:numRef>
              <c:f>ГРАФИКИ!$Q$148</c:f>
              <c:numCache>
                <c:formatCode>General</c:formatCode>
                <c:ptCount val="1"/>
                <c:pt idx="0">
                  <c:v>57</c:v>
                </c:pt>
              </c:numCache>
            </c:numRef>
          </c:val>
        </c:ser>
        <c:ser>
          <c:idx val="1"/>
          <c:order val="1"/>
          <c:tx>
            <c:strRef>
              <c:f>ГРАФИКИ!$P$146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1C40F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ГРАФИКИ!$O$148</c:f>
              <c:strCache>
                <c:ptCount val="1"/>
                <c:pt idx="0">
                  <c:v>Количество погибших</c:v>
                </c:pt>
              </c:strCache>
            </c:strRef>
          </c:cat>
          <c:val>
            <c:numRef>
              <c:f>ГРАФИКИ!$P$148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"/>
        <c:axId val="106725888"/>
        <c:axId val="106371840"/>
      </c:barChart>
      <c:catAx>
        <c:axId val="106725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crossAx val="106371840"/>
        <c:crosses val="autoZero"/>
        <c:auto val="1"/>
        <c:lblAlgn val="ctr"/>
        <c:lblOffset val="100"/>
        <c:noMultiLvlLbl val="0"/>
      </c:catAx>
      <c:valAx>
        <c:axId val="106371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0672588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9.8814668999708768E-2"/>
          <c:y val="4.5481189851268734E-2"/>
          <c:w val="0.23927019539225144"/>
          <c:h val="6.0688757655292989E-2"/>
        </c:manualLayout>
      </c:layout>
      <c:overlay val="0"/>
      <c:spPr>
        <a:ln w="6350">
          <a:solidFill>
            <a:sysClr val="windowText" lastClr="000000"/>
          </a:solidFill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</xdr:col>
      <xdr:colOff>0</xdr:colOff>
      <xdr:row>26</xdr:row>
      <xdr:rowOff>0</xdr:rowOff>
    </xdr:to>
    <xdr:cxnSp macro="">
      <xdr:nvCxnSpPr>
        <xdr:cNvPr id="5" name="Прямая соединительная линия 4"/>
        <xdr:cNvCxnSpPr/>
      </xdr:nvCxnSpPr>
      <xdr:spPr>
        <a:xfrm flipH="1">
          <a:off x="0" y="6429375"/>
          <a:ext cx="2276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15</xdr:row>
      <xdr:rowOff>57150</xdr:rowOff>
    </xdr:from>
    <xdr:to>
      <xdr:col>4</xdr:col>
      <xdr:colOff>114300</xdr:colOff>
      <xdr:row>24</xdr:row>
      <xdr:rowOff>66675</xdr:rowOff>
    </xdr:to>
    <xdr:sp macro="[0]!TO_GKCS" textlink="">
      <xdr:nvSpPr>
        <xdr:cNvPr id="1042" name="Oval 18" descr="Водяные капли"/>
        <xdr:cNvSpPr>
          <a:spLocks noChangeArrowheads="1"/>
        </xdr:cNvSpPr>
      </xdr:nvSpPr>
      <xdr:spPr bwMode="auto">
        <a:xfrm>
          <a:off x="2676525" y="2619375"/>
          <a:ext cx="1552575" cy="1495425"/>
        </a:xfrm>
        <a:prstGeom prst="ellipse">
          <a:avLst/>
        </a:prstGeom>
        <a:blipFill dpi="0" rotWithShape="1">
          <a:blip xmlns:r="http://schemas.openxmlformats.org/officeDocument/2006/relationships" r:embed="rId1" cstate="print"/>
          <a:srcRect/>
          <a:tile tx="0" ty="0" sx="100000" sy="100000" flip="none" algn="tl"/>
        </a:blipFill>
        <a:ln w="57150">
          <a:solidFill>
            <a:srgbClr val="0000FF"/>
          </a:solidFill>
          <a:prstDash val="sysDot"/>
          <a:round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Impact"/>
            </a:rPr>
            <a:t>Отправить </a:t>
          </a:r>
          <a:r>
            <a:rPr lang="en-US" sz="1400" b="0" i="0" strike="noStrike">
              <a:solidFill>
                <a:srgbClr val="000000"/>
              </a:solidFill>
              <a:latin typeface="Impact"/>
            </a:rPr>
            <a:t>Grig1 </a:t>
          </a:r>
          <a:r>
            <a:rPr lang="ru-RU" sz="1400" b="0" i="0" strike="noStrike">
              <a:solidFill>
                <a:srgbClr val="000000"/>
              </a:solidFill>
              <a:latin typeface="Impact"/>
            </a:rPr>
            <a:t>и </a:t>
          </a:r>
          <a:r>
            <a:rPr lang="en-US" sz="1400" b="0" i="0" strike="noStrike">
              <a:solidFill>
                <a:srgbClr val="000000"/>
              </a:solidFill>
              <a:latin typeface="Impact"/>
            </a:rPr>
            <a:t>Grig2 </a:t>
          </a:r>
          <a:r>
            <a:rPr lang="ru-RU" sz="1400" b="0" i="0" strike="noStrike">
              <a:solidFill>
                <a:srgbClr val="000000"/>
              </a:solidFill>
              <a:latin typeface="Impact"/>
            </a:rPr>
            <a:t>на проспект Мира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19050</xdr:rowOff>
        </xdr:from>
        <xdr:to>
          <xdr:col>6</xdr:col>
          <xdr:colOff>123825</xdr:colOff>
          <xdr:row>8</xdr:row>
          <xdr:rowOff>152400</xdr:rowOff>
        </xdr:to>
        <xdr:sp macro="" textlink="">
          <xdr:nvSpPr>
            <xdr:cNvPr id="1033" name="CommandButton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4</xdr:row>
          <xdr:rowOff>0</xdr:rowOff>
        </xdr:from>
        <xdr:to>
          <xdr:col>6</xdr:col>
          <xdr:colOff>114300</xdr:colOff>
          <xdr:row>5</xdr:row>
          <xdr:rowOff>161925</xdr:rowOff>
        </xdr:to>
        <xdr:sp macro="" textlink="">
          <xdr:nvSpPr>
            <xdr:cNvPr id="1034" name="CommandButton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</xdr:row>
          <xdr:rowOff>47625</xdr:rowOff>
        </xdr:from>
        <xdr:to>
          <xdr:col>6</xdr:col>
          <xdr:colOff>114300</xdr:colOff>
          <xdr:row>2</xdr:row>
          <xdr:rowOff>180975</xdr:rowOff>
        </xdr:to>
        <xdr:sp macro="" textlink="">
          <xdr:nvSpPr>
            <xdr:cNvPr id="1035" name="CommandButton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</xdr:row>
          <xdr:rowOff>9525</xdr:rowOff>
        </xdr:from>
        <xdr:to>
          <xdr:col>8</xdr:col>
          <xdr:colOff>238125</xdr:colOff>
          <xdr:row>8</xdr:row>
          <xdr:rowOff>123825</xdr:rowOff>
        </xdr:to>
        <xdr:sp macro="" textlink="">
          <xdr:nvSpPr>
            <xdr:cNvPr id="1036" name="CommandButton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1</xdr:row>
          <xdr:rowOff>9525</xdr:rowOff>
        </xdr:from>
        <xdr:to>
          <xdr:col>10</xdr:col>
          <xdr:colOff>171450</xdr:colOff>
          <xdr:row>2</xdr:row>
          <xdr:rowOff>123825</xdr:rowOff>
        </xdr:to>
        <xdr:sp macro="" textlink="">
          <xdr:nvSpPr>
            <xdr:cNvPr id="1037" name="CommandButton5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2</xdr:row>
          <xdr:rowOff>171450</xdr:rowOff>
        </xdr:from>
        <xdr:to>
          <xdr:col>10</xdr:col>
          <xdr:colOff>171450</xdr:colOff>
          <xdr:row>4</xdr:row>
          <xdr:rowOff>104775</xdr:rowOff>
        </xdr:to>
        <xdr:sp macro="" textlink="">
          <xdr:nvSpPr>
            <xdr:cNvPr id="1039" name="CommandButton6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400050</xdr:colOff>
          <xdr:row>5</xdr:row>
          <xdr:rowOff>0</xdr:rowOff>
        </xdr:from>
        <xdr:to>
          <xdr:col>10</xdr:col>
          <xdr:colOff>171450</xdr:colOff>
          <xdr:row>6</xdr:row>
          <xdr:rowOff>104775</xdr:rowOff>
        </xdr:to>
        <xdr:sp macro="" textlink="">
          <xdr:nvSpPr>
            <xdr:cNvPr id="1040" name="CommandButton7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7</xdr:row>
          <xdr:rowOff>38100</xdr:rowOff>
        </xdr:from>
        <xdr:to>
          <xdr:col>10</xdr:col>
          <xdr:colOff>171450</xdr:colOff>
          <xdr:row>9</xdr:row>
          <xdr:rowOff>19050</xdr:rowOff>
        </xdr:to>
        <xdr:sp macro="" textlink="">
          <xdr:nvSpPr>
            <xdr:cNvPr id="1041" name="CommandButton8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9</xdr:row>
          <xdr:rowOff>123825</xdr:rowOff>
        </xdr:from>
        <xdr:to>
          <xdr:col>10</xdr:col>
          <xdr:colOff>190500</xdr:colOff>
          <xdr:row>11</xdr:row>
          <xdr:rowOff>85725</xdr:rowOff>
        </xdr:to>
        <xdr:sp macro="" textlink="">
          <xdr:nvSpPr>
            <xdr:cNvPr id="1046" name="CommandButton9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847725</xdr:colOff>
      <xdr:row>15</xdr:row>
      <xdr:rowOff>0</xdr:rowOff>
    </xdr:from>
    <xdr:to>
      <xdr:col>16</xdr:col>
      <xdr:colOff>0</xdr:colOff>
      <xdr:row>32</xdr:row>
      <xdr:rowOff>85725</xdr:rowOff>
    </xdr:to>
    <xdr:graphicFrame macro="">
      <xdr:nvGraphicFramePr>
        <xdr:cNvPr id="307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24</xdr:row>
      <xdr:rowOff>219075</xdr:rowOff>
    </xdr:from>
    <xdr:to>
      <xdr:col>10</xdr:col>
      <xdr:colOff>0</xdr:colOff>
      <xdr:row>53</xdr:row>
      <xdr:rowOff>28575</xdr:rowOff>
    </xdr:to>
    <xdr:graphicFrame macro="">
      <xdr:nvGraphicFramePr>
        <xdr:cNvPr id="307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113</xdr:row>
      <xdr:rowOff>133350</xdr:rowOff>
    </xdr:from>
    <xdr:to>
      <xdr:col>10</xdr:col>
      <xdr:colOff>593912</xdr:colOff>
      <xdr:row>144</xdr:row>
      <xdr:rowOff>134470</xdr:rowOff>
    </xdr:to>
    <xdr:graphicFrame macro="">
      <xdr:nvGraphicFramePr>
        <xdr:cNvPr id="614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179294</xdr:colOff>
      <xdr:row>1</xdr:row>
      <xdr:rowOff>11206</xdr:rowOff>
    </xdr:from>
    <xdr:to>
      <xdr:col>12</xdr:col>
      <xdr:colOff>246530</xdr:colOff>
      <xdr:row>26</xdr:row>
      <xdr:rowOff>145676</xdr:rowOff>
    </xdr:to>
    <xdr:graphicFrame macro="">
      <xdr:nvGraphicFramePr>
        <xdr:cNvPr id="6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26</xdr:row>
      <xdr:rowOff>38101</xdr:rowOff>
    </xdr:from>
    <xdr:to>
      <xdr:col>11</xdr:col>
      <xdr:colOff>593912</xdr:colOff>
      <xdr:row>56</xdr:row>
      <xdr:rowOff>56029</xdr:rowOff>
    </xdr:to>
    <xdr:graphicFrame macro="">
      <xdr:nvGraphicFramePr>
        <xdr:cNvPr id="61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47625</xdr:rowOff>
    </xdr:from>
    <xdr:to>
      <xdr:col>12</xdr:col>
      <xdr:colOff>590550</xdr:colOff>
      <xdr:row>78</xdr:row>
      <xdr:rowOff>19050</xdr:rowOff>
    </xdr:to>
    <xdr:graphicFrame macro="">
      <xdr:nvGraphicFramePr>
        <xdr:cNvPr id="614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79</xdr:row>
      <xdr:rowOff>85725</xdr:rowOff>
    </xdr:from>
    <xdr:to>
      <xdr:col>13</xdr:col>
      <xdr:colOff>28575</xdr:colOff>
      <xdr:row>100</xdr:row>
      <xdr:rowOff>133350</xdr:rowOff>
    </xdr:to>
    <xdr:graphicFrame macro="">
      <xdr:nvGraphicFramePr>
        <xdr:cNvPr id="614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2095500</xdr:colOff>
      <xdr:row>127</xdr:row>
      <xdr:rowOff>47625</xdr:rowOff>
    </xdr:from>
    <xdr:to>
      <xdr:col>14</xdr:col>
      <xdr:colOff>2714625</xdr:colOff>
      <xdr:row>129</xdr:row>
      <xdr:rowOff>152400</xdr:rowOff>
    </xdr:to>
    <xdr:grpSp>
      <xdr:nvGrpSpPr>
        <xdr:cNvPr id="6154" name="Group 885"/>
        <xdr:cNvGrpSpPr>
          <a:grpSpLocks/>
        </xdr:cNvGrpSpPr>
      </xdr:nvGrpSpPr>
      <xdr:grpSpPr bwMode="auto">
        <a:xfrm>
          <a:off x="11105029" y="20845743"/>
          <a:ext cx="619125" cy="418539"/>
          <a:chOff x="7273" y="3581"/>
          <a:chExt cx="775" cy="679"/>
        </a:xfrm>
      </xdr:grpSpPr>
      <xdr:sp macro="" textlink="">
        <xdr:nvSpPr>
          <xdr:cNvPr id="6178" name="AutoShape 886"/>
          <xdr:cNvSpPr>
            <a:spLocks noChangeArrowheads="1"/>
          </xdr:cNvSpPr>
        </xdr:nvSpPr>
        <xdr:spPr bwMode="auto">
          <a:xfrm rot="21172499" flipV="1">
            <a:off x="7390" y="3581"/>
            <a:ext cx="540" cy="179"/>
          </a:xfrm>
          <a:prstGeom prst="curvedDownArrow">
            <a:avLst>
              <a:gd name="adj1" fmla="val 60335"/>
              <a:gd name="adj2" fmla="val 135196"/>
              <a:gd name="adj3" fmla="val 33333"/>
            </a:avLst>
          </a:prstGeom>
          <a:solidFill>
            <a:srgbClr val="FFFF00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31" name="AutoShape 887"/>
          <xdr:cNvSpPr>
            <a:spLocks noChangeArrowheads="1"/>
          </xdr:cNvSpPr>
        </xdr:nvSpPr>
        <xdr:spPr bwMode="auto">
          <a:xfrm>
            <a:off x="7273" y="3853"/>
            <a:ext cx="775" cy="40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000" b="1" i="0" strike="noStrike">
                <a:solidFill>
                  <a:srgbClr val="000000"/>
                </a:solidFill>
                <a:latin typeface="Calibri"/>
              </a:rPr>
              <a:t>+40%</a:t>
            </a:r>
          </a:p>
          <a:p>
            <a:pPr algn="l" rtl="1">
              <a:defRPr sz="1000"/>
            </a:pPr>
            <a:endParaRPr lang="ru-RU" sz="800" b="0" i="0" strike="noStrike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14</xdr:col>
      <xdr:colOff>828675</xdr:colOff>
      <xdr:row>127</xdr:row>
      <xdr:rowOff>85725</xdr:rowOff>
    </xdr:from>
    <xdr:to>
      <xdr:col>14</xdr:col>
      <xdr:colOff>1447800</xdr:colOff>
      <xdr:row>130</xdr:row>
      <xdr:rowOff>38100</xdr:rowOff>
    </xdr:to>
    <xdr:grpSp>
      <xdr:nvGrpSpPr>
        <xdr:cNvPr id="6155" name="Group 882"/>
        <xdr:cNvGrpSpPr>
          <a:grpSpLocks/>
        </xdr:cNvGrpSpPr>
      </xdr:nvGrpSpPr>
      <xdr:grpSpPr bwMode="auto">
        <a:xfrm>
          <a:off x="9838204" y="20883843"/>
          <a:ext cx="619125" cy="423022"/>
          <a:chOff x="9358" y="3569"/>
          <a:chExt cx="795" cy="642"/>
        </a:xfrm>
      </xdr:grpSpPr>
      <xdr:sp macro="" textlink="">
        <xdr:nvSpPr>
          <xdr:cNvPr id="6176" name="AutoShape 883"/>
          <xdr:cNvSpPr>
            <a:spLocks noChangeArrowheads="1"/>
          </xdr:cNvSpPr>
        </xdr:nvSpPr>
        <xdr:spPr bwMode="auto">
          <a:xfrm>
            <a:off x="9484" y="3569"/>
            <a:ext cx="540" cy="180"/>
          </a:xfrm>
          <a:prstGeom prst="curvedDownArrow">
            <a:avLst>
              <a:gd name="adj1" fmla="val 60000"/>
              <a:gd name="adj2" fmla="val 120000"/>
              <a:gd name="adj3" fmla="val 33333"/>
            </a:avLst>
          </a:prstGeom>
          <a:solidFill>
            <a:srgbClr val="FFFF00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29" name="AutoShape 884"/>
          <xdr:cNvSpPr>
            <a:spLocks noChangeArrowheads="1"/>
          </xdr:cNvSpPr>
        </xdr:nvSpPr>
        <xdr:spPr bwMode="auto">
          <a:xfrm>
            <a:off x="9358" y="3806"/>
            <a:ext cx="795" cy="405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000" b="1" i="0" strike="noStrike">
                <a:solidFill>
                  <a:srgbClr val="000000"/>
                </a:solidFill>
                <a:latin typeface="Times New Roman"/>
                <a:cs typeface="Times New Roman"/>
              </a:rPr>
              <a:t>-</a:t>
            </a:r>
            <a:r>
              <a:rPr lang="ru-RU" sz="1000" b="1" i="0" strike="noStrike">
                <a:solidFill>
                  <a:srgbClr val="000000"/>
                </a:solidFill>
                <a:latin typeface="Calibri"/>
              </a:rPr>
              <a:t>15,7</a:t>
            </a:r>
          </a:p>
          <a:p>
            <a:pPr algn="l" rtl="1">
              <a:defRPr sz="1000"/>
            </a:pPr>
            <a:endParaRPr lang="ru-RU" sz="800" b="0" i="0" strike="noStrike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15</xdr:col>
      <xdr:colOff>276225</xdr:colOff>
      <xdr:row>127</xdr:row>
      <xdr:rowOff>57150</xdr:rowOff>
    </xdr:from>
    <xdr:to>
      <xdr:col>16</xdr:col>
      <xdr:colOff>142875</xdr:colOff>
      <xdr:row>130</xdr:row>
      <xdr:rowOff>9525</xdr:rowOff>
    </xdr:to>
    <xdr:grpSp>
      <xdr:nvGrpSpPr>
        <xdr:cNvPr id="6156" name="Group 885"/>
        <xdr:cNvGrpSpPr>
          <a:grpSpLocks/>
        </xdr:cNvGrpSpPr>
      </xdr:nvGrpSpPr>
      <xdr:grpSpPr bwMode="auto">
        <a:xfrm>
          <a:off x="12378578" y="20855268"/>
          <a:ext cx="617444" cy="423022"/>
          <a:chOff x="7273" y="3581"/>
          <a:chExt cx="775" cy="679"/>
        </a:xfrm>
      </xdr:grpSpPr>
      <xdr:sp macro="" textlink="">
        <xdr:nvSpPr>
          <xdr:cNvPr id="6174" name="AutoShape 886"/>
          <xdr:cNvSpPr>
            <a:spLocks noChangeArrowheads="1"/>
          </xdr:cNvSpPr>
        </xdr:nvSpPr>
        <xdr:spPr bwMode="auto">
          <a:xfrm rot="21172499" flipV="1">
            <a:off x="7390" y="3581"/>
            <a:ext cx="540" cy="179"/>
          </a:xfrm>
          <a:prstGeom prst="curvedDownArrow">
            <a:avLst>
              <a:gd name="adj1" fmla="val 60335"/>
              <a:gd name="adj2" fmla="val 135196"/>
              <a:gd name="adj3" fmla="val 33333"/>
            </a:avLst>
          </a:prstGeom>
          <a:solidFill>
            <a:srgbClr val="FFFF00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2" name="AutoShape 887"/>
          <xdr:cNvSpPr>
            <a:spLocks noChangeArrowheads="1"/>
          </xdr:cNvSpPr>
        </xdr:nvSpPr>
        <xdr:spPr bwMode="auto">
          <a:xfrm>
            <a:off x="7273" y="3847"/>
            <a:ext cx="775" cy="413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000" b="1" i="0" strike="noStrike">
                <a:solidFill>
                  <a:srgbClr val="000000"/>
                </a:solidFill>
                <a:latin typeface="Calibri"/>
              </a:rPr>
              <a:t>+54,9%</a:t>
            </a:r>
          </a:p>
          <a:p>
            <a:pPr algn="l" rtl="1">
              <a:defRPr sz="1000"/>
            </a:pPr>
            <a:endParaRPr lang="ru-RU" sz="800" b="0" i="0" strike="noStrike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17</xdr:col>
      <xdr:colOff>66675</xdr:colOff>
      <xdr:row>128</xdr:row>
      <xdr:rowOff>95250</xdr:rowOff>
    </xdr:from>
    <xdr:to>
      <xdr:col>18</xdr:col>
      <xdr:colOff>219075</xdr:colOff>
      <xdr:row>131</xdr:row>
      <xdr:rowOff>66675</xdr:rowOff>
    </xdr:to>
    <xdr:grpSp>
      <xdr:nvGrpSpPr>
        <xdr:cNvPr id="6157" name="Group 885"/>
        <xdr:cNvGrpSpPr>
          <a:grpSpLocks/>
        </xdr:cNvGrpSpPr>
      </xdr:nvGrpSpPr>
      <xdr:grpSpPr bwMode="auto">
        <a:xfrm>
          <a:off x="13648204" y="21050250"/>
          <a:ext cx="611842" cy="442072"/>
          <a:chOff x="7273" y="3581"/>
          <a:chExt cx="775" cy="679"/>
        </a:xfrm>
      </xdr:grpSpPr>
      <xdr:sp macro="" textlink="">
        <xdr:nvSpPr>
          <xdr:cNvPr id="6172" name="AutoShape 886"/>
          <xdr:cNvSpPr>
            <a:spLocks noChangeArrowheads="1"/>
          </xdr:cNvSpPr>
        </xdr:nvSpPr>
        <xdr:spPr bwMode="auto">
          <a:xfrm rot="21172499" flipV="1">
            <a:off x="7390" y="3581"/>
            <a:ext cx="540" cy="179"/>
          </a:xfrm>
          <a:prstGeom prst="curvedDownArrow">
            <a:avLst>
              <a:gd name="adj1" fmla="val 60335"/>
              <a:gd name="adj2" fmla="val 135196"/>
              <a:gd name="adj3" fmla="val 33333"/>
            </a:avLst>
          </a:prstGeom>
          <a:solidFill>
            <a:srgbClr val="FFFF00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35" name="AutoShape 887"/>
          <xdr:cNvSpPr>
            <a:spLocks noChangeArrowheads="1"/>
          </xdr:cNvSpPr>
        </xdr:nvSpPr>
        <xdr:spPr bwMode="auto">
          <a:xfrm>
            <a:off x="7273" y="3836"/>
            <a:ext cx="775" cy="42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000" b="1" i="0" strike="noStrike">
                <a:solidFill>
                  <a:srgbClr val="000000"/>
                </a:solidFill>
                <a:latin typeface="Calibri"/>
              </a:rPr>
              <a:t>+27,2%</a:t>
            </a:r>
          </a:p>
          <a:p>
            <a:pPr algn="l" rtl="1">
              <a:defRPr sz="1000"/>
            </a:pPr>
            <a:endParaRPr lang="ru-RU" sz="800" b="0" i="0" strike="noStrike">
              <a:solidFill>
                <a:srgbClr val="000000"/>
              </a:solidFill>
              <a:latin typeface="Calibri"/>
            </a:endParaRPr>
          </a:p>
        </xdr:txBody>
      </xdr:sp>
    </xdr:grpSp>
    <xdr:clientData/>
  </xdr:twoCellAnchor>
  <xdr:twoCellAnchor>
    <xdr:from>
      <xdr:col>13</xdr:col>
      <xdr:colOff>171450</xdr:colOff>
      <xdr:row>126</xdr:row>
      <xdr:rowOff>38100</xdr:rowOff>
    </xdr:from>
    <xdr:to>
      <xdr:col>14</xdr:col>
      <xdr:colOff>180975</xdr:colOff>
      <xdr:row>129</xdr:row>
      <xdr:rowOff>28575</xdr:rowOff>
    </xdr:to>
    <xdr:grpSp>
      <xdr:nvGrpSpPr>
        <xdr:cNvPr id="6158" name="Group 882"/>
        <xdr:cNvGrpSpPr>
          <a:grpSpLocks/>
        </xdr:cNvGrpSpPr>
      </xdr:nvGrpSpPr>
      <xdr:grpSpPr bwMode="auto">
        <a:xfrm>
          <a:off x="8575862" y="20679335"/>
          <a:ext cx="614642" cy="461122"/>
          <a:chOff x="9358" y="3569"/>
          <a:chExt cx="795" cy="510"/>
        </a:xfrm>
      </xdr:grpSpPr>
      <xdr:sp macro="" textlink="">
        <xdr:nvSpPr>
          <xdr:cNvPr id="6170" name="AutoShape 883"/>
          <xdr:cNvSpPr>
            <a:spLocks noChangeArrowheads="1"/>
          </xdr:cNvSpPr>
        </xdr:nvSpPr>
        <xdr:spPr bwMode="auto">
          <a:xfrm>
            <a:off x="9484" y="3569"/>
            <a:ext cx="540" cy="180"/>
          </a:xfrm>
          <a:prstGeom prst="curvedDownArrow">
            <a:avLst>
              <a:gd name="adj1" fmla="val 60000"/>
              <a:gd name="adj2" fmla="val 120000"/>
              <a:gd name="adj3" fmla="val 33333"/>
            </a:avLst>
          </a:prstGeom>
          <a:solidFill>
            <a:srgbClr val="FFFF00"/>
          </a:solidFill>
          <a:ln w="6350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7028" name="AutoShape 884"/>
          <xdr:cNvSpPr>
            <a:spLocks noChangeArrowheads="1"/>
          </xdr:cNvSpPr>
        </xdr:nvSpPr>
        <xdr:spPr bwMode="auto">
          <a:xfrm>
            <a:off x="9358" y="3793"/>
            <a:ext cx="795" cy="28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defRPr sz="1000"/>
            </a:pPr>
            <a:r>
              <a:rPr lang="ru-RU" sz="1000" b="1" i="0" strike="noStrike">
                <a:solidFill>
                  <a:srgbClr val="000000"/>
                </a:solidFill>
                <a:latin typeface="Times New Roman" pitchFamily="18" charset="0"/>
                <a:cs typeface="Times New Roman" pitchFamily="18" charset="0"/>
              </a:rPr>
              <a:t>-9,6%</a:t>
            </a:r>
          </a:p>
        </xdr:txBody>
      </xdr:sp>
    </xdr:grpSp>
    <xdr:clientData/>
  </xdr:twoCellAnchor>
  <xdr:twoCellAnchor>
    <xdr:from>
      <xdr:col>18</xdr:col>
      <xdr:colOff>581025</xdr:colOff>
      <xdr:row>131</xdr:row>
      <xdr:rowOff>9525</xdr:rowOff>
    </xdr:from>
    <xdr:to>
      <xdr:col>31</xdr:col>
      <xdr:colOff>171450</xdr:colOff>
      <xdr:row>157</xdr:row>
      <xdr:rowOff>95250</xdr:rowOff>
    </xdr:to>
    <xdr:graphicFrame macro="">
      <xdr:nvGraphicFramePr>
        <xdr:cNvPr id="6159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361950</xdr:colOff>
      <xdr:row>131</xdr:row>
      <xdr:rowOff>38100</xdr:rowOff>
    </xdr:from>
    <xdr:to>
      <xdr:col>46</xdr:col>
      <xdr:colOff>114300</xdr:colOff>
      <xdr:row>157</xdr:row>
      <xdr:rowOff>123825</xdr:rowOff>
    </xdr:to>
    <xdr:graphicFrame macro="">
      <xdr:nvGraphicFramePr>
        <xdr:cNvPr id="6160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561975</xdr:colOff>
      <xdr:row>158</xdr:row>
      <xdr:rowOff>114300</xdr:rowOff>
    </xdr:from>
    <xdr:to>
      <xdr:col>31</xdr:col>
      <xdr:colOff>142875</xdr:colOff>
      <xdr:row>187</xdr:row>
      <xdr:rowOff>28575</xdr:rowOff>
    </xdr:to>
    <xdr:graphicFrame macro="">
      <xdr:nvGraphicFramePr>
        <xdr:cNvPr id="6161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561975</xdr:colOff>
      <xdr:row>188</xdr:row>
      <xdr:rowOff>66675</xdr:rowOff>
    </xdr:from>
    <xdr:to>
      <xdr:col>31</xdr:col>
      <xdr:colOff>142875</xdr:colOff>
      <xdr:row>216</xdr:row>
      <xdr:rowOff>133350</xdr:rowOff>
    </xdr:to>
    <xdr:graphicFrame macro="">
      <xdr:nvGraphicFramePr>
        <xdr:cNvPr id="6162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</xdr:colOff>
      <xdr:row>346</xdr:row>
      <xdr:rowOff>95250</xdr:rowOff>
    </xdr:from>
    <xdr:to>
      <xdr:col>11</xdr:col>
      <xdr:colOff>123825</xdr:colOff>
      <xdr:row>366</xdr:row>
      <xdr:rowOff>95250</xdr:rowOff>
    </xdr:to>
    <xdr:graphicFrame macro="">
      <xdr:nvGraphicFramePr>
        <xdr:cNvPr id="6163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370</xdr:row>
      <xdr:rowOff>47625</xdr:rowOff>
    </xdr:from>
    <xdr:to>
      <xdr:col>10</xdr:col>
      <xdr:colOff>342900</xdr:colOff>
      <xdr:row>398</xdr:row>
      <xdr:rowOff>142875</xdr:rowOff>
    </xdr:to>
    <xdr:graphicFrame macro="">
      <xdr:nvGraphicFramePr>
        <xdr:cNvPr id="6164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314325</xdr:colOff>
      <xdr:row>8</xdr:row>
      <xdr:rowOff>123266</xdr:rowOff>
    </xdr:from>
    <xdr:to>
      <xdr:col>26</xdr:col>
      <xdr:colOff>403412</xdr:colOff>
      <xdr:row>29</xdr:row>
      <xdr:rowOff>100853</xdr:rowOff>
    </xdr:to>
    <xdr:graphicFrame macro="">
      <xdr:nvGraphicFramePr>
        <xdr:cNvPr id="6165" name="Диаграмма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381000</xdr:colOff>
      <xdr:row>33</xdr:row>
      <xdr:rowOff>152400</xdr:rowOff>
    </xdr:from>
    <xdr:to>
      <xdr:col>26</xdr:col>
      <xdr:colOff>425824</xdr:colOff>
      <xdr:row>53</xdr:row>
      <xdr:rowOff>100853</xdr:rowOff>
    </xdr:to>
    <xdr:graphicFrame macro="">
      <xdr:nvGraphicFramePr>
        <xdr:cNvPr id="6166" name="Диаграмма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104775</xdr:colOff>
      <xdr:row>156</xdr:row>
      <xdr:rowOff>57150</xdr:rowOff>
    </xdr:from>
    <xdr:to>
      <xdr:col>13</xdr:col>
      <xdr:colOff>276225</xdr:colOff>
      <xdr:row>184</xdr:row>
      <xdr:rowOff>66675</xdr:rowOff>
    </xdr:to>
    <xdr:graphicFrame macro="">
      <xdr:nvGraphicFramePr>
        <xdr:cNvPr id="6167" name="Диаграмма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82364</xdr:colOff>
      <xdr:row>186</xdr:row>
      <xdr:rowOff>50988</xdr:rowOff>
    </xdr:from>
    <xdr:to>
      <xdr:col>13</xdr:col>
      <xdr:colOff>291354</xdr:colOff>
      <xdr:row>212</xdr:row>
      <xdr:rowOff>50988</xdr:rowOff>
    </xdr:to>
    <xdr:graphicFrame macro="">
      <xdr:nvGraphicFramePr>
        <xdr:cNvPr id="6168" name="Диаграмма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119344</xdr:colOff>
      <xdr:row>215</xdr:row>
      <xdr:rowOff>39781</xdr:rowOff>
    </xdr:from>
    <xdr:to>
      <xdr:col>13</xdr:col>
      <xdr:colOff>280148</xdr:colOff>
      <xdr:row>242</xdr:row>
      <xdr:rowOff>134471</xdr:rowOff>
    </xdr:to>
    <xdr:graphicFrame macro="">
      <xdr:nvGraphicFramePr>
        <xdr:cNvPr id="6169" name="Диаграмма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108056</xdr:colOff>
      <xdr:row>244</xdr:row>
      <xdr:rowOff>145677</xdr:rowOff>
    </xdr:from>
    <xdr:to>
      <xdr:col>13</xdr:col>
      <xdr:colOff>0</xdr:colOff>
      <xdr:row>266</xdr:row>
      <xdr:rowOff>29616</xdr:rowOff>
    </xdr:to>
    <xdr:graphicFrame macro="">
      <xdr:nvGraphicFramePr>
        <xdr:cNvPr id="39" name="Диаграмма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161685</xdr:colOff>
      <xdr:row>267</xdr:row>
      <xdr:rowOff>60830</xdr:rowOff>
    </xdr:from>
    <xdr:to>
      <xdr:col>13</xdr:col>
      <xdr:colOff>44823</xdr:colOff>
      <xdr:row>289</xdr:row>
      <xdr:rowOff>100852</xdr:rowOff>
    </xdr:to>
    <xdr:graphicFrame macro="">
      <xdr:nvGraphicFramePr>
        <xdr:cNvPr id="40" name="Диаграмма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148077</xdr:colOff>
      <xdr:row>290</xdr:row>
      <xdr:rowOff>112058</xdr:rowOff>
    </xdr:from>
    <xdr:to>
      <xdr:col>13</xdr:col>
      <xdr:colOff>33617</xdr:colOff>
      <xdr:row>312</xdr:row>
      <xdr:rowOff>100853</xdr:rowOff>
    </xdr:to>
    <xdr:graphicFrame macro="">
      <xdr:nvGraphicFramePr>
        <xdr:cNvPr id="41" name="Диаграмма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ugps@samara01.ru" TargetMode="External"/><Relationship Id="rId13" Type="http://schemas.openxmlformats.org/officeDocument/2006/relationships/hyperlink" Target="mailto:ugps_rt@mi.ru" TargetMode="External"/><Relationship Id="rId3" Type="http://schemas.openxmlformats.org/officeDocument/2006/relationships/hyperlink" Target="mailto:ugps@moris.ru" TargetMode="External"/><Relationship Id="rId7" Type="http://schemas.openxmlformats.org/officeDocument/2006/relationships/hyperlink" Target="mailto:ugps@mv.ru" TargetMode="External"/><Relationship Id="rId12" Type="http://schemas.openxmlformats.org/officeDocument/2006/relationships/hyperlink" Target="mailto:doznanie_oren@mail.ru" TargetMode="External"/><Relationship Id="rId2" Type="http://schemas.openxmlformats.org/officeDocument/2006/relationships/hyperlink" Target="mailto:ugps01@udmlin&#1089;.ru" TargetMode="External"/><Relationship Id="rId1" Type="http://schemas.openxmlformats.org/officeDocument/2006/relationships/hyperlink" Target="mailto:ugps@mari-el.ru" TargetMode="External"/><Relationship Id="rId6" Type="http://schemas.openxmlformats.org/officeDocument/2006/relationships/hyperlink" Target="mailto:obryv@penza.net" TargetMode="External"/><Relationship Id="rId11" Type="http://schemas.openxmlformats.org/officeDocument/2006/relationships/hyperlink" Target="mailto:iao@gumchs.saratov.ru" TargetMode="External"/><Relationship Id="rId5" Type="http://schemas.openxmlformats.org/officeDocument/2006/relationships/hyperlink" Target="mailto:statistika@mchsrb.ru" TargetMode="External"/><Relationship Id="rId10" Type="http://schemas.openxmlformats.org/officeDocument/2006/relationships/hyperlink" Target="mailto:firedept@ugps.perm.su" TargetMode="External"/><Relationship Id="rId4" Type="http://schemas.openxmlformats.org/officeDocument/2006/relationships/hyperlink" Target="mailto:01-nn@sandy.ru" TargetMode="External"/><Relationship Id="rId9" Type="http://schemas.openxmlformats.org/officeDocument/2006/relationships/hyperlink" Target="mailto:firekir@kirpoj.kirov.ru" TargetMode="External"/><Relationship Id="rId14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3" Type="http://schemas.openxmlformats.org/officeDocument/2006/relationships/printerSettings" Target="../printerSettings/printerSettings5.bin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" Type="http://schemas.openxmlformats.org/officeDocument/2006/relationships/hyperlink" Target="../AppData/Local/Microsoft/Windows/INetCache/!&#1040;&#1042;&#1058;&#1054;&#1052;&#1040;&#1058;/&#1052;&#1045;&#1057;&#1071;&#1062;/2011/Documents%20and%20Settings/Jeka/Local%20Settings/Temporary%20Internet%20Files/Content.MSO/BuckUp/Sp/data.fbd" TargetMode="External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1" Type="http://schemas.openxmlformats.org/officeDocument/2006/relationships/hyperlink" Target="../AppData/Local/Microsoft/Windows/INetCache/!&#1040;&#1042;&#1058;&#1054;&#1052;&#1040;&#1058;/&#1052;&#1045;&#1057;&#1071;&#1062;/2011/Documents%20and%20Settings/Jeka/Local%20Settings/Temporary%20Internet%20Files/Content.MSO/BuckUp/Sp/data.fbd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4" Type="http://schemas.openxmlformats.org/officeDocument/2006/relationships/drawing" Target="../drawings/drawing2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V81"/>
  <sheetViews>
    <sheetView tabSelected="1" view="pageBreakPreview" zoomScaleNormal="100" zoomScaleSheetLayoutView="100"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A2" sqref="A2:P2"/>
    </sheetView>
  </sheetViews>
  <sheetFormatPr defaultColWidth="9.140625" defaultRowHeight="15" x14ac:dyDescent="0.2"/>
  <cols>
    <col min="1" max="1" width="24" style="226" customWidth="1"/>
    <col min="2" max="2" width="7" style="226" bestFit="1" customWidth="1"/>
    <col min="3" max="3" width="7" style="226" customWidth="1"/>
    <col min="4" max="4" width="9.5703125" style="228" customWidth="1"/>
    <col min="5" max="5" width="13.85546875" style="226" customWidth="1"/>
    <col min="6" max="6" width="13.7109375" style="226" customWidth="1"/>
    <col min="7" max="7" width="11.7109375" style="228" customWidth="1"/>
    <col min="8" max="8" width="6.5703125" style="379" bestFit="1" customWidth="1"/>
    <col min="9" max="9" width="6.42578125" style="379" bestFit="1" customWidth="1"/>
    <col min="10" max="10" width="8.5703125" style="379" bestFit="1" customWidth="1"/>
    <col min="11" max="11" width="6.5703125" style="226" customWidth="1"/>
    <col min="12" max="12" width="6.42578125" style="226" bestFit="1" customWidth="1"/>
    <col min="13" max="13" width="8.5703125" style="226" bestFit="1" customWidth="1"/>
    <col min="14" max="14" width="6.5703125" style="226" bestFit="1" customWidth="1"/>
    <col min="15" max="15" width="6.5703125" style="226" customWidth="1"/>
    <col min="16" max="16" width="8.5703125" style="226" bestFit="1" customWidth="1"/>
    <col min="17" max="16384" width="9.140625" style="226"/>
  </cols>
  <sheetData>
    <row r="1" spans="1:16" ht="15.75" x14ac:dyDescent="0.25">
      <c r="A1" s="458" t="s">
        <v>264</v>
      </c>
      <c r="B1" s="458"/>
      <c r="C1" s="460"/>
      <c r="D1" s="591"/>
      <c r="E1" s="458"/>
      <c r="F1" s="458"/>
      <c r="G1" s="591"/>
      <c r="H1" s="459"/>
      <c r="I1" s="459"/>
      <c r="J1" s="459"/>
      <c r="K1" s="461"/>
      <c r="L1" s="461"/>
      <c r="M1" s="461"/>
      <c r="N1" s="461"/>
      <c r="O1" s="461"/>
      <c r="P1" s="461"/>
    </row>
    <row r="2" spans="1:16" ht="15.75" customHeight="1" x14ac:dyDescent="0.25">
      <c r="A2" s="627" t="s">
        <v>541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</row>
    <row r="3" spans="1:16" ht="16.5" thickBot="1" x14ac:dyDescent="0.3">
      <c r="A3" s="458"/>
      <c r="B3" s="458"/>
      <c r="C3" s="460"/>
      <c r="D3" s="591"/>
      <c r="E3" s="458"/>
      <c r="F3" s="458"/>
      <c r="G3" s="591"/>
      <c r="H3" s="459"/>
      <c r="I3" s="459"/>
      <c r="J3" s="459"/>
      <c r="K3" s="461"/>
      <c r="L3" s="461"/>
      <c r="M3" s="461"/>
      <c r="N3" s="461"/>
      <c r="O3" s="461"/>
      <c r="P3" s="461"/>
    </row>
    <row r="4" spans="1:16" ht="16.5" thickBot="1" x14ac:dyDescent="0.3">
      <c r="A4" s="546" t="s">
        <v>7</v>
      </c>
      <c r="B4" s="602" t="s">
        <v>8</v>
      </c>
      <c r="C4" s="548"/>
      <c r="D4" s="592"/>
      <c r="E4" s="550" t="s">
        <v>9</v>
      </c>
      <c r="F4" s="548"/>
      <c r="G4" s="592"/>
      <c r="H4" s="551" t="s">
        <v>10</v>
      </c>
      <c r="I4" s="552"/>
      <c r="J4" s="553" t="s">
        <v>460</v>
      </c>
      <c r="K4" s="547" t="s">
        <v>219</v>
      </c>
      <c r="L4" s="548"/>
      <c r="M4" s="549"/>
      <c r="N4" s="550" t="s">
        <v>16</v>
      </c>
      <c r="O4" s="548"/>
      <c r="P4" s="549"/>
    </row>
    <row r="5" spans="1:16" ht="16.5" thickBot="1" x14ac:dyDescent="0.3">
      <c r="A5" s="554"/>
      <c r="B5" s="521">
        <v>2017</v>
      </c>
      <c r="C5" s="566">
        <v>2018</v>
      </c>
      <c r="D5" s="567" t="s">
        <v>11</v>
      </c>
      <c r="E5" s="521">
        <f>B5</f>
        <v>2017</v>
      </c>
      <c r="F5" s="555">
        <f>C5</f>
        <v>2018</v>
      </c>
      <c r="G5" s="568" t="s">
        <v>11</v>
      </c>
      <c r="H5" s="530">
        <f>B5</f>
        <v>2017</v>
      </c>
      <c r="I5" s="556">
        <f>C5</f>
        <v>2018</v>
      </c>
      <c r="J5" s="569" t="s">
        <v>11</v>
      </c>
      <c r="K5" s="557">
        <f>B5</f>
        <v>2017</v>
      </c>
      <c r="L5" s="555">
        <f>C5</f>
        <v>2018</v>
      </c>
      <c r="M5" s="568" t="s">
        <v>11</v>
      </c>
      <c r="N5" s="557">
        <f>B5</f>
        <v>2017</v>
      </c>
      <c r="O5" s="555">
        <f>C5</f>
        <v>2018</v>
      </c>
      <c r="P5" s="570" t="s">
        <v>11</v>
      </c>
    </row>
    <row r="6" spans="1:16" ht="15.75" thickBot="1" x14ac:dyDescent="0.25">
      <c r="A6" s="545" t="s">
        <v>157</v>
      </c>
      <c r="B6" s="558">
        <f>B7+B8+B9</f>
        <v>153</v>
      </c>
      <c r="C6" s="559">
        <f>C7+C8+C9</f>
        <v>162</v>
      </c>
      <c r="D6" s="596">
        <f t="shared" ref="D6:D58" si="0">IF(B6=0,IF(C6=0,0,CONCATENATE("+ ",C6," cл.")),IF(C6=0,CONCATENATE("- ",B6," cл."),IF(C6&gt;B6*2,CONCATENATE("в ",ROUND(C6/B6,1)," р."),IF(C6*2&lt;B6,CONCATENATE("- в ",ROUND(B6/C6,1)," р."),(C6-B6)/B6*100))))</f>
        <v>5.8823529411764701</v>
      </c>
      <c r="E6" s="563">
        <f>E7+E8+E9</f>
        <v>16416473</v>
      </c>
      <c r="F6" s="564">
        <f>F7+F8+F9</f>
        <v>22023412</v>
      </c>
      <c r="G6" s="596">
        <f t="shared" ref="G6:G58" si="1">IF(E6=0,IF(F6=0,0,CONCATENATE("+ ",F6," cл.")),IF(F6=0,CONCATENATE("- ",E6," cл."),IF(F6&gt;E6*2,CONCATENATE("в ",ROUND(F6/E6,1)," р."),IF(F6*2&lt;E6,CONCATENATE("- в ",ROUND(E6/F6,1)," р."),(F6-E6)/E6*100))))</f>
        <v>34.154346064468292</v>
      </c>
      <c r="H6" s="558">
        <f>H7+H8+H9</f>
        <v>9</v>
      </c>
      <c r="I6" s="559">
        <f>I7+I8+I9</f>
        <v>7</v>
      </c>
      <c r="J6" s="596">
        <f t="shared" ref="J6:J58" si="2">IF(H6=0,IF(I6=0,0,CONCATENATE("+ ",I6," cл.")),IF(I6=0,CONCATENATE("- ",H6," cл."),IF(I6&gt;H6*2,CONCATENATE("в ",ROUND(I6/H6,1)," р."),IF(I6*2&lt;H6,CONCATENATE("- в ",ROUND(H6/I6,1)," р."),(I6-H6)/H6*100))))</f>
        <v>-22.222222222222221</v>
      </c>
      <c r="K6" s="558">
        <f>K7+K8+K9</f>
        <v>18</v>
      </c>
      <c r="L6" s="559">
        <f>L7+L8+L9</f>
        <v>21</v>
      </c>
      <c r="M6" s="596">
        <f t="shared" ref="M6:M58" si="3">IF(K6=0,IF(L6=0,0,CONCATENATE("+ ",L6," cл.")),IF(L6=0,CONCATENATE("- ",K6," cл."),IF(L6&gt;K6*2,CONCATENATE("в ",ROUND(L6/K6,1)," р."),IF(L6*2&lt;K6,CONCATENATE("- в ",ROUND(K6/L6,1)," р."),(L6-K6)/K6*100))))</f>
        <v>16.666666666666664</v>
      </c>
      <c r="N6" s="522">
        <f>N7+N8+N9</f>
        <v>97</v>
      </c>
      <c r="O6" s="565">
        <f>O7+O8+O9</f>
        <v>161</v>
      </c>
      <c r="P6" s="596">
        <f t="shared" ref="P6:P58" si="4">IF(N6=0,IF(O6=0,0,CONCATENATE("+ ",O6," cл.")),IF(O6=0,CONCATENATE("- ",N6," cл."),IF(O6&gt;N6*2,CONCATENATE("в ",ROUND(O6/N6,1)," р."),IF(O6*2&lt;N6,CONCATENATE("- в ",ROUND(N6/O6,1)," р."),(O6-N6)/N6*100))))</f>
        <v>65.979381443298962</v>
      </c>
    </row>
    <row r="7" spans="1:16" x14ac:dyDescent="0.2">
      <c r="A7" s="516" t="s">
        <v>158</v>
      </c>
      <c r="B7" s="503">
        <f>'2017-2018'!B24</f>
        <v>46</v>
      </c>
      <c r="C7" s="562">
        <f>'2017-2018'!T24</f>
        <v>42</v>
      </c>
      <c r="D7" s="596">
        <f t="shared" si="0"/>
        <v>-8.695652173913043</v>
      </c>
      <c r="E7" s="503">
        <f>'2017-2018'!C24</f>
        <v>4673581</v>
      </c>
      <c r="F7" s="562">
        <f>'2017-2018'!U24</f>
        <v>6700000</v>
      </c>
      <c r="G7" s="596">
        <f t="shared" si="1"/>
        <v>43.359021700918419</v>
      </c>
      <c r="H7" s="503">
        <f>'2017-2018'!D24</f>
        <v>5</v>
      </c>
      <c r="I7" s="562">
        <f>'2017-2018'!V24</f>
        <v>0</v>
      </c>
      <c r="J7" s="596" t="str">
        <f t="shared" si="2"/>
        <v>- 5 cл.</v>
      </c>
      <c r="K7" s="503">
        <f>'2017-2018'!E24</f>
        <v>7</v>
      </c>
      <c r="L7" s="562">
        <f>'2017-2018'!W24</f>
        <v>4</v>
      </c>
      <c r="M7" s="596">
        <f t="shared" si="3"/>
        <v>-42.857142857142854</v>
      </c>
      <c r="N7" s="560">
        <f>'2017-2018'!F24</f>
        <v>17</v>
      </c>
      <c r="O7" s="561">
        <f>'2017-2018'!X24</f>
        <v>32</v>
      </c>
      <c r="P7" s="596">
        <f t="shared" si="4"/>
        <v>88.235294117647058</v>
      </c>
    </row>
    <row r="8" spans="1:16" x14ac:dyDescent="0.2">
      <c r="A8" s="517" t="s">
        <v>159</v>
      </c>
      <c r="B8" s="523">
        <f>'2017-2018'!B26</f>
        <v>56</v>
      </c>
      <c r="C8" s="525">
        <f>'2017-2018'!T26</f>
        <v>58</v>
      </c>
      <c r="D8" s="596">
        <f t="shared" si="0"/>
        <v>3.5714285714285712</v>
      </c>
      <c r="E8" s="523">
        <f>'2017-2018'!C26</f>
        <v>6042000</v>
      </c>
      <c r="F8" s="525">
        <f>'2017-2018'!U26</f>
        <v>5873500</v>
      </c>
      <c r="G8" s="596">
        <f t="shared" si="1"/>
        <v>-2.7888116517709372</v>
      </c>
      <c r="H8" s="523">
        <f>'2017-2018'!D26</f>
        <v>3</v>
      </c>
      <c r="I8" s="525">
        <f>'2017-2018'!V26</f>
        <v>2</v>
      </c>
      <c r="J8" s="596">
        <f t="shared" si="2"/>
        <v>-33.333333333333329</v>
      </c>
      <c r="K8" s="523">
        <f>'2017-2018'!E26</f>
        <v>6</v>
      </c>
      <c r="L8" s="525">
        <f>'2017-2018'!W26</f>
        <v>6</v>
      </c>
      <c r="M8" s="596">
        <f t="shared" si="3"/>
        <v>0</v>
      </c>
      <c r="N8" s="523">
        <f>'2017-2018'!F26</f>
        <v>44</v>
      </c>
      <c r="O8" s="525">
        <f>'2017-2018'!X26</f>
        <v>62</v>
      </c>
      <c r="P8" s="596">
        <f t="shared" si="4"/>
        <v>40.909090909090914</v>
      </c>
    </row>
    <row r="9" spans="1:16" ht="15.75" thickBot="1" x14ac:dyDescent="0.25">
      <c r="A9" s="518" t="s">
        <v>160</v>
      </c>
      <c r="B9" s="524">
        <f>'2017-2018'!B25</f>
        <v>51</v>
      </c>
      <c r="C9" s="527">
        <f>'2017-2018'!T25</f>
        <v>62</v>
      </c>
      <c r="D9" s="596">
        <f t="shared" si="0"/>
        <v>21.568627450980394</v>
      </c>
      <c r="E9" s="524">
        <f>'2017-2018'!C25</f>
        <v>5700892</v>
      </c>
      <c r="F9" s="527">
        <f>'2017-2018'!U25</f>
        <v>9449912</v>
      </c>
      <c r="G9" s="596">
        <f t="shared" si="1"/>
        <v>65.761989527252922</v>
      </c>
      <c r="H9" s="524">
        <f>'2017-2018'!D25</f>
        <v>1</v>
      </c>
      <c r="I9" s="527">
        <f>'2017-2018'!V25</f>
        <v>5</v>
      </c>
      <c r="J9" s="596" t="str">
        <f t="shared" si="2"/>
        <v>в 5 р.</v>
      </c>
      <c r="K9" s="524">
        <f>'2017-2018'!E25</f>
        <v>5</v>
      </c>
      <c r="L9" s="527">
        <f>'2017-2018'!W25</f>
        <v>11</v>
      </c>
      <c r="M9" s="596" t="str">
        <f t="shared" si="3"/>
        <v>в 2,2 р.</v>
      </c>
      <c r="N9" s="524">
        <f>'2017-2018'!F25</f>
        <v>36</v>
      </c>
      <c r="O9" s="527">
        <f>'2017-2018'!X25</f>
        <v>67</v>
      </c>
      <c r="P9" s="596">
        <f t="shared" si="4"/>
        <v>86.111111111111114</v>
      </c>
    </row>
    <row r="10" spans="1:16" x14ac:dyDescent="0.2">
      <c r="A10" s="516" t="s">
        <v>161</v>
      </c>
      <c r="B10" s="503">
        <f>'2017-2018'!B3-B11</f>
        <v>27</v>
      </c>
      <c r="C10" s="562">
        <f>'2017-2018'!T3-C11</f>
        <v>24</v>
      </c>
      <c r="D10" s="596">
        <f t="shared" si="0"/>
        <v>-11.111111111111111</v>
      </c>
      <c r="E10" s="560">
        <f>'2017-2018'!C3-E11</f>
        <v>4026000</v>
      </c>
      <c r="F10" s="561">
        <f>'2017-2018'!U3-F11</f>
        <v>4935600</v>
      </c>
      <c r="G10" s="596">
        <f t="shared" si="1"/>
        <v>22.593144560357675</v>
      </c>
      <c r="H10" s="560">
        <f>'2017-2018'!D3-H11</f>
        <v>2</v>
      </c>
      <c r="I10" s="561">
        <f>'2017-2018'!V3-I11</f>
        <v>2</v>
      </c>
      <c r="J10" s="596">
        <f t="shared" si="2"/>
        <v>0</v>
      </c>
      <c r="K10" s="560">
        <f>'2017-2018'!E3-K11</f>
        <v>1</v>
      </c>
      <c r="L10" s="561">
        <f>'2017-2018'!W3-L11</f>
        <v>1</v>
      </c>
      <c r="M10" s="596">
        <f t="shared" si="3"/>
        <v>0</v>
      </c>
      <c r="N10" s="560">
        <f>'2017-2018'!F3-N11</f>
        <v>3</v>
      </c>
      <c r="O10" s="561">
        <f>'2017-2018'!X3-O11</f>
        <v>1</v>
      </c>
      <c r="P10" s="596" t="str">
        <f t="shared" si="4"/>
        <v>- в 3 р.</v>
      </c>
    </row>
    <row r="11" spans="1:16" s="379" customFormat="1" ht="16.5" customHeight="1" x14ac:dyDescent="0.2">
      <c r="A11" s="519" t="s">
        <v>162</v>
      </c>
      <c r="B11" s="504">
        <f>'2017-2018'!B29</f>
        <v>27</v>
      </c>
      <c r="C11" s="526">
        <f>'2017-2018'!T29</f>
        <v>28</v>
      </c>
      <c r="D11" s="596">
        <f t="shared" si="0"/>
        <v>3.7037037037037033</v>
      </c>
      <c r="E11" s="504">
        <f>'2017-2018'!C29</f>
        <v>2844800</v>
      </c>
      <c r="F11" s="526">
        <f>'2017-2018'!U29</f>
        <v>5765600</v>
      </c>
      <c r="G11" s="596" t="str">
        <f t="shared" si="1"/>
        <v>в 2 р.</v>
      </c>
      <c r="H11" s="504">
        <f>'2017-2018'!D29</f>
        <v>2</v>
      </c>
      <c r="I11" s="526">
        <f>'2017-2018'!V29</f>
        <v>2</v>
      </c>
      <c r="J11" s="596">
        <f t="shared" si="2"/>
        <v>0</v>
      </c>
      <c r="K11" s="504">
        <f>'2017-2018'!E29</f>
        <v>3</v>
      </c>
      <c r="L11" s="526">
        <f>'2017-2018'!W29</f>
        <v>1</v>
      </c>
      <c r="M11" s="596" t="str">
        <f t="shared" si="3"/>
        <v>- в 3 р.</v>
      </c>
      <c r="N11" s="504">
        <f>'2017-2018'!F29</f>
        <v>2</v>
      </c>
      <c r="O11" s="526">
        <f>'2017-2018'!X29</f>
        <v>2</v>
      </c>
      <c r="P11" s="596">
        <f t="shared" si="4"/>
        <v>0</v>
      </c>
    </row>
    <row r="12" spans="1:16" ht="14.25" hidden="1" customHeight="1" x14ac:dyDescent="0.2">
      <c r="A12" s="517" t="s">
        <v>163</v>
      </c>
      <c r="B12" s="523">
        <f>'2017-2018'!B36</f>
        <v>5</v>
      </c>
      <c r="C12" s="525">
        <f>'2017-2018'!T36</f>
        <v>1</v>
      </c>
      <c r="D12" s="596" t="str">
        <f t="shared" si="0"/>
        <v>- в 5 р.</v>
      </c>
      <c r="E12" s="523">
        <f>'2017-2018'!C36</f>
        <v>520000</v>
      </c>
      <c r="F12" s="525">
        <f>'2017-2018'!U36</f>
        <v>200000</v>
      </c>
      <c r="G12" s="596" t="str">
        <f t="shared" si="1"/>
        <v>- в 2,6 р.</v>
      </c>
      <c r="H12" s="523">
        <f>'2017-2018'!H29</f>
        <v>2</v>
      </c>
      <c r="I12" s="525">
        <f>'2017-2018'!V36</f>
        <v>0</v>
      </c>
      <c r="J12" s="596" t="str">
        <f t="shared" si="2"/>
        <v>- 2 cл.</v>
      </c>
      <c r="K12" s="523">
        <f>'2017-2018'!K29</f>
        <v>9</v>
      </c>
      <c r="L12" s="525">
        <f>'2017-2018'!W36</f>
        <v>0</v>
      </c>
      <c r="M12" s="596" t="str">
        <f t="shared" si="3"/>
        <v>- 9 cл.</v>
      </c>
      <c r="N12" s="523">
        <f>'2017-2018'!N29</f>
        <v>0</v>
      </c>
      <c r="O12" s="525">
        <f>'2017-2018'!X36</f>
        <v>0</v>
      </c>
      <c r="P12" s="596">
        <f t="shared" si="4"/>
        <v>0</v>
      </c>
    </row>
    <row r="13" spans="1:16" s="616" customFormat="1" x14ac:dyDescent="0.2">
      <c r="A13" s="612" t="s">
        <v>164</v>
      </c>
      <c r="B13" s="613">
        <f>'2017-2018'!B4</f>
        <v>17</v>
      </c>
      <c r="C13" s="614">
        <f>'2017-2018'!T4</f>
        <v>16</v>
      </c>
      <c r="D13" s="615">
        <f t="shared" si="0"/>
        <v>-5.8823529411764701</v>
      </c>
      <c r="E13" s="613">
        <f>'2017-2018'!C4</f>
        <v>3127600</v>
      </c>
      <c r="F13" s="614">
        <f>'2017-2018'!U4</f>
        <v>2861000</v>
      </c>
      <c r="G13" s="615">
        <f t="shared" si="1"/>
        <v>-8.5241079421920976</v>
      </c>
      <c r="H13" s="613">
        <f>'2017-2018'!D4</f>
        <v>0</v>
      </c>
      <c r="I13" s="614">
        <f>'2017-2018'!V4</f>
        <v>1</v>
      </c>
      <c r="J13" s="615" t="str">
        <f t="shared" si="2"/>
        <v>+ 1 cл.</v>
      </c>
      <c r="K13" s="613">
        <f>'2017-2018'!E4</f>
        <v>2</v>
      </c>
      <c r="L13" s="614">
        <f>'2017-2018'!W4</f>
        <v>1</v>
      </c>
      <c r="M13" s="615">
        <f t="shared" si="3"/>
        <v>-50</v>
      </c>
      <c r="N13" s="613">
        <f>'2017-2018'!F4</f>
        <v>1</v>
      </c>
      <c r="O13" s="614">
        <f>'2017-2018'!X4</f>
        <v>3</v>
      </c>
      <c r="P13" s="615" t="str">
        <f t="shared" si="4"/>
        <v>в 3 р.</v>
      </c>
    </row>
    <row r="14" spans="1:16" hidden="1" x14ac:dyDescent="0.2">
      <c r="A14" s="517" t="s">
        <v>165</v>
      </c>
      <c r="B14" s="523">
        <f>'2017-2018'!B37</f>
        <v>1</v>
      </c>
      <c r="C14" s="525">
        <f>'2017-2018'!T37</f>
        <v>1</v>
      </c>
      <c r="D14" s="596">
        <f t="shared" si="0"/>
        <v>0</v>
      </c>
      <c r="E14" s="523">
        <f>'2017-2018'!E31</f>
        <v>3</v>
      </c>
      <c r="F14" s="525">
        <f>'2017-2018'!W5</f>
        <v>1</v>
      </c>
      <c r="G14" s="596" t="str">
        <f t="shared" si="1"/>
        <v>- в 3 р.</v>
      </c>
      <c r="H14" s="523">
        <f>'2017-2018'!H31</f>
        <v>1</v>
      </c>
      <c r="I14" s="525">
        <f>'2017-2018'!Z5</f>
        <v>0</v>
      </c>
      <c r="J14" s="596" t="str">
        <f t="shared" si="2"/>
        <v>- 1 cл.</v>
      </c>
      <c r="K14" s="523">
        <f>'2017-2018'!K31</f>
        <v>18</v>
      </c>
      <c r="L14" s="525">
        <f>'2017-2018'!AC5</f>
        <v>17</v>
      </c>
      <c r="M14" s="596">
        <f t="shared" si="3"/>
        <v>-5.5555555555555554</v>
      </c>
      <c r="N14" s="523">
        <f>'2017-2018'!N31</f>
        <v>0</v>
      </c>
      <c r="O14" s="525">
        <f>'2017-2018'!AF5</f>
        <v>0</v>
      </c>
      <c r="P14" s="596">
        <f t="shared" si="4"/>
        <v>0</v>
      </c>
    </row>
    <row r="15" spans="1:16" x14ac:dyDescent="0.2">
      <c r="A15" s="517" t="s">
        <v>166</v>
      </c>
      <c r="B15" s="523">
        <f>'2017-2018'!B5</f>
        <v>34</v>
      </c>
      <c r="C15" s="525">
        <f>'2017-2018'!T5</f>
        <v>32</v>
      </c>
      <c r="D15" s="596">
        <f t="shared" si="0"/>
        <v>-5.8823529411764701</v>
      </c>
      <c r="E15" s="523">
        <f>'2017-2018'!C5</f>
        <v>4310000</v>
      </c>
      <c r="F15" s="525">
        <f>'2017-2018'!U5</f>
        <v>3072000</v>
      </c>
      <c r="G15" s="596">
        <f t="shared" si="1"/>
        <v>-28.723897911832946</v>
      </c>
      <c r="H15" s="523">
        <f>'2017-2018'!D5</f>
        <v>1</v>
      </c>
      <c r="I15" s="525">
        <f>'2017-2018'!V5</f>
        <v>1</v>
      </c>
      <c r="J15" s="596">
        <f t="shared" si="2"/>
        <v>0</v>
      </c>
      <c r="K15" s="523">
        <f>'2017-2018'!E5</f>
        <v>2</v>
      </c>
      <c r="L15" s="525">
        <f>'2017-2018'!W5</f>
        <v>1</v>
      </c>
      <c r="M15" s="596">
        <f t="shared" si="3"/>
        <v>-50</v>
      </c>
      <c r="N15" s="523">
        <f>'2017-2018'!F5</f>
        <v>1</v>
      </c>
      <c r="O15" s="525">
        <f>'2017-2018'!X5</f>
        <v>2</v>
      </c>
      <c r="P15" s="596">
        <f t="shared" si="4"/>
        <v>100</v>
      </c>
    </row>
    <row r="16" spans="1:16" hidden="1" x14ac:dyDescent="0.2">
      <c r="A16" s="517" t="s">
        <v>167</v>
      </c>
      <c r="B16" s="523">
        <f>'2017-2018'!B38</f>
        <v>4</v>
      </c>
      <c r="C16" s="525">
        <f>'2017-2018'!T38</f>
        <v>3</v>
      </c>
      <c r="D16" s="596">
        <f t="shared" si="0"/>
        <v>-25</v>
      </c>
      <c r="E16" s="523">
        <f>'2017-2018'!E33</f>
        <v>0</v>
      </c>
      <c r="F16" s="525">
        <f>'2017-2018'!W7</f>
        <v>3</v>
      </c>
      <c r="G16" s="596" t="str">
        <f t="shared" si="1"/>
        <v>+ 3 cл.</v>
      </c>
      <c r="H16" s="523">
        <f>'2017-2018'!H33</f>
        <v>2</v>
      </c>
      <c r="I16" s="525">
        <f>'2017-2018'!Z7</f>
        <v>4</v>
      </c>
      <c r="J16" s="596">
        <f t="shared" si="2"/>
        <v>100</v>
      </c>
      <c r="K16" s="523">
        <f>'2017-2018'!K33</f>
        <v>4</v>
      </c>
      <c r="L16" s="525">
        <f>'2017-2018'!AC7</f>
        <v>21</v>
      </c>
      <c r="M16" s="596" t="str">
        <f t="shared" si="3"/>
        <v>в 5,3 р.</v>
      </c>
      <c r="N16" s="523">
        <f>'2017-2018'!N33</f>
        <v>0</v>
      </c>
      <c r="O16" s="525">
        <f>'2017-2018'!AF7</f>
        <v>0</v>
      </c>
      <c r="P16" s="596">
        <f t="shared" si="4"/>
        <v>0</v>
      </c>
    </row>
    <row r="17" spans="1:18" x14ac:dyDescent="0.2">
      <c r="A17" s="517" t="s">
        <v>168</v>
      </c>
      <c r="B17" s="523">
        <f>'2017-2018'!B6</f>
        <v>37</v>
      </c>
      <c r="C17" s="525">
        <f>'2017-2018'!T6</f>
        <v>30</v>
      </c>
      <c r="D17" s="596">
        <f t="shared" si="0"/>
        <v>-18.918918918918919</v>
      </c>
      <c r="E17" s="523">
        <f>'2017-2018'!C6</f>
        <v>4361781</v>
      </c>
      <c r="F17" s="525">
        <f>'2017-2018'!U6</f>
        <v>5429780</v>
      </c>
      <c r="G17" s="596">
        <f t="shared" si="1"/>
        <v>24.485387964228376</v>
      </c>
      <c r="H17" s="523">
        <f>'2017-2018'!D6</f>
        <v>3</v>
      </c>
      <c r="I17" s="525">
        <f>'2017-2018'!V6</f>
        <v>3</v>
      </c>
      <c r="J17" s="596">
        <f t="shared" si="2"/>
        <v>0</v>
      </c>
      <c r="K17" s="523">
        <f>'2017-2018'!E6</f>
        <v>3</v>
      </c>
      <c r="L17" s="525">
        <f>'2017-2018'!W6</f>
        <v>0</v>
      </c>
      <c r="M17" s="596" t="str">
        <f t="shared" si="3"/>
        <v>- 3 cл.</v>
      </c>
      <c r="N17" s="523">
        <f>'2017-2018'!F6</f>
        <v>5</v>
      </c>
      <c r="O17" s="525">
        <f>'2017-2018'!X6</f>
        <v>1</v>
      </c>
      <c r="P17" s="596" t="str">
        <f t="shared" si="4"/>
        <v>- в 5 р.</v>
      </c>
    </row>
    <row r="18" spans="1:18" hidden="1" x14ac:dyDescent="0.2">
      <c r="A18" s="517" t="s">
        <v>169</v>
      </c>
      <c r="B18" s="523">
        <f>'2017-2018'!B39</f>
        <v>6</v>
      </c>
      <c r="C18" s="525">
        <f>'2017-2018'!T39</f>
        <v>7</v>
      </c>
      <c r="D18" s="596">
        <f t="shared" si="0"/>
        <v>16.666666666666664</v>
      </c>
      <c r="E18" s="523">
        <f>'2017-2018'!E35</f>
        <v>0</v>
      </c>
      <c r="F18" s="525">
        <f>'2017-2018'!W9</f>
        <v>1</v>
      </c>
      <c r="G18" s="596" t="str">
        <f t="shared" si="1"/>
        <v>+ 1 cл.</v>
      </c>
      <c r="H18" s="523">
        <f>'2017-2018'!H35</f>
        <v>1</v>
      </c>
      <c r="I18" s="525">
        <f>'2017-2018'!Z9</f>
        <v>0</v>
      </c>
      <c r="J18" s="596" t="str">
        <f t="shared" si="2"/>
        <v>- 1 cл.</v>
      </c>
      <c r="K18" s="523">
        <f>'2017-2018'!K35</f>
        <v>1</v>
      </c>
      <c r="L18" s="525">
        <f>'2017-2018'!AC9</f>
        <v>12</v>
      </c>
      <c r="M18" s="596" t="str">
        <f t="shared" si="3"/>
        <v>в 12 р.</v>
      </c>
      <c r="N18" s="523">
        <f>'2017-2018'!N35</f>
        <v>0</v>
      </c>
      <c r="O18" s="525">
        <f>'2017-2018'!AF9</f>
        <v>0</v>
      </c>
      <c r="P18" s="596">
        <f t="shared" si="4"/>
        <v>0</v>
      </c>
    </row>
    <row r="19" spans="1:18" x14ac:dyDescent="0.2">
      <c r="A19" s="517" t="s">
        <v>170</v>
      </c>
      <c r="B19" s="523">
        <f>'2017-2018'!B7</f>
        <v>25</v>
      </c>
      <c r="C19" s="525">
        <f>'2017-2018'!T7</f>
        <v>21</v>
      </c>
      <c r="D19" s="596">
        <f t="shared" si="0"/>
        <v>-16</v>
      </c>
      <c r="E19" s="523">
        <f>'2017-2018'!C7</f>
        <v>3743928</v>
      </c>
      <c r="F19" s="525">
        <f>'2017-2018'!U7</f>
        <v>5727487</v>
      </c>
      <c r="G19" s="596">
        <f t="shared" si="1"/>
        <v>52.980693004780008</v>
      </c>
      <c r="H19" s="523">
        <f>'2017-2018'!D7</f>
        <v>1</v>
      </c>
      <c r="I19" s="525">
        <f>'2017-2018'!V7</f>
        <v>1</v>
      </c>
      <c r="J19" s="596">
        <f t="shared" si="2"/>
        <v>0</v>
      </c>
      <c r="K19" s="523">
        <f>'2017-2018'!E7</f>
        <v>3</v>
      </c>
      <c r="L19" s="525">
        <f>'2017-2018'!W7</f>
        <v>3</v>
      </c>
      <c r="M19" s="596">
        <f t="shared" si="3"/>
        <v>0</v>
      </c>
      <c r="N19" s="523">
        <f>'2017-2018'!F7</f>
        <v>3</v>
      </c>
      <c r="O19" s="525">
        <f>'2017-2018'!X7</f>
        <v>1</v>
      </c>
      <c r="P19" s="596" t="str">
        <f t="shared" si="4"/>
        <v>- в 3 р.</v>
      </c>
    </row>
    <row r="20" spans="1:18" hidden="1" x14ac:dyDescent="0.2">
      <c r="A20" s="517" t="s">
        <v>171</v>
      </c>
      <c r="B20" s="523">
        <f>'2017-2018'!B40</f>
        <v>8</v>
      </c>
      <c r="C20" s="525">
        <f>'2017-2018'!T40</f>
        <v>4</v>
      </c>
      <c r="D20" s="596">
        <f t="shared" si="0"/>
        <v>-50</v>
      </c>
      <c r="E20" s="523">
        <f>'2017-2018'!E37</f>
        <v>0</v>
      </c>
      <c r="F20" s="525">
        <f>'2017-2018'!W11</f>
        <v>0</v>
      </c>
      <c r="G20" s="596">
        <f t="shared" si="1"/>
        <v>0</v>
      </c>
      <c r="H20" s="523">
        <f>'2017-2018'!H37</f>
        <v>0</v>
      </c>
      <c r="I20" s="525">
        <f>'2017-2018'!Z11</f>
        <v>2</v>
      </c>
      <c r="J20" s="596" t="str">
        <f t="shared" si="2"/>
        <v>+ 2 cл.</v>
      </c>
      <c r="K20" s="523">
        <f>'2017-2018'!K37</f>
        <v>0</v>
      </c>
      <c r="L20" s="525">
        <f>'2017-2018'!AC11</f>
        <v>4</v>
      </c>
      <c r="M20" s="596" t="str">
        <f t="shared" si="3"/>
        <v>+ 4 cл.</v>
      </c>
      <c r="N20" s="523">
        <f>'2017-2018'!N37</f>
        <v>0</v>
      </c>
      <c r="O20" s="525">
        <f>'2017-2018'!AF11</f>
        <v>0</v>
      </c>
      <c r="P20" s="596">
        <f t="shared" si="4"/>
        <v>0</v>
      </c>
    </row>
    <row r="21" spans="1:18" ht="14.25" hidden="1" customHeight="1" x14ac:dyDescent="0.2">
      <c r="A21" s="517" t="s">
        <v>172</v>
      </c>
      <c r="B21" s="523">
        <f>'2017-2018'!B41</f>
        <v>4</v>
      </c>
      <c r="C21" s="525">
        <f>'2017-2018'!T41</f>
        <v>2</v>
      </c>
      <c r="D21" s="596">
        <f t="shared" si="0"/>
        <v>-50</v>
      </c>
      <c r="E21" s="523">
        <f>'2017-2018'!C41</f>
        <v>540000</v>
      </c>
      <c r="F21" s="525">
        <f>'2017-2018'!U41</f>
        <v>1520000</v>
      </c>
      <c r="G21" s="596" t="str">
        <f t="shared" si="1"/>
        <v>в 2,8 р.</v>
      </c>
      <c r="H21" s="523">
        <f>'2017-2018'!D41</f>
        <v>0</v>
      </c>
      <c r="I21" s="525">
        <f>'2017-2018'!V41</f>
        <v>0</v>
      </c>
      <c r="J21" s="596">
        <f t="shared" si="2"/>
        <v>0</v>
      </c>
      <c r="K21" s="523">
        <f>'2017-2018'!E41</f>
        <v>1</v>
      </c>
      <c r="L21" s="525">
        <f>'2017-2018'!W41</f>
        <v>0</v>
      </c>
      <c r="M21" s="596" t="str">
        <f t="shared" si="3"/>
        <v>- 1 cл.</v>
      </c>
      <c r="N21" s="523">
        <f>'2017-2018'!F41</f>
        <v>1</v>
      </c>
      <c r="O21" s="525">
        <f>'2017-2018'!X41</f>
        <v>0</v>
      </c>
      <c r="P21" s="596" t="str">
        <f t="shared" si="4"/>
        <v>- 1 cл.</v>
      </c>
    </row>
    <row r="22" spans="1:18" x14ac:dyDescent="0.2">
      <c r="A22" s="517" t="s">
        <v>173</v>
      </c>
      <c r="B22" s="523">
        <f>'2017-2018'!B8-B23</f>
        <v>36</v>
      </c>
      <c r="C22" s="525">
        <f>'2017-2018'!T8-C23</f>
        <v>43</v>
      </c>
      <c r="D22" s="596">
        <f t="shared" si="0"/>
        <v>19.444444444444446</v>
      </c>
      <c r="E22" s="523">
        <f>'2017-2018'!C8-E23</f>
        <v>3285000</v>
      </c>
      <c r="F22" s="525">
        <f>'2017-2018'!U8-F23</f>
        <v>4440000</v>
      </c>
      <c r="G22" s="596">
        <f t="shared" si="1"/>
        <v>35.159817351598171</v>
      </c>
      <c r="H22" s="523">
        <f>'2017-2018'!D8-H23</f>
        <v>4</v>
      </c>
      <c r="I22" s="525">
        <f>'2017-2018'!V8-I23</f>
        <v>5</v>
      </c>
      <c r="J22" s="596">
        <f t="shared" si="2"/>
        <v>25</v>
      </c>
      <c r="K22" s="523">
        <f>'2017-2018'!E8-K23</f>
        <v>2</v>
      </c>
      <c r="L22" s="525">
        <f>'2017-2018'!W8-L23</f>
        <v>3</v>
      </c>
      <c r="M22" s="596">
        <f t="shared" si="3"/>
        <v>50</v>
      </c>
      <c r="N22" s="523">
        <f>'2017-2018'!F8-N23</f>
        <v>3</v>
      </c>
      <c r="O22" s="525">
        <f>'2017-2018'!X8-O23</f>
        <v>2</v>
      </c>
      <c r="P22" s="596">
        <f t="shared" si="4"/>
        <v>-33.333333333333329</v>
      </c>
    </row>
    <row r="23" spans="1:18" s="379" customFormat="1" ht="18" customHeight="1" x14ac:dyDescent="0.2">
      <c r="A23" s="519" t="s">
        <v>174</v>
      </c>
      <c r="B23" s="504">
        <f>'2017-2018'!B30</f>
        <v>12</v>
      </c>
      <c r="C23" s="526">
        <f>'2017-2018'!T30</f>
        <v>31</v>
      </c>
      <c r="D23" s="596" t="str">
        <f t="shared" si="0"/>
        <v>в 2,6 р.</v>
      </c>
      <c r="E23" s="504">
        <f>'2017-2018'!C30</f>
        <v>1495500</v>
      </c>
      <c r="F23" s="526">
        <f>'2017-2018'!U30</f>
        <v>3920000</v>
      </c>
      <c r="G23" s="596" t="str">
        <f t="shared" si="1"/>
        <v>в 2,6 р.</v>
      </c>
      <c r="H23" s="504">
        <f>'2017-2018'!D30</f>
        <v>1</v>
      </c>
      <c r="I23" s="526">
        <f>'2017-2018'!V30</f>
        <v>1</v>
      </c>
      <c r="J23" s="596">
        <f t="shared" si="2"/>
        <v>0</v>
      </c>
      <c r="K23" s="504">
        <f>'2017-2018'!E30</f>
        <v>0</v>
      </c>
      <c r="L23" s="526">
        <f>'2017-2018'!W30</f>
        <v>7</v>
      </c>
      <c r="M23" s="596" t="str">
        <f t="shared" si="3"/>
        <v>+ 7 cл.</v>
      </c>
      <c r="N23" s="504">
        <f>'2017-2018'!F30</f>
        <v>0</v>
      </c>
      <c r="O23" s="526">
        <f>'2017-2018'!X30</f>
        <v>23</v>
      </c>
      <c r="P23" s="596" t="str">
        <f t="shared" si="4"/>
        <v>+ 23 cл.</v>
      </c>
    </row>
    <row r="24" spans="1:18" x14ac:dyDescent="0.2">
      <c r="A24" s="517" t="s">
        <v>175</v>
      </c>
      <c r="B24" s="523">
        <f>'2017-2018'!B9</f>
        <v>23</v>
      </c>
      <c r="C24" s="525">
        <f>'2017-2018'!T9</f>
        <v>15</v>
      </c>
      <c r="D24" s="596">
        <f t="shared" si="0"/>
        <v>-34.782608695652172</v>
      </c>
      <c r="E24" s="523">
        <f>'2017-2018'!C9</f>
        <v>2788097</v>
      </c>
      <c r="F24" s="525">
        <f>'2017-2018'!U9</f>
        <v>3525000</v>
      </c>
      <c r="G24" s="596">
        <f t="shared" si="1"/>
        <v>26.43032147016406</v>
      </c>
      <c r="H24" s="523">
        <f>'2017-2018'!D9</f>
        <v>5</v>
      </c>
      <c r="I24" s="525">
        <f>'2017-2018'!V9</f>
        <v>2</v>
      </c>
      <c r="J24" s="596" t="str">
        <f t="shared" si="2"/>
        <v>- в 2,5 р.</v>
      </c>
      <c r="K24" s="523">
        <f>'2017-2018'!E9</f>
        <v>3</v>
      </c>
      <c r="L24" s="525">
        <f>'2017-2018'!W9</f>
        <v>1</v>
      </c>
      <c r="M24" s="596" t="str">
        <f t="shared" si="3"/>
        <v>- в 3 р.</v>
      </c>
      <c r="N24" s="523">
        <f>'2017-2018'!F9</f>
        <v>2</v>
      </c>
      <c r="O24" s="525">
        <f>'2017-2018'!X9</f>
        <v>0</v>
      </c>
      <c r="P24" s="596" t="str">
        <f t="shared" si="4"/>
        <v>- 2 cл.</v>
      </c>
    </row>
    <row r="25" spans="1:18" hidden="1" x14ac:dyDescent="0.2">
      <c r="A25" s="517" t="s">
        <v>176</v>
      </c>
      <c r="B25" s="523">
        <f>'2017-2018'!B32</f>
        <v>6</v>
      </c>
      <c r="C25" s="525">
        <f>'2017-2018'!T32</f>
        <v>5</v>
      </c>
      <c r="D25" s="596">
        <f t="shared" si="0"/>
        <v>-16.666666666666664</v>
      </c>
      <c r="E25" s="523">
        <f>'2017-2018'!E42</f>
        <v>0</v>
      </c>
      <c r="F25" s="525">
        <f>'2017-2018'!W16</f>
        <v>2</v>
      </c>
      <c r="G25" s="596" t="str">
        <f t="shared" si="1"/>
        <v>+ 2 cл.</v>
      </c>
      <c r="H25" s="523">
        <f>'2017-2018'!H42</f>
        <v>0</v>
      </c>
      <c r="I25" s="525">
        <f>'2017-2018'!Z16</f>
        <v>4</v>
      </c>
      <c r="J25" s="596" t="str">
        <f t="shared" si="2"/>
        <v>+ 4 cл.</v>
      </c>
      <c r="K25" s="523">
        <f>'2017-2018'!K42</f>
        <v>2</v>
      </c>
      <c r="L25" s="525">
        <f>'2017-2018'!AC16</f>
        <v>15</v>
      </c>
      <c r="M25" s="596" t="str">
        <f t="shared" si="3"/>
        <v>в 7,5 р.</v>
      </c>
      <c r="N25" s="523">
        <f>'2017-2018'!N42</f>
        <v>0</v>
      </c>
      <c r="O25" s="525">
        <f>'2017-2018'!AF16</f>
        <v>0</v>
      </c>
      <c r="P25" s="596">
        <f t="shared" si="4"/>
        <v>0</v>
      </c>
    </row>
    <row r="26" spans="1:18" x14ac:dyDescent="0.2">
      <c r="A26" s="517" t="s">
        <v>177</v>
      </c>
      <c r="B26" s="523">
        <f>'2017-2018'!B10</f>
        <v>23</v>
      </c>
      <c r="C26" s="525">
        <f>'2017-2018'!T10</f>
        <v>23</v>
      </c>
      <c r="D26" s="596">
        <f t="shared" si="0"/>
        <v>0</v>
      </c>
      <c r="E26" s="523">
        <f>'2017-2018'!C10</f>
        <v>7835887</v>
      </c>
      <c r="F26" s="525">
        <f>'2017-2018'!U10</f>
        <v>3491326</v>
      </c>
      <c r="G26" s="596" t="str">
        <f t="shared" si="1"/>
        <v>- в 2,2 р.</v>
      </c>
      <c r="H26" s="523">
        <f>'2017-2018'!D10</f>
        <v>2</v>
      </c>
      <c r="I26" s="525">
        <f>'2017-2018'!V10</f>
        <v>1</v>
      </c>
      <c r="J26" s="596">
        <f t="shared" si="2"/>
        <v>-50</v>
      </c>
      <c r="K26" s="523">
        <f>'2017-2018'!E10</f>
        <v>0</v>
      </c>
      <c r="L26" s="525">
        <f>'2017-2018'!W10</f>
        <v>1</v>
      </c>
      <c r="M26" s="596" t="str">
        <f t="shared" si="3"/>
        <v>+ 1 cл.</v>
      </c>
      <c r="N26" s="523">
        <f>'2017-2018'!F10</f>
        <v>1</v>
      </c>
      <c r="O26" s="525">
        <f>'2017-2018'!X10</f>
        <v>3</v>
      </c>
      <c r="P26" s="596" t="str">
        <f t="shared" si="4"/>
        <v>в 3 р.</v>
      </c>
      <c r="R26" s="461"/>
    </row>
    <row r="27" spans="1:18" hidden="1" x14ac:dyDescent="0.2">
      <c r="A27" s="517" t="s">
        <v>178</v>
      </c>
      <c r="B27" s="523">
        <f>'2017-2018'!B42</f>
        <v>3</v>
      </c>
      <c r="C27" s="525">
        <f>'2017-2018'!T42</f>
        <v>3</v>
      </c>
      <c r="D27" s="596">
        <f t="shared" si="0"/>
        <v>0</v>
      </c>
      <c r="E27" s="523">
        <f>'2017-2018'!E44</f>
        <v>0</v>
      </c>
      <c r="F27" s="525">
        <f>'2017-2018'!W18</f>
        <v>2</v>
      </c>
      <c r="G27" s="596" t="str">
        <f t="shared" si="1"/>
        <v>+ 2 cл.</v>
      </c>
      <c r="H27" s="523">
        <f>'2017-2018'!H44</f>
        <v>0</v>
      </c>
      <c r="I27" s="525">
        <f>'2017-2018'!Z18</f>
        <v>2</v>
      </c>
      <c r="J27" s="596" t="str">
        <f t="shared" si="2"/>
        <v>+ 2 cл.</v>
      </c>
      <c r="K27" s="523">
        <f>'2017-2018'!K44</f>
        <v>0</v>
      </c>
      <c r="L27" s="525">
        <f>'2017-2018'!AC18</f>
        <v>26</v>
      </c>
      <c r="M27" s="596" t="str">
        <f t="shared" si="3"/>
        <v>+ 26 cл.</v>
      </c>
      <c r="N27" s="523">
        <f>'2017-2018'!N44</f>
        <v>0</v>
      </c>
      <c r="O27" s="525">
        <f>'2017-2018'!AF18</f>
        <v>0</v>
      </c>
      <c r="P27" s="596">
        <f t="shared" si="4"/>
        <v>0</v>
      </c>
    </row>
    <row r="28" spans="1:18" x14ac:dyDescent="0.2">
      <c r="A28" s="517" t="s">
        <v>179</v>
      </c>
      <c r="B28" s="523">
        <f>'2017-2018'!B11</f>
        <v>12</v>
      </c>
      <c r="C28" s="525">
        <f>'2017-2018'!T11</f>
        <v>9</v>
      </c>
      <c r="D28" s="596">
        <f t="shared" si="0"/>
        <v>-25</v>
      </c>
      <c r="E28" s="523">
        <f>'2017-2018'!C11</f>
        <v>1534000</v>
      </c>
      <c r="F28" s="525">
        <f>'2017-2018'!U11</f>
        <v>834500</v>
      </c>
      <c r="G28" s="596">
        <f t="shared" si="1"/>
        <v>-45.599739243807043</v>
      </c>
      <c r="H28" s="523">
        <f>'2017-2018'!D11</f>
        <v>0</v>
      </c>
      <c r="I28" s="525">
        <f>'2017-2018'!V11</f>
        <v>0</v>
      </c>
      <c r="J28" s="596">
        <f t="shared" si="2"/>
        <v>0</v>
      </c>
      <c r="K28" s="523">
        <f>'2017-2018'!E11</f>
        <v>0</v>
      </c>
      <c r="L28" s="525">
        <f>'2017-2018'!W11</f>
        <v>0</v>
      </c>
      <c r="M28" s="596">
        <f t="shared" si="3"/>
        <v>0</v>
      </c>
      <c r="N28" s="523">
        <f>'2017-2018'!F11</f>
        <v>0</v>
      </c>
      <c r="O28" s="525">
        <f>'2017-2018'!X11</f>
        <v>0</v>
      </c>
      <c r="P28" s="596">
        <f t="shared" si="4"/>
        <v>0</v>
      </c>
      <c r="R28" s="461"/>
    </row>
    <row r="29" spans="1:18" hidden="1" x14ac:dyDescent="0.2">
      <c r="A29" s="517" t="s">
        <v>180</v>
      </c>
      <c r="B29" s="523">
        <f>'2017-2018'!B43</f>
        <v>0</v>
      </c>
      <c r="C29" s="525">
        <f>'2017-2018'!T43</f>
        <v>0</v>
      </c>
      <c r="D29" s="596">
        <f t="shared" si="0"/>
        <v>0</v>
      </c>
      <c r="E29" s="523">
        <f>'2017-2018'!E46</f>
        <v>0</v>
      </c>
      <c r="F29" s="525">
        <f>'2017-2018'!W20</f>
        <v>4</v>
      </c>
      <c r="G29" s="596" t="str">
        <f t="shared" si="1"/>
        <v>+ 4 cл.</v>
      </c>
      <c r="H29" s="523">
        <f>'2017-2018'!H46</f>
        <v>0</v>
      </c>
      <c r="I29" s="525">
        <f>'2017-2018'!Z20</f>
        <v>3</v>
      </c>
      <c r="J29" s="596" t="str">
        <f t="shared" si="2"/>
        <v>+ 3 cл.</v>
      </c>
      <c r="K29" s="523">
        <f>'2017-2018'!K46</f>
        <v>1</v>
      </c>
      <c r="L29" s="525">
        <f>'2017-2018'!AC20</f>
        <v>18</v>
      </c>
      <c r="M29" s="596" t="str">
        <f t="shared" si="3"/>
        <v>в 18 р.</v>
      </c>
      <c r="N29" s="523">
        <f>'2017-2018'!N46</f>
        <v>0</v>
      </c>
      <c r="O29" s="525">
        <f>'2017-2018'!AF20</f>
        <v>0</v>
      </c>
      <c r="P29" s="596">
        <f t="shared" si="4"/>
        <v>0</v>
      </c>
    </row>
    <row r="30" spans="1:18" x14ac:dyDescent="0.2">
      <c r="A30" s="517" t="s">
        <v>181</v>
      </c>
      <c r="B30" s="523">
        <f>'2017-2018'!B12</f>
        <v>15</v>
      </c>
      <c r="C30" s="525">
        <f>'2017-2018'!T12</f>
        <v>22</v>
      </c>
      <c r="D30" s="596">
        <f t="shared" si="0"/>
        <v>46.666666666666664</v>
      </c>
      <c r="E30" s="523">
        <f>'2017-2018'!C12</f>
        <v>531000</v>
      </c>
      <c r="F30" s="525">
        <f>'2017-2018'!U12</f>
        <v>3270000</v>
      </c>
      <c r="G30" s="596" t="str">
        <f t="shared" si="1"/>
        <v>в 6,2 р.</v>
      </c>
      <c r="H30" s="523">
        <f>'2017-2018'!D12</f>
        <v>1</v>
      </c>
      <c r="I30" s="525">
        <f>'2017-2018'!V12</f>
        <v>2</v>
      </c>
      <c r="J30" s="596">
        <f t="shared" si="2"/>
        <v>100</v>
      </c>
      <c r="K30" s="523">
        <f>'2017-2018'!E12</f>
        <v>0</v>
      </c>
      <c r="L30" s="525">
        <f>'2017-2018'!W12</f>
        <v>0</v>
      </c>
      <c r="M30" s="596">
        <f t="shared" si="3"/>
        <v>0</v>
      </c>
      <c r="N30" s="523">
        <f>'2017-2018'!F12</f>
        <v>0</v>
      </c>
      <c r="O30" s="525">
        <f>'2017-2018'!X12</f>
        <v>1</v>
      </c>
      <c r="P30" s="596" t="str">
        <f t="shared" si="4"/>
        <v>+ 1 cл.</v>
      </c>
    </row>
    <row r="31" spans="1:18" hidden="1" x14ac:dyDescent="0.2">
      <c r="A31" s="517" t="s">
        <v>182</v>
      </c>
      <c r="B31" s="523">
        <f>'2017-2018'!B44</f>
        <v>2</v>
      </c>
      <c r="C31" s="525">
        <f>'2017-2018'!T44</f>
        <v>2</v>
      </c>
      <c r="D31" s="596">
        <f t="shared" si="0"/>
        <v>0</v>
      </c>
      <c r="E31" s="523">
        <f>'2017-2018'!E48</f>
        <v>1</v>
      </c>
      <c r="F31" s="525">
        <f>'2017-2018'!W22</f>
        <v>0</v>
      </c>
      <c r="G31" s="596" t="str">
        <f t="shared" si="1"/>
        <v>- 1 cл.</v>
      </c>
      <c r="H31" s="523">
        <f>'2017-2018'!H48</f>
        <v>0</v>
      </c>
      <c r="I31" s="525">
        <f>'2017-2018'!Z22</f>
        <v>1</v>
      </c>
      <c r="J31" s="596" t="str">
        <f t="shared" si="2"/>
        <v>+ 1 cл.</v>
      </c>
      <c r="K31" s="523">
        <f>'2017-2018'!K48</f>
        <v>1</v>
      </c>
      <c r="L31" s="525">
        <f>'2017-2018'!AC22</f>
        <v>4</v>
      </c>
      <c r="M31" s="596" t="str">
        <f t="shared" si="3"/>
        <v>в 4 р.</v>
      </c>
      <c r="N31" s="523">
        <f>'2017-2018'!N48</f>
        <v>0</v>
      </c>
      <c r="O31" s="525">
        <f>'2017-2018'!AF22</f>
        <v>0</v>
      </c>
      <c r="P31" s="596">
        <f t="shared" si="4"/>
        <v>0</v>
      </c>
    </row>
    <row r="32" spans="1:18" x14ac:dyDescent="0.2">
      <c r="A32" s="517" t="s">
        <v>183</v>
      </c>
      <c r="B32" s="523">
        <f>'2017-2018'!B13</f>
        <v>17</v>
      </c>
      <c r="C32" s="525">
        <f>'2017-2018'!T13</f>
        <v>18</v>
      </c>
      <c r="D32" s="596">
        <f t="shared" si="0"/>
        <v>5.8823529411764701</v>
      </c>
      <c r="E32" s="523">
        <f>'2017-2018'!C13</f>
        <v>2221000</v>
      </c>
      <c r="F32" s="525">
        <f>'2017-2018'!U13</f>
        <v>2640000</v>
      </c>
      <c r="G32" s="596">
        <f t="shared" si="1"/>
        <v>18.865375956776226</v>
      </c>
      <c r="H32" s="523">
        <f>'2017-2018'!D13</f>
        <v>4</v>
      </c>
      <c r="I32" s="525">
        <f>'2017-2018'!V13</f>
        <v>2</v>
      </c>
      <c r="J32" s="596">
        <f t="shared" si="2"/>
        <v>-50</v>
      </c>
      <c r="K32" s="523">
        <f>'2017-2018'!E13</f>
        <v>1</v>
      </c>
      <c r="L32" s="525">
        <f>'2017-2018'!W13</f>
        <v>0</v>
      </c>
      <c r="M32" s="596" t="str">
        <f t="shared" si="3"/>
        <v>- 1 cл.</v>
      </c>
      <c r="N32" s="523">
        <f>'2017-2018'!F13</f>
        <v>2</v>
      </c>
      <c r="O32" s="525">
        <f>'2017-2018'!X13</f>
        <v>8</v>
      </c>
      <c r="P32" s="596" t="str">
        <f t="shared" si="4"/>
        <v>в 4 р.</v>
      </c>
    </row>
    <row r="33" spans="1:16" ht="18" hidden="1" customHeight="1" x14ac:dyDescent="0.2">
      <c r="A33" s="517" t="s">
        <v>184</v>
      </c>
      <c r="B33" s="523">
        <f>'2017-2018'!B33</f>
        <v>5</v>
      </c>
      <c r="C33" s="525">
        <f>'2017-2018'!T33</f>
        <v>6</v>
      </c>
      <c r="D33" s="596">
        <f t="shared" si="0"/>
        <v>20</v>
      </c>
      <c r="E33" s="523">
        <f>'2017-2018'!C33</f>
        <v>1131500</v>
      </c>
      <c r="F33" s="525">
        <f>'2017-2018'!U33</f>
        <v>1060000</v>
      </c>
      <c r="G33" s="596">
        <f t="shared" si="1"/>
        <v>-6.3190455148033582</v>
      </c>
      <c r="H33" s="523">
        <f>'2017-2018'!D33</f>
        <v>2</v>
      </c>
      <c r="I33" s="525">
        <f>'2017-2018'!V33</f>
        <v>0</v>
      </c>
      <c r="J33" s="596" t="str">
        <f t="shared" si="2"/>
        <v>- 2 cл.</v>
      </c>
      <c r="K33" s="523">
        <f>'2017-2018'!E33</f>
        <v>0</v>
      </c>
      <c r="L33" s="525">
        <f>'2017-2018'!W33</f>
        <v>0</v>
      </c>
      <c r="M33" s="596">
        <f t="shared" si="3"/>
        <v>0</v>
      </c>
      <c r="N33" s="523">
        <f>'2017-2018'!F33</f>
        <v>1</v>
      </c>
      <c r="O33" s="525">
        <f>'2017-2018'!X33</f>
        <v>6</v>
      </c>
      <c r="P33" s="596" t="str">
        <f t="shared" si="4"/>
        <v>в 6 р.</v>
      </c>
    </row>
    <row r="34" spans="1:16" s="616" customFormat="1" x14ac:dyDescent="0.2">
      <c r="A34" s="612" t="s">
        <v>185</v>
      </c>
      <c r="B34" s="613">
        <f>'2017-2018'!B14</f>
        <v>33</v>
      </c>
      <c r="C34" s="614">
        <f>'2017-2018'!T14</f>
        <v>34</v>
      </c>
      <c r="D34" s="615">
        <f t="shared" si="0"/>
        <v>3.0303030303030303</v>
      </c>
      <c r="E34" s="613">
        <f>'2017-2018'!C14</f>
        <v>3552400</v>
      </c>
      <c r="F34" s="614">
        <f>'2017-2018'!U14</f>
        <v>5243000</v>
      </c>
      <c r="G34" s="615">
        <f t="shared" si="1"/>
        <v>47.590361445783131</v>
      </c>
      <c r="H34" s="613">
        <f>'2017-2018'!D14</f>
        <v>4</v>
      </c>
      <c r="I34" s="614">
        <f>'2017-2018'!V14</f>
        <v>4</v>
      </c>
      <c r="J34" s="615">
        <f t="shared" si="2"/>
        <v>0</v>
      </c>
      <c r="K34" s="613">
        <f>'2017-2018'!E14</f>
        <v>4</v>
      </c>
      <c r="L34" s="614">
        <f>'2017-2018'!W14</f>
        <v>0</v>
      </c>
      <c r="M34" s="615" t="str">
        <f t="shared" si="3"/>
        <v>- 4 cл.</v>
      </c>
      <c r="N34" s="613">
        <f>'2017-2018'!F14</f>
        <v>1</v>
      </c>
      <c r="O34" s="614">
        <f>'2017-2018'!X14</f>
        <v>5</v>
      </c>
      <c r="P34" s="615" t="str">
        <f t="shared" si="4"/>
        <v>в 5 р.</v>
      </c>
    </row>
    <row r="35" spans="1:16" hidden="1" x14ac:dyDescent="0.2">
      <c r="A35" s="517" t="s">
        <v>186</v>
      </c>
      <c r="B35" s="523">
        <f>'2017-2018'!B45</f>
        <v>2</v>
      </c>
      <c r="C35" s="525">
        <f>'2017-2018'!T45</f>
        <v>2</v>
      </c>
      <c r="D35" s="596">
        <f t="shared" si="0"/>
        <v>0</v>
      </c>
      <c r="E35" s="523">
        <f>'2017-2018'!E52</f>
        <v>0</v>
      </c>
      <c r="F35" s="525">
        <f>'2017-2018'!W26</f>
        <v>6</v>
      </c>
      <c r="G35" s="596" t="str">
        <f t="shared" si="1"/>
        <v>+ 6 cл.</v>
      </c>
      <c r="H35" s="523">
        <f>'2017-2018'!H52</f>
        <v>0</v>
      </c>
      <c r="I35" s="525">
        <f>'2017-2018'!Z26</f>
        <v>7</v>
      </c>
      <c r="J35" s="596" t="str">
        <f t="shared" si="2"/>
        <v>+ 7 cл.</v>
      </c>
      <c r="K35" s="523">
        <f>'2017-2018'!K52</f>
        <v>0</v>
      </c>
      <c r="L35" s="525">
        <f>'2017-2018'!AC26</f>
        <v>15</v>
      </c>
      <c r="M35" s="596" t="str">
        <f t="shared" si="3"/>
        <v>+ 15 cл.</v>
      </c>
      <c r="N35" s="523">
        <f>'2017-2018'!N52</f>
        <v>0</v>
      </c>
      <c r="O35" s="525">
        <f>'2017-2018'!AF26</f>
        <v>0</v>
      </c>
      <c r="P35" s="596">
        <f t="shared" si="4"/>
        <v>0</v>
      </c>
    </row>
    <row r="36" spans="1:16" ht="15" hidden="1" customHeight="1" x14ac:dyDescent="0.2">
      <c r="A36" s="517" t="s">
        <v>187</v>
      </c>
      <c r="B36" s="523">
        <f>'2017-2018'!B46</f>
        <v>1</v>
      </c>
      <c r="C36" s="525">
        <f>'2017-2018'!T46</f>
        <v>0</v>
      </c>
      <c r="D36" s="596" t="str">
        <f t="shared" si="0"/>
        <v>- 1 cл.</v>
      </c>
      <c r="E36" s="523">
        <f>'2017-2018'!C46</f>
        <v>200000</v>
      </c>
      <c r="F36" s="525">
        <f>'2017-2018'!U46</f>
        <v>0</v>
      </c>
      <c r="G36" s="596" t="str">
        <f t="shared" si="1"/>
        <v>- 200000 cл.</v>
      </c>
      <c r="H36" s="523">
        <f>'2017-2018'!D46</f>
        <v>0</v>
      </c>
      <c r="I36" s="525">
        <f>'2017-2018'!V46</f>
        <v>0</v>
      </c>
      <c r="J36" s="596">
        <f t="shared" si="2"/>
        <v>0</v>
      </c>
      <c r="K36" s="523">
        <f>'2017-2018'!E46</f>
        <v>0</v>
      </c>
      <c r="L36" s="525">
        <f>'2017-2018'!W46</f>
        <v>0</v>
      </c>
      <c r="M36" s="596">
        <f t="shared" si="3"/>
        <v>0</v>
      </c>
      <c r="N36" s="523">
        <f>'2017-2018'!F46</f>
        <v>0</v>
      </c>
      <c r="O36" s="525">
        <f>'2017-2018'!X46</f>
        <v>0</v>
      </c>
      <c r="P36" s="596">
        <f t="shared" si="4"/>
        <v>0</v>
      </c>
    </row>
    <row r="37" spans="1:16" s="379" customFormat="1" x14ac:dyDescent="0.2">
      <c r="A37" s="519" t="s">
        <v>188</v>
      </c>
      <c r="B37" s="504">
        <f>'2017-2018'!B27</f>
        <v>28</v>
      </c>
      <c r="C37" s="526">
        <f>'2017-2018'!T27</f>
        <v>50</v>
      </c>
      <c r="D37" s="596">
        <f t="shared" si="0"/>
        <v>78.571428571428569</v>
      </c>
      <c r="E37" s="504">
        <f>'2017-2018'!C27</f>
        <v>4400546</v>
      </c>
      <c r="F37" s="526">
        <f>'2017-2018'!U27</f>
        <v>4944595</v>
      </c>
      <c r="G37" s="596">
        <f t="shared" si="1"/>
        <v>12.363215837307461</v>
      </c>
      <c r="H37" s="504">
        <f>'2017-2018'!D27</f>
        <v>1</v>
      </c>
      <c r="I37" s="526">
        <f>'2017-2018'!V27</f>
        <v>1</v>
      </c>
      <c r="J37" s="596">
        <f t="shared" si="2"/>
        <v>0</v>
      </c>
      <c r="K37" s="504">
        <f>'2017-2018'!E27</f>
        <v>3</v>
      </c>
      <c r="L37" s="526">
        <f>'2017-2018'!W27</f>
        <v>11</v>
      </c>
      <c r="M37" s="596" t="str">
        <f t="shared" si="3"/>
        <v>в 3,7 р.</v>
      </c>
      <c r="N37" s="504">
        <f>'2017-2018'!F27</f>
        <v>28</v>
      </c>
      <c r="O37" s="526">
        <f>'2017-2018'!X27</f>
        <v>67</v>
      </c>
      <c r="P37" s="596" t="str">
        <f t="shared" si="4"/>
        <v>в 2,4 р.</v>
      </c>
    </row>
    <row r="38" spans="1:16" x14ac:dyDescent="0.2">
      <c r="A38" s="517" t="s">
        <v>189</v>
      </c>
      <c r="B38" s="523">
        <f>'2017-2018'!B15</f>
        <v>13</v>
      </c>
      <c r="C38" s="525">
        <f>'2017-2018'!T15</f>
        <v>14</v>
      </c>
      <c r="D38" s="596">
        <f t="shared" si="0"/>
        <v>7.6923076923076925</v>
      </c>
      <c r="E38" s="523">
        <f>'2017-2018'!C15</f>
        <v>1065700</v>
      </c>
      <c r="F38" s="525">
        <f>'2017-2018'!U15</f>
        <v>4295500</v>
      </c>
      <c r="G38" s="596" t="str">
        <f t="shared" si="1"/>
        <v>в 4 р.</v>
      </c>
      <c r="H38" s="523">
        <f>'2017-2018'!D15</f>
        <v>0</v>
      </c>
      <c r="I38" s="525">
        <f>'2017-2018'!V15</f>
        <v>1</v>
      </c>
      <c r="J38" s="596" t="str">
        <f t="shared" si="2"/>
        <v>+ 1 cл.</v>
      </c>
      <c r="K38" s="523">
        <f>'2017-2018'!E15</f>
        <v>1</v>
      </c>
      <c r="L38" s="525">
        <f>'2017-2018'!W15</f>
        <v>2</v>
      </c>
      <c r="M38" s="596">
        <f t="shared" si="3"/>
        <v>100</v>
      </c>
      <c r="N38" s="523">
        <f>'2017-2018'!F15</f>
        <v>2</v>
      </c>
      <c r="O38" s="525">
        <f>'2017-2018'!X15</f>
        <v>2</v>
      </c>
      <c r="P38" s="596">
        <f t="shared" si="4"/>
        <v>0</v>
      </c>
    </row>
    <row r="39" spans="1:16" ht="13.5" hidden="1" customHeight="1" x14ac:dyDescent="0.2">
      <c r="A39" s="517" t="s">
        <v>190</v>
      </c>
      <c r="B39" s="523">
        <f>'2017-2018'!B47</f>
        <v>6</v>
      </c>
      <c r="C39" s="525">
        <f>'2017-2018'!T47</f>
        <v>5</v>
      </c>
      <c r="D39" s="596">
        <f t="shared" si="0"/>
        <v>-16.666666666666664</v>
      </c>
      <c r="E39" s="523">
        <f>'2017-2018'!C47</f>
        <v>295700</v>
      </c>
      <c r="F39" s="525">
        <f>'2017-2018'!U47</f>
        <v>950000</v>
      </c>
      <c r="G39" s="596" t="str">
        <f t="shared" si="1"/>
        <v>в 3,2 р.</v>
      </c>
      <c r="H39" s="523">
        <f>'2017-2018'!D47</f>
        <v>0</v>
      </c>
      <c r="I39" s="525">
        <f>'2017-2018'!V47</f>
        <v>0</v>
      </c>
      <c r="J39" s="596">
        <f t="shared" si="2"/>
        <v>0</v>
      </c>
      <c r="K39" s="523">
        <f>'2017-2018'!E47</f>
        <v>1</v>
      </c>
      <c r="L39" s="525">
        <f>'2017-2018'!W47</f>
        <v>0</v>
      </c>
      <c r="M39" s="596" t="str">
        <f t="shared" si="3"/>
        <v>- 1 cл.</v>
      </c>
      <c r="N39" s="523">
        <f>'2017-2018'!F47</f>
        <v>1</v>
      </c>
      <c r="O39" s="525">
        <f>'2017-2018'!X47</f>
        <v>0</v>
      </c>
      <c r="P39" s="596" t="str">
        <f t="shared" si="4"/>
        <v>- 1 cл.</v>
      </c>
    </row>
    <row r="40" spans="1:16" x14ac:dyDescent="0.2">
      <c r="A40" s="517" t="s">
        <v>191</v>
      </c>
      <c r="B40" s="523">
        <f>'2017-2018'!B16</f>
        <v>20</v>
      </c>
      <c r="C40" s="525">
        <f>'2017-2018'!T16</f>
        <v>24</v>
      </c>
      <c r="D40" s="596">
        <f t="shared" si="0"/>
        <v>20</v>
      </c>
      <c r="E40" s="523">
        <f>'2017-2018'!C16</f>
        <v>2736242</v>
      </c>
      <c r="F40" s="525">
        <f>'2017-2018'!U16</f>
        <v>4055000</v>
      </c>
      <c r="G40" s="596">
        <f t="shared" si="1"/>
        <v>48.195956351813912</v>
      </c>
      <c r="H40" s="523">
        <f>'2017-2018'!D16</f>
        <v>1</v>
      </c>
      <c r="I40" s="525">
        <f>'2017-2018'!V16</f>
        <v>3</v>
      </c>
      <c r="J40" s="596" t="str">
        <f t="shared" si="2"/>
        <v>в 3 р.</v>
      </c>
      <c r="K40" s="523">
        <f>'2017-2018'!E16</f>
        <v>1</v>
      </c>
      <c r="L40" s="525">
        <f>'2017-2018'!W16</f>
        <v>2</v>
      </c>
      <c r="M40" s="596">
        <f t="shared" si="3"/>
        <v>100</v>
      </c>
      <c r="N40" s="523">
        <f>'2017-2018'!F16</f>
        <v>0</v>
      </c>
      <c r="O40" s="525">
        <f>'2017-2018'!X16</f>
        <v>3</v>
      </c>
      <c r="P40" s="596" t="str">
        <f t="shared" si="4"/>
        <v>+ 3 cл.</v>
      </c>
    </row>
    <row r="41" spans="1:16" hidden="1" x14ac:dyDescent="0.2">
      <c r="A41" s="517" t="s">
        <v>192</v>
      </c>
      <c r="B41" s="523">
        <f>'2017-2018'!B48</f>
        <v>4</v>
      </c>
      <c r="C41" s="525">
        <f>'2017-2018'!T48</f>
        <v>7</v>
      </c>
      <c r="D41" s="596">
        <f t="shared" si="0"/>
        <v>75</v>
      </c>
      <c r="E41" s="523">
        <f>'2017-2018'!E58</f>
        <v>0</v>
      </c>
      <c r="F41" s="525">
        <f>'2017-2018'!W32</f>
        <v>0</v>
      </c>
      <c r="G41" s="596">
        <f t="shared" si="1"/>
        <v>0</v>
      </c>
      <c r="H41" s="523">
        <f>'2017-2018'!H58</f>
        <v>0</v>
      </c>
      <c r="I41" s="525">
        <f>'2017-2018'!Z32</f>
        <v>0</v>
      </c>
      <c r="J41" s="596">
        <f t="shared" si="2"/>
        <v>0</v>
      </c>
      <c r="K41" s="523">
        <f>'2017-2018'!K58</f>
        <v>0</v>
      </c>
      <c r="L41" s="525">
        <f>'2017-2018'!AC32</f>
        <v>4</v>
      </c>
      <c r="M41" s="596" t="str">
        <f t="shared" si="3"/>
        <v>+ 4 cл.</v>
      </c>
      <c r="N41" s="523">
        <f>'2017-2018'!N58</f>
        <v>0</v>
      </c>
      <c r="O41" s="525">
        <f>'2017-2018'!AF32</f>
        <v>0</v>
      </c>
      <c r="P41" s="596">
        <f t="shared" si="4"/>
        <v>0</v>
      </c>
    </row>
    <row r="42" spans="1:16" x14ac:dyDescent="0.2">
      <c r="A42" s="517" t="s">
        <v>193</v>
      </c>
      <c r="B42" s="523">
        <f>'2017-2018'!B17</f>
        <v>39</v>
      </c>
      <c r="C42" s="525">
        <f>'2017-2018'!T17</f>
        <v>27</v>
      </c>
      <c r="D42" s="596">
        <f t="shared" si="0"/>
        <v>-30.76923076923077</v>
      </c>
      <c r="E42" s="523">
        <f>'2017-2018'!C17</f>
        <v>4217000</v>
      </c>
      <c r="F42" s="525">
        <f>'2017-2018'!U17</f>
        <v>4650100</v>
      </c>
      <c r="G42" s="596">
        <f t="shared" si="1"/>
        <v>10.270334360920085</v>
      </c>
      <c r="H42" s="523">
        <f>'2017-2018'!D17</f>
        <v>1</v>
      </c>
      <c r="I42" s="525">
        <f>'2017-2018'!V17</f>
        <v>2</v>
      </c>
      <c r="J42" s="596">
        <f t="shared" si="2"/>
        <v>100</v>
      </c>
      <c r="K42" s="523">
        <f>'2017-2018'!E17</f>
        <v>4</v>
      </c>
      <c r="L42" s="525">
        <f>'2017-2018'!W17</f>
        <v>7</v>
      </c>
      <c r="M42" s="596">
        <f t="shared" si="3"/>
        <v>75</v>
      </c>
      <c r="N42" s="523">
        <f>'2017-2018'!F17</f>
        <v>11</v>
      </c>
      <c r="O42" s="525">
        <f>'2017-2018'!X17</f>
        <v>35</v>
      </c>
      <c r="P42" s="596" t="str">
        <f t="shared" si="4"/>
        <v>в 3,2 р.</v>
      </c>
    </row>
    <row r="43" spans="1:16" ht="14.25" hidden="1" customHeight="1" x14ac:dyDescent="0.2">
      <c r="A43" s="517" t="s">
        <v>194</v>
      </c>
      <c r="B43" s="523">
        <f>'2017-2018'!B34</f>
        <v>5</v>
      </c>
      <c r="C43" s="525">
        <f>'2017-2018'!T34</f>
        <v>8</v>
      </c>
      <c r="D43" s="596">
        <f t="shared" si="0"/>
        <v>60</v>
      </c>
      <c r="E43" s="523">
        <f>'2017-2018'!C34</f>
        <v>400000</v>
      </c>
      <c r="F43" s="525">
        <f>'2017-2018'!U34</f>
        <v>2150100</v>
      </c>
      <c r="G43" s="596" t="str">
        <f t="shared" si="1"/>
        <v>в 5,4 р.</v>
      </c>
      <c r="H43" s="523">
        <f>'2017-2018'!D34</f>
        <v>0</v>
      </c>
      <c r="I43" s="525">
        <f>'2017-2018'!V34</f>
        <v>1</v>
      </c>
      <c r="J43" s="596" t="str">
        <f t="shared" si="2"/>
        <v>+ 1 cл.</v>
      </c>
      <c r="K43" s="523">
        <f>'2017-2018'!E34</f>
        <v>1</v>
      </c>
      <c r="L43" s="525">
        <f>'2017-2018'!W34</f>
        <v>3</v>
      </c>
      <c r="M43" s="596" t="str">
        <f t="shared" si="3"/>
        <v>в 3 р.</v>
      </c>
      <c r="N43" s="523">
        <f>'2017-2018'!F34</f>
        <v>9</v>
      </c>
      <c r="O43" s="525">
        <f>'2017-2018'!X34</f>
        <v>30</v>
      </c>
      <c r="P43" s="596" t="str">
        <f t="shared" si="4"/>
        <v>в 3,3 р.</v>
      </c>
    </row>
    <row r="44" spans="1:16" x14ac:dyDescent="0.2">
      <c r="A44" s="517" t="s">
        <v>195</v>
      </c>
      <c r="B44" s="523">
        <f>'2017-2018'!B18</f>
        <v>57</v>
      </c>
      <c r="C44" s="525">
        <f>'2017-2018'!T18</f>
        <v>55</v>
      </c>
      <c r="D44" s="596">
        <f t="shared" si="0"/>
        <v>-3.5087719298245612</v>
      </c>
      <c r="E44" s="523">
        <f>'2017-2018'!C18</f>
        <v>14510418</v>
      </c>
      <c r="F44" s="525">
        <f>'2017-2018'!U18</f>
        <v>7905161</v>
      </c>
      <c r="G44" s="596">
        <f t="shared" si="1"/>
        <v>-45.520790648484422</v>
      </c>
      <c r="H44" s="523">
        <f>'2017-2018'!D18</f>
        <v>6</v>
      </c>
      <c r="I44" s="525">
        <f>'2017-2018'!V18</f>
        <v>3</v>
      </c>
      <c r="J44" s="596">
        <f t="shared" si="2"/>
        <v>-50</v>
      </c>
      <c r="K44" s="523">
        <f>'2017-2018'!E18</f>
        <v>4</v>
      </c>
      <c r="L44" s="525">
        <f>'2017-2018'!W18</f>
        <v>2</v>
      </c>
      <c r="M44" s="596">
        <f t="shared" si="3"/>
        <v>-50</v>
      </c>
      <c r="N44" s="523">
        <f>'2017-2018'!F18</f>
        <v>6</v>
      </c>
      <c r="O44" s="525">
        <f>'2017-2018'!X18</f>
        <v>2</v>
      </c>
      <c r="P44" s="596" t="str">
        <f t="shared" si="4"/>
        <v>- в 3 р.</v>
      </c>
    </row>
    <row r="45" spans="1:16" ht="16.5" hidden="1" customHeight="1" x14ac:dyDescent="0.2">
      <c r="A45" s="517" t="s">
        <v>196</v>
      </c>
      <c r="B45" s="523">
        <f>'2017-2018'!B49</f>
        <v>5</v>
      </c>
      <c r="C45" s="525">
        <f>'2017-2018'!T49</f>
        <v>3</v>
      </c>
      <c r="D45" s="596">
        <f t="shared" si="0"/>
        <v>-40</v>
      </c>
      <c r="E45" s="523">
        <f>'2017-2018'!C49</f>
        <v>580062</v>
      </c>
      <c r="F45" s="525">
        <f>'2017-2018'!U49</f>
        <v>360000</v>
      </c>
      <c r="G45" s="596">
        <f t="shared" si="1"/>
        <v>-37.937668731963136</v>
      </c>
      <c r="H45" s="523">
        <f>'2017-2018'!D49</f>
        <v>0</v>
      </c>
      <c r="I45" s="525">
        <f>'2017-2018'!V49</f>
        <v>1</v>
      </c>
      <c r="J45" s="596" t="str">
        <f t="shared" si="2"/>
        <v>+ 1 cл.</v>
      </c>
      <c r="K45" s="523">
        <f>'2017-2018'!E49</f>
        <v>0</v>
      </c>
      <c r="L45" s="525">
        <f>'2017-2018'!W49</f>
        <v>0</v>
      </c>
      <c r="M45" s="596">
        <f t="shared" si="3"/>
        <v>0</v>
      </c>
      <c r="N45" s="523">
        <f>'2017-2018'!F49</f>
        <v>2</v>
      </c>
      <c r="O45" s="525">
        <f>'2017-2018'!X49</f>
        <v>0</v>
      </c>
      <c r="P45" s="596" t="str">
        <f t="shared" si="4"/>
        <v>- 2 cл.</v>
      </c>
    </row>
    <row r="46" spans="1:16" x14ac:dyDescent="0.2">
      <c r="A46" s="517" t="s">
        <v>197</v>
      </c>
      <c r="B46" s="523">
        <f>'2017-2018'!B19</f>
        <v>9</v>
      </c>
      <c r="C46" s="525">
        <f>'2017-2018'!T19</f>
        <v>16</v>
      </c>
      <c r="D46" s="596">
        <f t="shared" si="0"/>
        <v>77.777777777777786</v>
      </c>
      <c r="E46" s="523">
        <f>'2017-2018'!C19</f>
        <v>906000</v>
      </c>
      <c r="F46" s="525">
        <f>'2017-2018'!U19</f>
        <v>2231136</v>
      </c>
      <c r="G46" s="596" t="str">
        <f t="shared" si="1"/>
        <v>в 2,5 р.</v>
      </c>
      <c r="H46" s="523">
        <f>'2017-2018'!D19</f>
        <v>1</v>
      </c>
      <c r="I46" s="525">
        <f>'2017-2018'!V19</f>
        <v>2</v>
      </c>
      <c r="J46" s="596">
        <f t="shared" si="2"/>
        <v>100</v>
      </c>
      <c r="K46" s="523">
        <f>'2017-2018'!E19</f>
        <v>1</v>
      </c>
      <c r="L46" s="525">
        <f>'2017-2018'!W19</f>
        <v>1</v>
      </c>
      <c r="M46" s="596">
        <f t="shared" si="3"/>
        <v>0</v>
      </c>
      <c r="N46" s="523">
        <f>'2017-2018'!F19</f>
        <v>0</v>
      </c>
      <c r="O46" s="525">
        <f>'2017-2018'!X19</f>
        <v>2</v>
      </c>
      <c r="P46" s="596" t="str">
        <f t="shared" si="4"/>
        <v>+ 2 cл.</v>
      </c>
    </row>
    <row r="47" spans="1:16" hidden="1" x14ac:dyDescent="0.2">
      <c r="A47" s="517" t="s">
        <v>198</v>
      </c>
      <c r="B47" s="523">
        <f>'2017-2018'!B50</f>
        <v>1</v>
      </c>
      <c r="C47" s="525">
        <f>'2017-2018'!T50</f>
        <v>5</v>
      </c>
      <c r="D47" s="596" t="str">
        <f t="shared" si="0"/>
        <v>в 5 р.</v>
      </c>
      <c r="E47" s="523">
        <f>'2017-2018'!E64</f>
        <v>0</v>
      </c>
      <c r="F47" s="525">
        <f>'2017-2018'!W38</f>
        <v>0</v>
      </c>
      <c r="G47" s="596">
        <f t="shared" si="1"/>
        <v>0</v>
      </c>
      <c r="H47" s="523">
        <f>'2017-2018'!H64</f>
        <v>0</v>
      </c>
      <c r="I47" s="525">
        <f>'2017-2018'!Z38</f>
        <v>0</v>
      </c>
      <c r="J47" s="596">
        <f t="shared" si="2"/>
        <v>0</v>
      </c>
      <c r="K47" s="523">
        <f>'2017-2018'!K64</f>
        <v>1</v>
      </c>
      <c r="L47" s="525">
        <f>'2017-2018'!AC38</f>
        <v>0</v>
      </c>
      <c r="M47" s="596" t="str">
        <f t="shared" si="3"/>
        <v>- 1 cл.</v>
      </c>
      <c r="N47" s="523">
        <f>'2017-2018'!N64</f>
        <v>0</v>
      </c>
      <c r="O47" s="525">
        <f>'2017-2018'!AF38</f>
        <v>0</v>
      </c>
      <c r="P47" s="596">
        <f t="shared" si="4"/>
        <v>0</v>
      </c>
    </row>
    <row r="48" spans="1:16" x14ac:dyDescent="0.2">
      <c r="A48" s="517" t="s">
        <v>199</v>
      </c>
      <c r="B48" s="523">
        <f>'2017-2018'!B20-B49</f>
        <v>16</v>
      </c>
      <c r="C48" s="525">
        <f>'2017-2018'!T20-C49</f>
        <v>14</v>
      </c>
      <c r="D48" s="596">
        <f t="shared" si="0"/>
        <v>-12.5</v>
      </c>
      <c r="E48" s="523">
        <f>'2017-2018'!C20-E49</f>
        <v>2000000</v>
      </c>
      <c r="F48" s="525">
        <f>'2017-2018'!U20-F49</f>
        <v>2034500</v>
      </c>
      <c r="G48" s="596">
        <f t="shared" si="1"/>
        <v>1.7250000000000001</v>
      </c>
      <c r="H48" s="523">
        <f>'2017-2018'!D20-H49</f>
        <v>0</v>
      </c>
      <c r="I48" s="525">
        <f>'2017-2018'!V20-I49</f>
        <v>3</v>
      </c>
      <c r="J48" s="596" t="str">
        <f t="shared" si="2"/>
        <v>+ 3 cл.</v>
      </c>
      <c r="K48" s="523">
        <f>'2017-2018'!E20-K49</f>
        <v>0</v>
      </c>
      <c r="L48" s="525">
        <f>'2017-2018'!W20-L49</f>
        <v>2</v>
      </c>
      <c r="M48" s="596" t="str">
        <f t="shared" si="3"/>
        <v>+ 2 cл.</v>
      </c>
      <c r="N48" s="523">
        <f>'2017-2018'!F20-N49</f>
        <v>1</v>
      </c>
      <c r="O48" s="525">
        <f>'2017-2018'!X20-O49</f>
        <v>1</v>
      </c>
      <c r="P48" s="596">
        <f t="shared" si="4"/>
        <v>0</v>
      </c>
    </row>
    <row r="49" spans="1:22" s="379" customFormat="1" ht="16.5" customHeight="1" x14ac:dyDescent="0.2">
      <c r="A49" s="519" t="s">
        <v>200</v>
      </c>
      <c r="B49" s="504">
        <f>'2017-2018'!B31</f>
        <v>24</v>
      </c>
      <c r="C49" s="526">
        <f>'2017-2018'!T31</f>
        <v>19</v>
      </c>
      <c r="D49" s="596">
        <f t="shared" si="0"/>
        <v>-20.833333333333336</v>
      </c>
      <c r="E49" s="504">
        <f>'2017-2018'!C31</f>
        <v>4400750</v>
      </c>
      <c r="F49" s="526">
        <f>'2017-2018'!U31</f>
        <v>2467000</v>
      </c>
      <c r="G49" s="596">
        <f t="shared" si="1"/>
        <v>-43.941373629494976</v>
      </c>
      <c r="H49" s="504">
        <f>'2017-2018'!D31</f>
        <v>2</v>
      </c>
      <c r="I49" s="526">
        <f>'2017-2018'!V31</f>
        <v>0</v>
      </c>
      <c r="J49" s="596" t="str">
        <f t="shared" si="2"/>
        <v>- 2 cл.</v>
      </c>
      <c r="K49" s="504">
        <f>'2017-2018'!E31</f>
        <v>3</v>
      </c>
      <c r="L49" s="526">
        <f>'2017-2018'!W31</f>
        <v>2</v>
      </c>
      <c r="M49" s="596">
        <f t="shared" si="3"/>
        <v>-33.333333333333329</v>
      </c>
      <c r="N49" s="504">
        <f>'2017-2018'!F31</f>
        <v>23</v>
      </c>
      <c r="O49" s="526">
        <f>'2017-2018'!X31</f>
        <v>10</v>
      </c>
      <c r="P49" s="596" t="str">
        <f t="shared" si="4"/>
        <v>- в 2,3 р.</v>
      </c>
    </row>
    <row r="50" spans="1:22" x14ac:dyDescent="0.2">
      <c r="A50" s="517" t="s">
        <v>201</v>
      </c>
      <c r="B50" s="523">
        <f>'2017-2018'!B21</f>
        <v>29</v>
      </c>
      <c r="C50" s="525">
        <f>'2017-2018'!T21</f>
        <v>25</v>
      </c>
      <c r="D50" s="596">
        <f t="shared" si="0"/>
        <v>-13.793103448275861</v>
      </c>
      <c r="E50" s="523">
        <f>'2017-2018'!C21</f>
        <v>6138347</v>
      </c>
      <c r="F50" s="525">
        <f>'2017-2018'!U21</f>
        <v>3005000</v>
      </c>
      <c r="G50" s="596" t="str">
        <f t="shared" si="1"/>
        <v>- в 2 р.</v>
      </c>
      <c r="H50" s="523">
        <f>'2017-2018'!D21</f>
        <v>1</v>
      </c>
      <c r="I50" s="525">
        <f>'2017-2018'!V21</f>
        <v>4</v>
      </c>
      <c r="J50" s="596" t="str">
        <f t="shared" si="2"/>
        <v>в 4 р.</v>
      </c>
      <c r="K50" s="523">
        <f>'2017-2018'!E21</f>
        <v>1</v>
      </c>
      <c r="L50" s="525">
        <f>'2017-2018'!W21</f>
        <v>3</v>
      </c>
      <c r="M50" s="596" t="str">
        <f t="shared" si="3"/>
        <v>в 3 р.</v>
      </c>
      <c r="N50" s="523">
        <f>'2017-2018'!F21</f>
        <v>7</v>
      </c>
      <c r="O50" s="525">
        <f>'2017-2018'!X21</f>
        <v>4</v>
      </c>
      <c r="P50" s="596">
        <f t="shared" si="4"/>
        <v>-42.857142857142854</v>
      </c>
    </row>
    <row r="51" spans="1:22" hidden="1" x14ac:dyDescent="0.2">
      <c r="A51" s="517" t="s">
        <v>202</v>
      </c>
      <c r="B51" s="523">
        <f>'2017-2018'!B35</f>
        <v>5</v>
      </c>
      <c r="C51" s="525">
        <f>'2017-2018'!T35</f>
        <v>3</v>
      </c>
      <c r="D51" s="596">
        <f t="shared" si="0"/>
        <v>-40</v>
      </c>
      <c r="E51" s="523">
        <f>'2017-2018'!E68</f>
        <v>0</v>
      </c>
      <c r="F51" s="525">
        <f>'2017-2018'!W42</f>
        <v>0</v>
      </c>
      <c r="G51" s="596">
        <f t="shared" si="1"/>
        <v>0</v>
      </c>
      <c r="H51" s="523">
        <f>'2017-2018'!H68</f>
        <v>0</v>
      </c>
      <c r="I51" s="525">
        <f>'2017-2018'!Z42</f>
        <v>0</v>
      </c>
      <c r="J51" s="596">
        <f t="shared" si="2"/>
        <v>0</v>
      </c>
      <c r="K51" s="523">
        <f>'2017-2018'!K68</f>
        <v>0</v>
      </c>
      <c r="L51" s="525">
        <f>'2017-2018'!AC42</f>
        <v>1</v>
      </c>
      <c r="M51" s="596" t="str">
        <f t="shared" si="3"/>
        <v>+ 1 cл.</v>
      </c>
      <c r="N51" s="523">
        <f>'2017-2018'!N68</f>
        <v>0</v>
      </c>
      <c r="O51" s="525">
        <f>'2017-2018'!AF42</f>
        <v>0</v>
      </c>
      <c r="P51" s="596">
        <f t="shared" si="4"/>
        <v>0</v>
      </c>
    </row>
    <row r="52" spans="1:22" x14ac:dyDescent="0.2">
      <c r="A52" s="517" t="s">
        <v>203</v>
      </c>
      <c r="B52" s="523">
        <f>'2017-2018'!B22</f>
        <v>14</v>
      </c>
      <c r="C52" s="525">
        <f>'2017-2018'!T22</f>
        <v>15</v>
      </c>
      <c r="D52" s="596">
        <f t="shared" si="0"/>
        <v>7.1428571428571423</v>
      </c>
      <c r="E52" s="523">
        <f>'2017-2018'!C22</f>
        <v>784000</v>
      </c>
      <c r="F52" s="525">
        <f>'2017-2018'!U22</f>
        <v>1374528</v>
      </c>
      <c r="G52" s="596">
        <f t="shared" si="1"/>
        <v>75.32244897959184</v>
      </c>
      <c r="H52" s="523">
        <f>'2017-2018'!D22</f>
        <v>2</v>
      </c>
      <c r="I52" s="525">
        <f>'2017-2018'!V22</f>
        <v>5</v>
      </c>
      <c r="J52" s="596" t="str">
        <f t="shared" si="2"/>
        <v>в 2,5 р.</v>
      </c>
      <c r="K52" s="523">
        <f>'2017-2018'!E22</f>
        <v>2</v>
      </c>
      <c r="L52" s="525">
        <f>'2017-2018'!W22</f>
        <v>0</v>
      </c>
      <c r="M52" s="596" t="str">
        <f t="shared" si="3"/>
        <v>- 2 cл.</v>
      </c>
      <c r="N52" s="523">
        <f>'2017-2018'!F22</f>
        <v>1</v>
      </c>
      <c r="O52" s="525">
        <f>'2017-2018'!X22</f>
        <v>0</v>
      </c>
      <c r="P52" s="596" t="str">
        <f t="shared" si="4"/>
        <v>- 1 cл.</v>
      </c>
    </row>
    <row r="53" spans="1:22" hidden="1" x14ac:dyDescent="0.2">
      <c r="A53" s="517" t="s">
        <v>204</v>
      </c>
      <c r="B53" s="523">
        <f>'2017-2018'!B51</f>
        <v>1</v>
      </c>
      <c r="C53" s="525">
        <f>'2017-2018'!T51</f>
        <v>0</v>
      </c>
      <c r="D53" s="596" t="str">
        <f t="shared" si="0"/>
        <v>- 1 cл.</v>
      </c>
      <c r="E53" s="523">
        <f>'2017-2018'!E70</f>
        <v>0</v>
      </c>
      <c r="F53" s="525">
        <f>'2017-2018'!W44</f>
        <v>1</v>
      </c>
      <c r="G53" s="596" t="str">
        <f t="shared" si="1"/>
        <v>+ 1 cл.</v>
      </c>
      <c r="H53" s="523">
        <f>'2017-2018'!H70</f>
        <v>0</v>
      </c>
      <c r="I53" s="525">
        <f>'2017-2018'!Z44</f>
        <v>0</v>
      </c>
      <c r="J53" s="596">
        <f t="shared" si="2"/>
        <v>0</v>
      </c>
      <c r="K53" s="523">
        <f>'2017-2018'!K70</f>
        <v>1</v>
      </c>
      <c r="L53" s="525">
        <f>'2017-2018'!AC44</f>
        <v>2</v>
      </c>
      <c r="M53" s="596">
        <f t="shared" si="3"/>
        <v>100</v>
      </c>
      <c r="N53" s="523">
        <f>'2017-2018'!N70</f>
        <v>0</v>
      </c>
      <c r="O53" s="525">
        <f>'2017-2018'!AF44</f>
        <v>0</v>
      </c>
      <c r="P53" s="596">
        <f t="shared" si="4"/>
        <v>0</v>
      </c>
    </row>
    <row r="54" spans="1:22" ht="15.75" thickBot="1" x14ac:dyDescent="0.25">
      <c r="A54" s="517" t="s">
        <v>205</v>
      </c>
      <c r="B54" s="524">
        <f>'2017-2018'!B23</f>
        <v>8</v>
      </c>
      <c r="C54" s="527">
        <f>'2017-2018'!T23</f>
        <v>11</v>
      </c>
      <c r="D54" s="596">
        <f t="shared" si="0"/>
        <v>37.5</v>
      </c>
      <c r="E54" s="523">
        <f>'2017-2018'!C23</f>
        <v>938800</v>
      </c>
      <c r="F54" s="525">
        <f>'2017-2018'!U23</f>
        <v>5335325</v>
      </c>
      <c r="G54" s="596" t="str">
        <f t="shared" si="1"/>
        <v>в 5,7 р.</v>
      </c>
      <c r="H54" s="523">
        <f>'2017-2018'!D23</f>
        <v>3</v>
      </c>
      <c r="I54" s="525">
        <f>'2017-2018'!V23</f>
        <v>1</v>
      </c>
      <c r="J54" s="596" t="str">
        <f t="shared" si="2"/>
        <v>- в 3 р.</v>
      </c>
      <c r="K54" s="523">
        <f>'2017-2018'!E23</f>
        <v>0</v>
      </c>
      <c r="L54" s="525">
        <f>'2017-2018'!W23</f>
        <v>0</v>
      </c>
      <c r="M54" s="596">
        <f t="shared" si="3"/>
        <v>0</v>
      </c>
      <c r="N54" s="523">
        <f>'2017-2018'!F23</f>
        <v>0</v>
      </c>
      <c r="O54" s="525">
        <f>'2017-2018'!X23</f>
        <v>0</v>
      </c>
      <c r="P54" s="596">
        <f t="shared" si="4"/>
        <v>0</v>
      </c>
    </row>
    <row r="55" spans="1:22" ht="15.75" hidden="1" thickBot="1" x14ac:dyDescent="0.25">
      <c r="A55" s="375" t="s">
        <v>206</v>
      </c>
      <c r="B55" s="520">
        <f>'2017-2018'!B52</f>
        <v>1</v>
      </c>
      <c r="C55" s="502">
        <f>'2017-2018'!T52</f>
        <v>0</v>
      </c>
      <c r="D55" s="596" t="str">
        <f t="shared" si="0"/>
        <v>- 1 cл.</v>
      </c>
      <c r="E55" s="523">
        <f>'2017-2018'!C52</f>
        <v>10000</v>
      </c>
      <c r="F55" s="525">
        <f>'2017-2018'!U52</f>
        <v>0</v>
      </c>
      <c r="G55" s="596" t="str">
        <f t="shared" si="1"/>
        <v>- 10000 cл.</v>
      </c>
      <c r="H55" s="523">
        <f>'2017-2018'!D52</f>
        <v>0</v>
      </c>
      <c r="I55" s="525">
        <f>'2017-2018'!V52</f>
        <v>0</v>
      </c>
      <c r="J55" s="596">
        <f t="shared" si="2"/>
        <v>0</v>
      </c>
      <c r="K55" s="523">
        <f>'2017-2018'!E52</f>
        <v>0</v>
      </c>
      <c r="L55" s="525">
        <f>'2017-2018'!W52</f>
        <v>0</v>
      </c>
      <c r="M55" s="596">
        <f t="shared" si="3"/>
        <v>0</v>
      </c>
      <c r="N55" s="523">
        <f>'2017-2018'!F52</f>
        <v>0</v>
      </c>
      <c r="O55" s="525">
        <f>'2017-2018'!X52</f>
        <v>0</v>
      </c>
      <c r="P55" s="596">
        <f t="shared" si="4"/>
        <v>0</v>
      </c>
    </row>
    <row r="56" spans="1:22" ht="16.5" hidden="1" thickBot="1" x14ac:dyDescent="0.3">
      <c r="A56" s="376" t="s">
        <v>4</v>
      </c>
      <c r="B56" s="372">
        <f>B6+B11+B12+B14+B16+B18+B20+B21+B23+B25+B27+B29+B31+B33+B35+B36+B37+B39+B41+B43+B45+B47+B49+B51+B53+B55</f>
        <v>319</v>
      </c>
      <c r="C56" s="371">
        <f>C6+C11+C12+C14+C16+C18+C20+C21+C23+C25+C27+C29+C31+C33+C35+C36+C37+C39+C41+C43+C45+C47+C49+C51+C53+C55</f>
        <v>357</v>
      </c>
      <c r="D56" s="596">
        <f t="shared" si="0"/>
        <v>11.912225705329153</v>
      </c>
      <c r="E56" s="528">
        <f>E6+E11+E12+E14+E16+E18+E20+E21+E23+E25+E27+E29+E31+E33+E35+E36+E37+E39+E41+E43+E45+E47+E49+E51+E53+E55</f>
        <v>33235335</v>
      </c>
      <c r="F56" s="529">
        <f>F6+F11+F12+F14+F16+F18+F20+F21+F23+F25+F27+F29+F31+F33+F35+F36+F37+F39+F41+F43+F45+F47+F49+F51+F53+F55</f>
        <v>45360727</v>
      </c>
      <c r="G56" s="596">
        <f t="shared" si="1"/>
        <v>36.483435476128037</v>
      </c>
      <c r="H56" s="533">
        <f>H6+H11+H12+H14+H16+H18+H20+H21+H23+H25+H27+H29+H31+H33+H35+H36+H37+H39+H41+H43+H45+H47+H49+H51+H53+H55</f>
        <v>23</v>
      </c>
      <c r="I56" s="534">
        <f>I6+I11+I12+I14+I16+I18+I20+I21+I23+I25+I27+I29+I31+I33+I35+I36+I37+I39+I41+I43+I45+I47+I49+I51+I53+I55</f>
        <v>36</v>
      </c>
      <c r="J56" s="596">
        <f t="shared" si="2"/>
        <v>56.521739130434781</v>
      </c>
      <c r="K56" s="533">
        <f>K6+K11+K12+K14+K16+K18+K20+K21+K23+K25+K27+K29+K31+K33+K35+K36+K37+K39+K41+K43+K45+K47+K49+K51+K53+K55</f>
        <v>68</v>
      </c>
      <c r="L56" s="534">
        <f>L6+L11+L12+L14+L16+L18+L20+L21+L23+L25+L27+L29+L31+L33+L35+L36+L37+L39+L41+L43+L45+L47+L49+L51+L53+L55</f>
        <v>184</v>
      </c>
      <c r="M56" s="596" t="str">
        <f t="shared" si="3"/>
        <v>в 2,7 р.</v>
      </c>
      <c r="N56" s="533">
        <f>N6+N11+N12+N14+N16+N18+N20+N21+N23+N25+N27+N29+N31+N33+N35+N36+N37+N39+N41+N43+N45+N47+N49+N51+N53+N55</f>
        <v>164</v>
      </c>
      <c r="O56" s="534">
        <f>O6+O11+O12+O14+O16+O18+O20+O21+O23+O25+O27+O29+O31+O33+O35+O36+O37+O39+O41+O43+O45+O47+O49+O51+O53+O55</f>
        <v>299</v>
      </c>
      <c r="P56" s="596">
        <f t="shared" si="4"/>
        <v>82.317073170731703</v>
      </c>
    </row>
    <row r="57" spans="1:22" ht="16.5" hidden="1" thickBot="1" x14ac:dyDescent="0.3">
      <c r="A57" s="535" t="s">
        <v>207</v>
      </c>
      <c r="B57" s="536">
        <f>B58-B56</f>
        <v>429</v>
      </c>
      <c r="C57" s="537">
        <f>C58-C56</f>
        <v>421</v>
      </c>
      <c r="D57" s="596">
        <f t="shared" si="0"/>
        <v>-1.8648018648018647</v>
      </c>
      <c r="E57" s="538">
        <f>E58-E56</f>
        <v>70935934</v>
      </c>
      <c r="F57" s="539">
        <f>F58-F56</f>
        <v>74115823</v>
      </c>
      <c r="G57" s="596">
        <f t="shared" si="1"/>
        <v>4.4827618679130943</v>
      </c>
      <c r="H57" s="540">
        <f>H58-H56</f>
        <v>34</v>
      </c>
      <c r="I57" s="541">
        <f>I58-I56</f>
        <v>23</v>
      </c>
      <c r="J57" s="596">
        <f t="shared" si="2"/>
        <v>-32.352941176470587</v>
      </c>
      <c r="K57" s="540">
        <f>K58-K56</f>
        <v>-6</v>
      </c>
      <c r="L57" s="541">
        <f>L58-L56</f>
        <v>-112</v>
      </c>
      <c r="M57" s="596" t="str">
        <f t="shared" si="3"/>
        <v>- в 0,1 р.</v>
      </c>
      <c r="N57" s="540">
        <f>N58-N56</f>
        <v>36</v>
      </c>
      <c r="O57" s="541">
        <f>O58-O56</f>
        <v>40</v>
      </c>
      <c r="P57" s="596">
        <f t="shared" si="4"/>
        <v>11.111111111111111</v>
      </c>
      <c r="S57" s="377"/>
      <c r="T57" s="377"/>
      <c r="U57" s="377"/>
      <c r="V57" s="377"/>
    </row>
    <row r="58" spans="1:22" ht="16.5" thickBot="1" x14ac:dyDescent="0.3">
      <c r="A58" s="586" t="s">
        <v>208</v>
      </c>
      <c r="B58" s="587">
        <f>B6+B10+B11+B13+B15+B17+B19+B22+B23+B24+B26+B28+B30+B32+B34+B37+B38+B40+B42+B44+B46+B48+B49+B50+B52+B54</f>
        <v>748</v>
      </c>
      <c r="C58" s="544">
        <f>C6+C10+C11+C13+C15+C17+C19+C22+C23+C24+C26+C28+C30+C32+C34+C37+C38+C40+C42+C44+C46+C48+C49+C50+C52+C54</f>
        <v>778</v>
      </c>
      <c r="D58" s="596">
        <f t="shared" si="0"/>
        <v>4.0106951871657754</v>
      </c>
      <c r="E58" s="542">
        <f>E6+E10+E11+E13+E15+E17+E19+E22+E23+E24+E26+E28+E30+E32+E34+E37+E38+E40+E42+E44+E46+E48+E49+E50+E52+E54</f>
        <v>104171269</v>
      </c>
      <c r="F58" s="543">
        <f>F6+F10+F11+F13+F15+F17+F19+F22+F23+F24+F26+F28+F30+F32+F34+F37+F38+F40+F42+F44+F46+F48+F49+F50+F52+F54</f>
        <v>119476550</v>
      </c>
      <c r="G58" s="596">
        <f t="shared" si="1"/>
        <v>14.692420613595484</v>
      </c>
      <c r="H58" s="531">
        <f>H6+H10+H11+H13+H15+H17+H19+H22+H23+H24+H26+H28+H30+H32+H34+H37+H38+H40+H42+H44+H46+H48+H49+H50+H52+H54</f>
        <v>57</v>
      </c>
      <c r="I58" s="532">
        <f>I6+I10+I11+I13+I15+I17+I19+I22+I23+I24+I26+I28+I30+I32+I34+I37+I38+I40+I42+I44+I46+I48+I49+I50+I52+I54</f>
        <v>59</v>
      </c>
      <c r="J58" s="596">
        <f t="shared" si="2"/>
        <v>3.5087719298245612</v>
      </c>
      <c r="K58" s="531">
        <f>K6+K10+K11+K13+K15+K17+K19+K22+K23+K24+K26+K28+K30+K32+K34+K37+K38+K40+K42+K44+K46+K48+K49+K50+K52+K54</f>
        <v>62</v>
      </c>
      <c r="L58" s="532">
        <f>L6+L10+L11+L13+L15+L17+L19+L22+L23+L24+L26+L28+L30+L32+L34+L37+L38+L40+L42+L44+L46+L48+L49+L50+L52+L54</f>
        <v>72</v>
      </c>
      <c r="M58" s="596">
        <f t="shared" si="3"/>
        <v>16.129032258064516</v>
      </c>
      <c r="N58" s="531">
        <f>N6+N10+N11+N13+N15+N17+N19+N22+N23+N24+N26+N28+N30+N32+N34+N37+N38+N40+N42+N44+N46+N48+N49+N50+N52+N54</f>
        <v>200</v>
      </c>
      <c r="O58" s="544">
        <f>O6+O10+O11+O13+O15+O17+O19+O22+O23+O24+O26+O28+O30+O32+O34+O37+O38+O40+O42+O44+O46+O48+O49+O50+O52+O54</f>
        <v>339</v>
      </c>
      <c r="P58" s="596">
        <f t="shared" si="4"/>
        <v>69.5</v>
      </c>
      <c r="S58" s="377"/>
      <c r="T58" s="377"/>
      <c r="U58" s="377"/>
      <c r="V58" s="377"/>
    </row>
    <row r="59" spans="1:22" ht="15.75" thickBot="1" x14ac:dyDescent="0.25">
      <c r="A59" s="378"/>
      <c r="B59" s="515"/>
      <c r="C59" s="515"/>
      <c r="D59" s="378"/>
      <c r="E59" s="515"/>
      <c r="F59" s="515"/>
      <c r="G59" s="591"/>
      <c r="H59" s="515"/>
      <c r="I59" s="515"/>
      <c r="J59" s="378"/>
      <c r="K59" s="515"/>
      <c r="L59" s="515"/>
      <c r="M59" s="378"/>
      <c r="N59" s="515"/>
      <c r="O59" s="515"/>
      <c r="P59" s="378"/>
      <c r="R59" s="377"/>
      <c r="S59" s="377"/>
      <c r="T59" s="377"/>
      <c r="U59" s="377"/>
      <c r="V59" s="377"/>
    </row>
    <row r="60" spans="1:22" ht="15.75" thickBot="1" x14ac:dyDescent="0.25">
      <c r="A60" s="510" t="s">
        <v>521</v>
      </c>
      <c r="B60" s="507">
        <f>'2017-2018'!B3</f>
        <v>54</v>
      </c>
      <c r="C60" s="507">
        <f>'2017-2018'!T3</f>
        <v>52</v>
      </c>
      <c r="D60" s="593" t="str">
        <f t="shared" ref="D60:D62" si="5">IF(B60&lt;&gt;0,TEXT(((C60-B60)/B60)*100,"0,0"),"--")</f>
        <v>-3,7</v>
      </c>
      <c r="E60" s="507">
        <f>'2017-2018'!C3</f>
        <v>6870800</v>
      </c>
      <c r="F60" s="507">
        <f>'2017-2018'!U3</f>
        <v>10701200</v>
      </c>
      <c r="G60" s="593" t="str">
        <f t="shared" ref="G60:G62" si="6">IF(E60&lt;&gt;0,TEXT(((F60-E60)/E60)*100,"0,0"),"--")</f>
        <v>55,7</v>
      </c>
      <c r="H60" s="507">
        <f>'2017-2018'!D3</f>
        <v>4</v>
      </c>
      <c r="I60" s="507">
        <f>'2017-2018'!V3</f>
        <v>4</v>
      </c>
      <c r="J60" s="506" t="str">
        <f t="shared" ref="J60:J62" si="7">IF(H60&lt;&gt;0,TEXT(((I60-H60)/H60)*100,"0,0"),"--")</f>
        <v>0,0</v>
      </c>
      <c r="K60" s="507">
        <f>'2017-2018'!E3</f>
        <v>4</v>
      </c>
      <c r="L60" s="507">
        <f>'2017-2018'!W3</f>
        <v>2</v>
      </c>
      <c r="M60" s="505" t="str">
        <f t="shared" ref="M60:M62" si="8">IF(K60&lt;&gt;0,TEXT(((L60-K60)/K60)*100,"0,0"),"--")</f>
        <v>-50,0</v>
      </c>
      <c r="N60" s="507">
        <f>'2017-2018'!F3</f>
        <v>5</v>
      </c>
      <c r="O60" s="507">
        <f>'2017-2018'!X3</f>
        <v>3</v>
      </c>
      <c r="P60" s="505" t="str">
        <f t="shared" ref="P60:P62" si="9">IF(N60&lt;&gt;0,TEXT(((O60-N60)/N60)*100,"0,0"),"--")</f>
        <v>-40,0</v>
      </c>
      <c r="R60" s="377"/>
      <c r="S60" s="377"/>
      <c r="T60" s="377"/>
      <c r="U60" s="377"/>
      <c r="V60" s="377"/>
    </row>
    <row r="61" spans="1:22" ht="15.75" thickBot="1" x14ac:dyDescent="0.25">
      <c r="A61" s="510" t="s">
        <v>522</v>
      </c>
      <c r="B61" s="508">
        <f>'2017-2018'!B8</f>
        <v>48</v>
      </c>
      <c r="C61" s="508">
        <f>'2017-2018'!T8</f>
        <v>74</v>
      </c>
      <c r="D61" s="594" t="str">
        <f t="shared" si="5"/>
        <v>54,2</v>
      </c>
      <c r="E61" s="508">
        <f>'2017-2018'!C8</f>
        <v>4780500</v>
      </c>
      <c r="F61" s="508">
        <f>'2017-2018'!U8</f>
        <v>8360000</v>
      </c>
      <c r="G61" s="594" t="str">
        <f t="shared" si="6"/>
        <v>74,9</v>
      </c>
      <c r="H61" s="508">
        <f>'2017-2018'!D8</f>
        <v>5</v>
      </c>
      <c r="I61" s="508">
        <f>'2017-2018'!V8</f>
        <v>6</v>
      </c>
      <c r="J61" s="508" t="str">
        <f t="shared" si="7"/>
        <v>20,0</v>
      </c>
      <c r="K61" s="508">
        <f>'2017-2018'!E8</f>
        <v>2</v>
      </c>
      <c r="L61" s="508">
        <f>'2017-2018'!W8</f>
        <v>10</v>
      </c>
      <c r="M61" s="508" t="str">
        <f t="shared" si="8"/>
        <v>400,0</v>
      </c>
      <c r="N61" s="508">
        <f>'2017-2018'!F8</f>
        <v>3</v>
      </c>
      <c r="O61" s="508">
        <f>'2017-2018'!X8</f>
        <v>25</v>
      </c>
      <c r="P61" s="508" t="str">
        <f t="shared" si="9"/>
        <v>733,3</v>
      </c>
      <c r="R61" s="377"/>
      <c r="S61" s="377"/>
      <c r="T61" s="377"/>
      <c r="U61" s="377"/>
      <c r="V61" s="377"/>
    </row>
    <row r="62" spans="1:22" ht="15.75" thickBot="1" x14ac:dyDescent="0.25">
      <c r="A62" s="510" t="s">
        <v>523</v>
      </c>
      <c r="B62" s="508">
        <f>'2017-2018'!B20</f>
        <v>40</v>
      </c>
      <c r="C62" s="508">
        <f>'2017-2018'!T20</f>
        <v>33</v>
      </c>
      <c r="D62" s="594" t="str">
        <f t="shared" si="5"/>
        <v>-17,5</v>
      </c>
      <c r="E62" s="508">
        <f>'2017-2018'!C20</f>
        <v>6400750</v>
      </c>
      <c r="F62" s="508">
        <f>'2017-2018'!U20</f>
        <v>4501500</v>
      </c>
      <c r="G62" s="594" t="str">
        <f t="shared" si="6"/>
        <v>-29,7</v>
      </c>
      <c r="H62" s="509">
        <f>'2017-2018'!D20</f>
        <v>2</v>
      </c>
      <c r="I62" s="509">
        <f>'2017-2018'!V20</f>
        <v>3</v>
      </c>
      <c r="J62" s="509" t="str">
        <f t="shared" si="7"/>
        <v>50,0</v>
      </c>
      <c r="K62" s="508">
        <f>'2017-2018'!E20</f>
        <v>3</v>
      </c>
      <c r="L62" s="508">
        <f>'2017-2018'!W20</f>
        <v>4</v>
      </c>
      <c r="M62" s="508" t="str">
        <f t="shared" si="8"/>
        <v>33,3</v>
      </c>
      <c r="N62" s="508">
        <f>'2017-2018'!F20</f>
        <v>24</v>
      </c>
      <c r="O62" s="508">
        <f>'2017-2018'!X20</f>
        <v>11</v>
      </c>
      <c r="P62" s="508" t="str">
        <f t="shared" si="9"/>
        <v>-54,2</v>
      </c>
      <c r="R62" s="377"/>
      <c r="S62" s="377"/>
      <c r="T62" s="377"/>
      <c r="U62" s="377"/>
      <c r="V62" s="377"/>
    </row>
    <row r="63" spans="1:22" x14ac:dyDescent="0.2">
      <c r="A63" s="377"/>
      <c r="B63" s="377"/>
      <c r="C63" s="377"/>
      <c r="D63" s="591"/>
      <c r="G63" s="595"/>
      <c r="K63" s="377"/>
      <c r="L63" s="377"/>
      <c r="M63" s="377"/>
      <c r="N63" s="377"/>
      <c r="O63" s="377"/>
      <c r="P63" s="377"/>
      <c r="R63" s="377"/>
      <c r="S63" s="377"/>
      <c r="T63" s="377"/>
      <c r="U63" s="377"/>
      <c r="V63" s="377"/>
    </row>
    <row r="64" spans="1:22" x14ac:dyDescent="0.2">
      <c r="A64" s="377" t="s">
        <v>462</v>
      </c>
      <c r="B64" s="377"/>
      <c r="C64" s="377"/>
      <c r="G64" s="595"/>
      <c r="L64" s="377"/>
      <c r="M64" s="377"/>
      <c r="N64" s="377"/>
      <c r="O64" s="377"/>
      <c r="P64" s="377"/>
      <c r="R64" s="377"/>
      <c r="S64" s="377"/>
      <c r="T64" s="377"/>
      <c r="U64" s="377"/>
      <c r="V64" s="377"/>
    </row>
    <row r="65" spans="1:22" x14ac:dyDescent="0.2">
      <c r="A65" s="377"/>
      <c r="B65" s="377"/>
      <c r="C65" s="377"/>
      <c r="D65" s="228" t="s">
        <v>461</v>
      </c>
      <c r="G65" s="595"/>
      <c r="L65" s="377"/>
      <c r="M65" s="377"/>
      <c r="N65" s="377"/>
      <c r="O65" s="377"/>
      <c r="P65" s="377"/>
      <c r="R65" s="377"/>
      <c r="S65" s="377"/>
      <c r="T65" s="377"/>
      <c r="U65" s="377"/>
      <c r="V65" s="377"/>
    </row>
    <row r="66" spans="1:22" x14ac:dyDescent="0.2">
      <c r="A66" s="377"/>
      <c r="B66" s="377"/>
      <c r="C66" s="377"/>
      <c r="G66" s="595"/>
      <c r="L66" s="377"/>
      <c r="M66" s="377"/>
      <c r="N66" s="377"/>
      <c r="O66" s="377"/>
      <c r="P66" s="377"/>
      <c r="R66" s="377"/>
      <c r="S66" s="377"/>
      <c r="T66" s="377"/>
      <c r="U66" s="377"/>
      <c r="V66" s="377"/>
    </row>
    <row r="67" spans="1:22" x14ac:dyDescent="0.2">
      <c r="A67" s="377"/>
      <c r="B67" s="377"/>
      <c r="C67" s="377"/>
      <c r="G67" s="595"/>
      <c r="L67" s="377"/>
      <c r="M67" s="377"/>
      <c r="N67" s="377"/>
      <c r="O67" s="377"/>
      <c r="P67" s="377"/>
    </row>
    <row r="68" spans="1:22" x14ac:dyDescent="0.2">
      <c r="A68" s="377"/>
      <c r="B68" s="377"/>
      <c r="C68" s="377"/>
      <c r="G68" s="595"/>
      <c r="L68" s="377"/>
      <c r="M68" s="377"/>
      <c r="N68" s="377"/>
      <c r="O68" s="377"/>
      <c r="P68" s="377"/>
    </row>
    <row r="69" spans="1:22" x14ac:dyDescent="0.2">
      <c r="A69" s="377"/>
      <c r="B69" s="377"/>
      <c r="C69" s="377"/>
      <c r="G69" s="595"/>
      <c r="H69" s="226"/>
      <c r="L69" s="377"/>
      <c r="M69" s="377"/>
      <c r="N69" s="377"/>
      <c r="O69" s="377"/>
      <c r="P69" s="377"/>
    </row>
    <row r="70" spans="1:22" x14ac:dyDescent="0.2">
      <c r="A70" s="377"/>
      <c r="B70" s="377"/>
      <c r="C70" s="377"/>
      <c r="L70" s="379"/>
      <c r="M70" s="379"/>
      <c r="N70" s="377"/>
      <c r="O70" s="377"/>
      <c r="P70" s="377"/>
    </row>
    <row r="71" spans="1:22" x14ac:dyDescent="0.2">
      <c r="A71" s="377"/>
      <c r="B71" s="377"/>
      <c r="C71" s="377"/>
      <c r="L71" s="379"/>
      <c r="M71" s="379"/>
      <c r="N71" s="377"/>
      <c r="O71" s="377"/>
      <c r="P71" s="377"/>
    </row>
    <row r="72" spans="1:22" x14ac:dyDescent="0.2">
      <c r="A72" s="377"/>
      <c r="B72" s="377"/>
      <c r="C72" s="377"/>
      <c r="D72" s="591"/>
      <c r="E72" s="377"/>
      <c r="F72" s="377"/>
      <c r="G72" s="591"/>
      <c r="L72" s="379"/>
      <c r="M72" s="379"/>
      <c r="N72" s="377"/>
      <c r="O72" s="377"/>
      <c r="P72" s="377"/>
    </row>
    <row r="73" spans="1:22" x14ac:dyDescent="0.2">
      <c r="A73" s="377"/>
      <c r="B73" s="377"/>
      <c r="C73" s="377"/>
      <c r="D73" s="591"/>
      <c r="E73" s="377"/>
      <c r="F73" s="377"/>
      <c r="G73" s="591"/>
      <c r="L73" s="379"/>
      <c r="M73" s="379"/>
      <c r="N73" s="377"/>
      <c r="O73" s="377"/>
      <c r="P73" s="377"/>
    </row>
    <row r="74" spans="1:22" x14ac:dyDescent="0.2">
      <c r="A74" s="377"/>
      <c r="B74" s="377"/>
      <c r="C74" s="377"/>
      <c r="D74" s="591"/>
      <c r="E74" s="377"/>
      <c r="F74" s="377"/>
      <c r="G74" s="591"/>
      <c r="L74" s="379"/>
      <c r="M74" s="379"/>
      <c r="N74" s="377"/>
      <c r="O74" s="377"/>
      <c r="P74" s="377"/>
    </row>
    <row r="75" spans="1:22" x14ac:dyDescent="0.2">
      <c r="A75" s="377"/>
      <c r="B75" s="377"/>
      <c r="C75" s="377"/>
      <c r="D75" s="591"/>
      <c r="E75" s="377"/>
      <c r="F75" s="377"/>
      <c r="G75" s="591"/>
      <c r="L75" s="379"/>
      <c r="M75" s="379"/>
      <c r="N75" s="377"/>
      <c r="O75" s="377"/>
      <c r="P75" s="377"/>
    </row>
    <row r="76" spans="1:22" x14ac:dyDescent="0.2">
      <c r="A76" s="377"/>
      <c r="B76" s="377"/>
      <c r="C76" s="377"/>
      <c r="D76" s="591"/>
      <c r="E76" s="377"/>
      <c r="F76" s="377"/>
      <c r="G76" s="591"/>
      <c r="M76" s="379"/>
      <c r="N76" s="379"/>
      <c r="O76" s="377"/>
      <c r="P76" s="377"/>
    </row>
    <row r="77" spans="1:22" x14ac:dyDescent="0.2">
      <c r="A77" s="377"/>
      <c r="B77" s="377"/>
      <c r="C77" s="377"/>
      <c r="D77" s="591"/>
      <c r="E77" s="377"/>
      <c r="F77" s="377"/>
      <c r="G77" s="591"/>
      <c r="H77" s="377"/>
      <c r="I77" s="377"/>
      <c r="J77" s="377"/>
      <c r="M77" s="379"/>
      <c r="N77" s="379"/>
      <c r="O77" s="377"/>
      <c r="P77" s="377"/>
    </row>
    <row r="78" spans="1:22" x14ac:dyDescent="0.2">
      <c r="A78" s="377"/>
      <c r="B78" s="377"/>
      <c r="C78" s="377"/>
      <c r="D78" s="591"/>
      <c r="E78" s="377"/>
      <c r="F78" s="377"/>
      <c r="G78" s="591"/>
      <c r="H78" s="377"/>
      <c r="I78" s="377"/>
      <c r="J78" s="377"/>
      <c r="M78" s="379"/>
      <c r="N78" s="379"/>
      <c r="O78" s="377"/>
      <c r="P78" s="377"/>
    </row>
    <row r="79" spans="1:22" x14ac:dyDescent="0.2">
      <c r="A79" s="377"/>
      <c r="B79" s="377"/>
      <c r="C79" s="377"/>
      <c r="D79" s="591"/>
      <c r="E79" s="377"/>
      <c r="F79" s="377"/>
      <c r="G79" s="591"/>
      <c r="H79" s="377"/>
      <c r="I79" s="377"/>
      <c r="J79" s="377"/>
      <c r="M79" s="379"/>
      <c r="N79" s="379"/>
      <c r="O79" s="377"/>
      <c r="P79" s="377"/>
    </row>
    <row r="80" spans="1:22" x14ac:dyDescent="0.2">
      <c r="A80" s="377"/>
      <c r="B80" s="377"/>
      <c r="C80" s="377"/>
      <c r="D80" s="591"/>
      <c r="E80" s="377"/>
      <c r="F80" s="377"/>
      <c r="G80" s="591"/>
      <c r="H80" s="377"/>
      <c r="I80" s="377"/>
      <c r="J80" s="377"/>
      <c r="M80" s="379"/>
      <c r="N80" s="379"/>
      <c r="O80" s="377"/>
      <c r="P80" s="377"/>
    </row>
    <row r="81" spans="1:16" x14ac:dyDescent="0.2">
      <c r="A81" s="377"/>
      <c r="B81" s="377"/>
      <c r="C81" s="377"/>
      <c r="D81" s="591"/>
      <c r="E81" s="377"/>
      <c r="F81" s="377"/>
      <c r="G81" s="591"/>
      <c r="H81" s="377"/>
      <c r="I81" s="377"/>
      <c r="J81" s="377"/>
      <c r="K81" s="377"/>
      <c r="L81" s="377"/>
      <c r="M81" s="377"/>
      <c r="N81" s="377"/>
      <c r="O81" s="377"/>
      <c r="P81" s="377"/>
    </row>
  </sheetData>
  <mergeCells count="1">
    <mergeCell ref="A2:P2"/>
  </mergeCells>
  <phoneticPr fontId="59" type="noConversion"/>
  <conditionalFormatting sqref="D6">
    <cfRule type="expression" dxfId="11" priority="11" stopIfTrue="1">
      <formula>C6&lt;=B6</formula>
    </cfRule>
    <cfRule type="expression" dxfId="10" priority="12" stopIfTrue="1">
      <formula>C6&gt;B6</formula>
    </cfRule>
  </conditionalFormatting>
  <conditionalFormatting sqref="D7:D58">
    <cfRule type="expression" dxfId="9" priority="9" stopIfTrue="1">
      <formula>C7&lt;=B7</formula>
    </cfRule>
    <cfRule type="expression" dxfId="8" priority="10" stopIfTrue="1">
      <formula>C7&gt;B7</formula>
    </cfRule>
  </conditionalFormatting>
  <conditionalFormatting sqref="G6:G58">
    <cfRule type="expression" dxfId="7" priority="7" stopIfTrue="1">
      <formula>F6&lt;=E6</formula>
    </cfRule>
    <cfRule type="expression" dxfId="6" priority="8" stopIfTrue="1">
      <formula>F6&gt;E6</formula>
    </cfRule>
  </conditionalFormatting>
  <conditionalFormatting sqref="J6:J58">
    <cfRule type="expression" dxfId="5" priority="5" stopIfTrue="1">
      <formula>I6&lt;=H6</formula>
    </cfRule>
    <cfRule type="expression" dxfId="4" priority="6" stopIfTrue="1">
      <formula>I6&gt;H6</formula>
    </cfRule>
  </conditionalFormatting>
  <conditionalFormatting sqref="M6:M58">
    <cfRule type="expression" dxfId="3" priority="3" stopIfTrue="1">
      <formula>L6&lt;=K6</formula>
    </cfRule>
    <cfRule type="expression" dxfId="2" priority="4" stopIfTrue="1">
      <formula>L6&gt;K6</formula>
    </cfRule>
  </conditionalFormatting>
  <conditionalFormatting sqref="P6:P58">
    <cfRule type="expression" dxfId="1" priority="1" stopIfTrue="1">
      <formula>O6&lt;=N6</formula>
    </cfRule>
    <cfRule type="expression" dxfId="0" priority="2" stopIfTrue="1">
      <formula>O6&gt;N6</formula>
    </cfRule>
  </conditionalFormatting>
  <printOptions horizontalCentered="1"/>
  <pageMargins left="0.19685039370078741" right="0.19685039370078741" top="0.19685039370078741" bottom="0.19685039370078741" header="0" footer="0"/>
  <pageSetup paperSize="9" scale="97" fitToWidth="0" orientation="landscape" horizontalDpi="300" verticalDpi="300" r:id="rId1"/>
  <headerFooter alignWithMargins="0"/>
  <rowBreaks count="1" manualBreakCount="1">
    <brk id="59" max="16383" man="1"/>
  </rowBreaks>
  <webPublishItems count="1">
    <webPublishItem id="22569" divId="GRIG14PP_22569" sourceType="sheet" destinationFile="C:\Documents and Settings\JekA\Рабочий стол\GRIG14PP.htm"/>
  </webPublishItem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40"/>
  <sheetViews>
    <sheetView zoomScale="75" workbookViewId="0">
      <selection activeCell="B40" sqref="B40"/>
    </sheetView>
  </sheetViews>
  <sheetFormatPr defaultRowHeight="12.75" x14ac:dyDescent="0.2"/>
  <cols>
    <col min="1" max="1" width="24.28515625" style="81" bestFit="1" customWidth="1"/>
    <col min="2" max="2" width="12.42578125" style="81" bestFit="1" customWidth="1"/>
    <col min="3" max="3" width="9.28515625" bestFit="1" customWidth="1"/>
    <col min="6" max="6" width="12" bestFit="1" customWidth="1"/>
    <col min="8" max="8" width="56.5703125" style="340" customWidth="1"/>
    <col min="9" max="9" width="18.28515625" customWidth="1"/>
    <col min="10" max="10" width="11.28515625" bestFit="1" customWidth="1"/>
    <col min="11" max="11" width="20.85546875" customWidth="1"/>
    <col min="12" max="12" width="8.28515625" bestFit="1" customWidth="1"/>
    <col min="13" max="13" width="30.42578125" bestFit="1" customWidth="1"/>
    <col min="14" max="14" width="22.85546875" bestFit="1" customWidth="1"/>
  </cols>
  <sheetData>
    <row r="1" spans="1:13" ht="18.75" x14ac:dyDescent="0.3">
      <c r="A1" s="161" t="s">
        <v>161</v>
      </c>
      <c r="B1" s="161">
        <v>14875</v>
      </c>
      <c r="C1" s="81"/>
      <c r="H1" s="343" t="s">
        <v>249</v>
      </c>
      <c r="I1" s="344">
        <f>OБПР!C34</f>
        <v>202</v>
      </c>
      <c r="J1" s="345" t="s">
        <v>248</v>
      </c>
      <c r="K1" s="345" t="s">
        <v>246</v>
      </c>
      <c r="L1" s="346">
        <f>(I1*100)/Grig1!C58</f>
        <v>25.96401028277635</v>
      </c>
      <c r="M1" s="347" t="s">
        <v>247</v>
      </c>
    </row>
    <row r="2" spans="1:13" ht="37.5" x14ac:dyDescent="0.3">
      <c r="A2" s="161" t="s">
        <v>295</v>
      </c>
      <c r="B2" s="161">
        <v>35298</v>
      </c>
      <c r="H2" s="348" t="s">
        <v>250</v>
      </c>
      <c r="I2" s="349">
        <f>OБПР!C31</f>
        <v>269</v>
      </c>
      <c r="J2" s="350" t="s">
        <v>248</v>
      </c>
      <c r="K2" s="350" t="s">
        <v>246</v>
      </c>
      <c r="L2" s="351">
        <f>(I2*100)/Grig2!B6</f>
        <v>34.575835475578408</v>
      </c>
      <c r="M2" s="352" t="s">
        <v>247</v>
      </c>
    </row>
    <row r="3" spans="1:13" ht="37.5" x14ac:dyDescent="0.3">
      <c r="A3" s="161" t="s">
        <v>164</v>
      </c>
      <c r="B3" s="161">
        <v>15882</v>
      </c>
      <c r="H3" s="348" t="s">
        <v>251</v>
      </c>
      <c r="I3" s="349">
        <f>OБПР!C32</f>
        <v>151</v>
      </c>
      <c r="J3" s="350" t="s">
        <v>248</v>
      </c>
      <c r="K3" s="350" t="s">
        <v>246</v>
      </c>
      <c r="L3" s="351">
        <f>(I3*100)/Grig2!B6</f>
        <v>19.408740359897173</v>
      </c>
      <c r="M3" s="352" t="s">
        <v>247</v>
      </c>
    </row>
    <row r="4" spans="1:13" ht="18.75" x14ac:dyDescent="0.3">
      <c r="A4" s="161" t="s">
        <v>166</v>
      </c>
      <c r="B4" s="161">
        <v>34496</v>
      </c>
      <c r="H4" s="348" t="s">
        <v>252</v>
      </c>
      <c r="I4" s="349">
        <f>OБПР!C36</f>
        <v>15</v>
      </c>
      <c r="J4" s="350" t="s">
        <v>248</v>
      </c>
      <c r="K4" s="350" t="s">
        <v>246</v>
      </c>
      <c r="L4" s="351">
        <f>(I4*100)/Grig2!B6</f>
        <v>1.9280205655526992</v>
      </c>
      <c r="M4" s="352" t="s">
        <v>247</v>
      </c>
    </row>
    <row r="5" spans="1:13" ht="18.75" x14ac:dyDescent="0.3">
      <c r="A5" s="161" t="s">
        <v>168</v>
      </c>
      <c r="B5" s="161">
        <v>32221</v>
      </c>
      <c r="H5" s="348" t="s">
        <v>253</v>
      </c>
      <c r="I5" s="349">
        <f>OБПР!C39</f>
        <v>85</v>
      </c>
      <c r="J5" s="350" t="s">
        <v>248</v>
      </c>
      <c r="K5" s="350" t="s">
        <v>246</v>
      </c>
      <c r="L5" s="351">
        <f>(I5*100)/Grig2!B6</f>
        <v>10.925449871465295</v>
      </c>
      <c r="M5" s="352" t="s">
        <v>247</v>
      </c>
    </row>
    <row r="6" spans="1:13" ht="18.75" x14ac:dyDescent="0.3">
      <c r="A6" s="161" t="s">
        <v>170</v>
      </c>
      <c r="B6" s="161">
        <v>23519</v>
      </c>
      <c r="H6" s="353" t="s">
        <v>254</v>
      </c>
      <c r="I6" s="354">
        <f>OБПР!C29</f>
        <v>68</v>
      </c>
      <c r="J6" s="355" t="s">
        <v>248</v>
      </c>
      <c r="K6" s="355" t="s">
        <v>246</v>
      </c>
      <c r="L6" s="356">
        <f>(I6*100)/Grig2!B6</f>
        <v>8.7403598971722367</v>
      </c>
      <c r="M6" s="357" t="s">
        <v>247</v>
      </c>
    </row>
    <row r="7" spans="1:13" ht="18" x14ac:dyDescent="0.25">
      <c r="A7" s="161" t="s">
        <v>173</v>
      </c>
      <c r="B7" s="161">
        <v>35698</v>
      </c>
    </row>
    <row r="8" spans="1:13" ht="18" x14ac:dyDescent="0.25">
      <c r="A8" s="161" t="s">
        <v>296</v>
      </c>
      <c r="B8" s="161">
        <v>45501</v>
      </c>
    </row>
    <row r="9" spans="1:13" ht="41.25" customHeight="1" x14ac:dyDescent="0.3">
      <c r="A9" s="161" t="s">
        <v>175</v>
      </c>
      <c r="B9" s="161">
        <v>19273</v>
      </c>
      <c r="H9" s="359" t="s">
        <v>492</v>
      </c>
      <c r="I9" s="361">
        <f>OБПР!I11</f>
        <v>57</v>
      </c>
      <c r="J9" s="360">
        <f>(I9*100)/Grig1!I58</f>
        <v>96.610169491525426</v>
      </c>
      <c r="M9" s="480" t="s">
        <v>498</v>
      </c>
    </row>
    <row r="10" spans="1:13" ht="18.75" x14ac:dyDescent="0.25">
      <c r="A10" s="161" t="s">
        <v>177</v>
      </c>
      <c r="B10" s="161">
        <v>25217</v>
      </c>
      <c r="H10" s="484" t="s">
        <v>115</v>
      </c>
      <c r="I10" s="362">
        <f>OБПР!I34</f>
        <v>43</v>
      </c>
      <c r="J10" s="360">
        <f>(I10*100)/Grig2!H6</f>
        <v>72.881355932203391</v>
      </c>
      <c r="L10" s="483" t="s">
        <v>534</v>
      </c>
      <c r="M10">
        <f>OБПР!L34</f>
        <v>48</v>
      </c>
    </row>
    <row r="11" spans="1:13" ht="18.75" x14ac:dyDescent="0.25">
      <c r="A11" s="161" t="s">
        <v>179</v>
      </c>
      <c r="B11" s="161">
        <v>14279</v>
      </c>
      <c r="H11" s="462" t="s">
        <v>499</v>
      </c>
      <c r="I11" s="463">
        <f>OБПР!I29</f>
        <v>1</v>
      </c>
      <c r="J11" s="464">
        <f>(I11*100)/Grig2!H6</f>
        <v>1.6949152542372881</v>
      </c>
      <c r="L11" s="481" t="s">
        <v>468</v>
      </c>
      <c r="M11">
        <f>OБПР!L31</f>
        <v>12</v>
      </c>
    </row>
    <row r="12" spans="1:13" ht="37.5" x14ac:dyDescent="0.25">
      <c r="A12" s="161" t="s">
        <v>181</v>
      </c>
      <c r="B12" s="161">
        <v>14426</v>
      </c>
      <c r="H12" s="465" t="s">
        <v>468</v>
      </c>
      <c r="I12" s="466">
        <f>OБПР!I31</f>
        <v>10</v>
      </c>
      <c r="J12" s="467">
        <f>(I12*100)/Grig2!H6</f>
        <v>16.949152542372882</v>
      </c>
      <c r="L12" s="482" t="s">
        <v>467</v>
      </c>
      <c r="M12">
        <f>OБПР!L32</f>
        <v>2</v>
      </c>
    </row>
    <row r="13" spans="1:13" ht="37.5" x14ac:dyDescent="0.25">
      <c r="A13" s="161" t="s">
        <v>183</v>
      </c>
      <c r="B13" s="161">
        <v>22411</v>
      </c>
      <c r="H13" s="468" t="s">
        <v>467</v>
      </c>
      <c r="I13" s="469">
        <f>OБПР!I32</f>
        <v>4</v>
      </c>
      <c r="J13" s="470">
        <f>(I13*100)/Grig2!H6</f>
        <v>6.7796610169491522</v>
      </c>
      <c r="L13" t="s">
        <v>499</v>
      </c>
      <c r="M13">
        <f>OБПР!L29</f>
        <v>3</v>
      </c>
    </row>
    <row r="14" spans="1:13" ht="18.75" x14ac:dyDescent="0.25">
      <c r="A14" s="161" t="s">
        <v>185</v>
      </c>
      <c r="B14" s="161">
        <v>33009</v>
      </c>
      <c r="H14" s="485" t="s">
        <v>490</v>
      </c>
      <c r="I14" s="469">
        <f>OБПР!I38</f>
        <v>1</v>
      </c>
      <c r="J14" s="470" t="e">
        <f>(I14*100)/Grig2!H7</f>
        <v>#DIV/0!</v>
      </c>
      <c r="L14" t="s">
        <v>490</v>
      </c>
      <c r="M14">
        <f>OБПР!L38</f>
        <v>6</v>
      </c>
    </row>
    <row r="15" spans="1:13" ht="18.75" x14ac:dyDescent="0.3">
      <c r="A15" s="161" t="s">
        <v>188</v>
      </c>
      <c r="B15" s="161">
        <v>126072</v>
      </c>
      <c r="H15" s="363" t="s">
        <v>255</v>
      </c>
      <c r="I15" s="364">
        <f>OБПР!C11</f>
        <v>622</v>
      </c>
      <c r="J15" s="360">
        <f>(I15*100)/Grig2!B6</f>
        <v>79.948586118251924</v>
      </c>
    </row>
    <row r="16" spans="1:13" ht="18" x14ac:dyDescent="0.25">
      <c r="A16" s="161" t="s">
        <v>189</v>
      </c>
      <c r="B16" s="161">
        <v>12606</v>
      </c>
    </row>
    <row r="17" spans="1:10" ht="18.75" x14ac:dyDescent="0.3">
      <c r="A17" s="161" t="s">
        <v>191</v>
      </c>
      <c r="B17" s="161">
        <v>22992</v>
      </c>
      <c r="H17" s="365" t="s">
        <v>41</v>
      </c>
      <c r="I17" s="344">
        <f>Grig2!B29</f>
        <v>0</v>
      </c>
      <c r="J17" s="367">
        <f>(I17*100)/Grig2!B6</f>
        <v>0</v>
      </c>
    </row>
    <row r="18" spans="1:10" ht="18.75" x14ac:dyDescent="0.3">
      <c r="A18" s="161" t="s">
        <v>193</v>
      </c>
      <c r="B18" s="161">
        <v>36023</v>
      </c>
      <c r="H18" s="366" t="s">
        <v>42</v>
      </c>
      <c r="I18" s="354">
        <f>Grig2!B30</f>
        <v>0</v>
      </c>
      <c r="J18" s="368">
        <f>(I18*100)/Grig2!B6</f>
        <v>0</v>
      </c>
    </row>
    <row r="19" spans="1:10" ht="18" x14ac:dyDescent="0.25">
      <c r="A19" s="161" t="s">
        <v>195</v>
      </c>
      <c r="B19" s="161">
        <v>62242</v>
      </c>
    </row>
    <row r="20" spans="1:10" ht="18.75" x14ac:dyDescent="0.3">
      <c r="A20" s="161" t="s">
        <v>197</v>
      </c>
      <c r="B20" s="161">
        <v>12569</v>
      </c>
      <c r="H20" s="358" t="s">
        <v>256</v>
      </c>
    </row>
    <row r="21" spans="1:10" ht="18.75" x14ac:dyDescent="0.3">
      <c r="A21" s="161" t="s">
        <v>199</v>
      </c>
      <c r="B21" s="161">
        <v>9127</v>
      </c>
      <c r="H21" s="358" t="s">
        <v>257</v>
      </c>
      <c r="I21" s="342" t="e">
        <f>(ГРАФИКИ!U304*100)/ГРАФИКИ!Q291</f>
        <v>#REF!</v>
      </c>
    </row>
    <row r="22" spans="1:10" ht="18.75" x14ac:dyDescent="0.3">
      <c r="A22" s="161" t="s">
        <v>297</v>
      </c>
      <c r="B22" s="161">
        <v>29553</v>
      </c>
      <c r="H22" s="358" t="s">
        <v>258</v>
      </c>
      <c r="I22" s="342" t="e">
        <f>(ГРАФИКИ!AA304*100)/ГРАФИКИ!W291</f>
        <v>#REF!</v>
      </c>
    </row>
    <row r="23" spans="1:10" ht="18.75" x14ac:dyDescent="0.3">
      <c r="A23" s="161" t="s">
        <v>201</v>
      </c>
      <c r="B23" s="161">
        <v>26065</v>
      </c>
      <c r="H23" s="358" t="s">
        <v>259</v>
      </c>
      <c r="I23" s="342" t="e">
        <f>(ГРАФИКИ!AD304*100)/ГРАФИКИ!Z291</f>
        <v>#REF!</v>
      </c>
    </row>
    <row r="24" spans="1:10" ht="18.75" x14ac:dyDescent="0.3">
      <c r="A24" s="161" t="s">
        <v>203</v>
      </c>
      <c r="B24" s="161">
        <v>17329</v>
      </c>
      <c r="H24" s="358" t="s">
        <v>260</v>
      </c>
      <c r="I24" s="342" t="e">
        <f>(ГРАФИКИ!X304*100)/ГРАФИКИ!T291</f>
        <v>#REF!</v>
      </c>
    </row>
    <row r="25" spans="1:10" ht="18" x14ac:dyDescent="0.25">
      <c r="A25" s="161" t="s">
        <v>205</v>
      </c>
      <c r="B25" s="161">
        <v>14818</v>
      </c>
    </row>
    <row r="26" spans="1:10" ht="18" x14ac:dyDescent="0.25">
      <c r="A26" s="161" t="s">
        <v>158</v>
      </c>
      <c r="B26" s="161">
        <v>132068</v>
      </c>
    </row>
    <row r="27" spans="1:10" ht="18" x14ac:dyDescent="0.25">
      <c r="A27" s="161" t="s">
        <v>160</v>
      </c>
      <c r="B27" s="161">
        <v>156656</v>
      </c>
    </row>
    <row r="28" spans="1:10" ht="18" x14ac:dyDescent="0.25">
      <c r="A28" s="161" t="s">
        <v>159</v>
      </c>
      <c r="B28" s="161">
        <v>200774</v>
      </c>
      <c r="F28" s="160"/>
    </row>
    <row r="29" spans="1:10" ht="18" x14ac:dyDescent="0.25">
      <c r="A29" s="161" t="s">
        <v>157</v>
      </c>
      <c r="B29" s="161">
        <v>489498</v>
      </c>
    </row>
    <row r="30" spans="1:10" ht="18" x14ac:dyDescent="0.25">
      <c r="A30" s="161" t="s">
        <v>208</v>
      </c>
      <c r="B30" s="161">
        <v>1235863</v>
      </c>
    </row>
    <row r="32" spans="1:10" x14ac:dyDescent="0.2">
      <c r="A32" s="81" t="s">
        <v>537</v>
      </c>
    </row>
    <row r="33" spans="1:10" ht="15.75" x14ac:dyDescent="0.25">
      <c r="B33" s="81" t="s">
        <v>540</v>
      </c>
      <c r="C33" t="s">
        <v>538</v>
      </c>
      <c r="F33" s="160"/>
      <c r="H33" s="341"/>
      <c r="J33" s="160"/>
    </row>
    <row r="34" spans="1:10" x14ac:dyDescent="0.2">
      <c r="A34" s="81" t="s">
        <v>298</v>
      </c>
      <c r="B34" s="81">
        <v>9058</v>
      </c>
      <c r="C34">
        <v>19273</v>
      </c>
    </row>
    <row r="35" spans="1:10" x14ac:dyDescent="0.2">
      <c r="A35" s="81" t="s">
        <v>299</v>
      </c>
      <c r="B35" s="81">
        <v>8755</v>
      </c>
      <c r="C35">
        <v>22411</v>
      </c>
    </row>
    <row r="36" spans="1:10" x14ac:dyDescent="0.2">
      <c r="A36" s="81" t="s">
        <v>300</v>
      </c>
      <c r="B36" s="81">
        <v>14328</v>
      </c>
      <c r="C36">
        <v>36023</v>
      </c>
    </row>
    <row r="37" spans="1:10" x14ac:dyDescent="0.2">
      <c r="A37" s="81" t="s">
        <v>301</v>
      </c>
      <c r="B37" s="81">
        <v>8451</v>
      </c>
      <c r="C37">
        <v>26065</v>
      </c>
    </row>
    <row r="40" spans="1:10" x14ac:dyDescent="0.2">
      <c r="A40" s="81" t="s">
        <v>539</v>
      </c>
    </row>
  </sheetData>
  <phoneticPr fontId="59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</sheetPr>
  <dimension ref="A1:AP440"/>
  <sheetViews>
    <sheetView view="pageBreakPreview" zoomScale="85" zoomScaleNormal="85" zoomScaleSheetLayoutView="85" workbookViewId="0">
      <selection activeCell="K412" sqref="K412"/>
    </sheetView>
  </sheetViews>
  <sheetFormatPr defaultRowHeight="12.75" x14ac:dyDescent="0.2"/>
  <cols>
    <col min="1" max="1" width="15.85546875" customWidth="1"/>
    <col min="6" max="6" width="10.42578125" customWidth="1"/>
    <col min="15" max="15" width="46.42578125" customWidth="1"/>
    <col min="16" max="16" width="11.28515625" bestFit="1" customWidth="1"/>
    <col min="17" max="17" width="11" customWidth="1"/>
    <col min="18" max="18" width="6.85546875" bestFit="1" customWidth="1"/>
    <col min="19" max="19" width="12.7109375" customWidth="1"/>
    <col min="20" max="20" width="17" customWidth="1"/>
    <col min="21" max="21" width="8" bestFit="1" customWidth="1"/>
    <col min="22" max="22" width="6" customWidth="1"/>
    <col min="23" max="23" width="6.5703125" bestFit="1" customWidth="1"/>
    <col min="24" max="24" width="10.42578125" customWidth="1"/>
    <col min="25" max="25" width="10.7109375" customWidth="1"/>
    <col min="26" max="26" width="7.42578125" bestFit="1" customWidth="1"/>
    <col min="27" max="27" width="7.28515625" bestFit="1" customWidth="1"/>
    <col min="28" max="28" width="5.140625" bestFit="1" customWidth="1"/>
    <col min="29" max="29" width="6.5703125" bestFit="1" customWidth="1"/>
    <col min="30" max="30" width="8" bestFit="1" customWidth="1"/>
    <col min="31" max="31" width="5.140625" bestFit="1" customWidth="1"/>
    <col min="32" max="32" width="6.5703125" bestFit="1" customWidth="1"/>
    <col min="33" max="33" width="6.85546875" bestFit="1" customWidth="1"/>
    <col min="34" max="34" width="5.42578125" bestFit="1" customWidth="1"/>
    <col min="35" max="35" width="6.5703125" bestFit="1" customWidth="1"/>
    <col min="37" max="38" width="5.42578125" bestFit="1" customWidth="1"/>
    <col min="39" max="39" width="6.85546875" bestFit="1" customWidth="1"/>
    <col min="40" max="41" width="5.42578125" bestFit="1" customWidth="1"/>
    <col min="42" max="42" width="6.85546875" bestFit="1" customWidth="1"/>
  </cols>
  <sheetData>
    <row r="1" spans="15:17" x14ac:dyDescent="0.2">
      <c r="P1">
        <v>2016</v>
      </c>
      <c r="Q1">
        <v>0</v>
      </c>
    </row>
    <row r="2" spans="15:17" ht="15" x14ac:dyDescent="0.2">
      <c r="O2" s="226" t="s">
        <v>115</v>
      </c>
      <c r="P2" s="232">
        <f>OБПР!C34/Grig2!B6</f>
        <v>0.25964010282776351</v>
      </c>
      <c r="Q2" s="232">
        <f>Grig2!C32/Grig2!C6</f>
        <v>0</v>
      </c>
    </row>
    <row r="3" spans="15:17" ht="15" x14ac:dyDescent="0.2">
      <c r="O3" s="226" t="s">
        <v>220</v>
      </c>
      <c r="P3" s="232">
        <f>OБПР!C32/Grig2!B6</f>
        <v>0.19408740359897173</v>
      </c>
      <c r="Q3" s="232">
        <f>Grig2!C38/Grig2!C6</f>
        <v>0</v>
      </c>
    </row>
    <row r="4" spans="15:17" ht="15" x14ac:dyDescent="0.2">
      <c r="O4" s="226" t="s">
        <v>221</v>
      </c>
      <c r="P4" s="232">
        <f>OБПР!C31/Grig2!B6</f>
        <v>0.34575835475578404</v>
      </c>
      <c r="Q4" s="232">
        <f>Grig2!C35/Grig2!C6</f>
        <v>0</v>
      </c>
    </row>
    <row r="5" spans="15:17" ht="15" x14ac:dyDescent="0.2">
      <c r="O5" s="226" t="s">
        <v>110</v>
      </c>
      <c r="P5" s="232">
        <f>OБПР!C29/Grig2!B6</f>
        <v>8.7403598971722368E-2</v>
      </c>
      <c r="Q5" s="232">
        <f>Grig2!C42/Grig2!C6</f>
        <v>0</v>
      </c>
    </row>
    <row r="6" spans="15:17" ht="15" x14ac:dyDescent="0.2">
      <c r="O6" s="226" t="s">
        <v>524</v>
      </c>
      <c r="P6" s="232">
        <f>OБПР!C37/Grig2!B6</f>
        <v>6.0411311053984576E-2</v>
      </c>
      <c r="Q6" s="232">
        <f>Grig2!C34/Grig2!C6</f>
        <v>0</v>
      </c>
    </row>
    <row r="7" spans="15:17" x14ac:dyDescent="0.2">
      <c r="P7" s="232"/>
      <c r="Q7" s="232"/>
    </row>
    <row r="8" spans="15:17" x14ac:dyDescent="0.2">
      <c r="P8" s="232"/>
      <c r="Q8" s="232"/>
    </row>
    <row r="9" spans="15:17" x14ac:dyDescent="0.2">
      <c r="P9" s="232"/>
      <c r="Q9" s="232"/>
    </row>
    <row r="10" spans="15:17" ht="15" x14ac:dyDescent="0.2">
      <c r="O10" s="226" t="s">
        <v>531</v>
      </c>
      <c r="P10" s="232">
        <f>OБПР!C27/Grig2!B6</f>
        <v>1.7994858611825194E-2</v>
      </c>
      <c r="Q10" s="232">
        <f>Grig2!C15/Grig2!C6</f>
        <v>0</v>
      </c>
    </row>
    <row r="11" spans="15:17" ht="15" x14ac:dyDescent="0.2">
      <c r="O11" s="226" t="s">
        <v>337</v>
      </c>
      <c r="P11" s="232">
        <f>OБПР!C19/Grig2!B6</f>
        <v>7.9691516709511565E-2</v>
      </c>
      <c r="Q11" s="232">
        <f>Grig2!C53/Grig2!C6</f>
        <v>0</v>
      </c>
    </row>
    <row r="12" spans="15:17" ht="15" x14ac:dyDescent="0.2">
      <c r="O12" s="226" t="s">
        <v>222</v>
      </c>
      <c r="P12" s="232">
        <f>OБПР!C20/Grig2!B6</f>
        <v>1.5424164524421594E-2</v>
      </c>
      <c r="Q12" s="232">
        <f>Grig2!C19/Grig2!C6</f>
        <v>0</v>
      </c>
    </row>
    <row r="13" spans="15:17" ht="15" x14ac:dyDescent="0.2">
      <c r="O13" s="226" t="s">
        <v>223</v>
      </c>
      <c r="P13" s="232">
        <f>OБПР!C8/Grig2!B6</f>
        <v>1.7994858611825194E-2</v>
      </c>
      <c r="Q13" s="232">
        <f>Grig2!C8/Grig2!C6</f>
        <v>0</v>
      </c>
    </row>
    <row r="14" spans="15:17" ht="15" x14ac:dyDescent="0.2">
      <c r="O14" s="226" t="s">
        <v>224</v>
      </c>
      <c r="P14" s="232">
        <f>OБПР!C11/Grig2!B6</f>
        <v>0.7994858611825193</v>
      </c>
      <c r="Q14" s="232">
        <f>Grig2!C31/Grig2!C6</f>
        <v>0</v>
      </c>
    </row>
    <row r="15" spans="15:17" ht="15" x14ac:dyDescent="0.2">
      <c r="O15" s="226" t="s">
        <v>532</v>
      </c>
      <c r="P15" s="232">
        <f>OБПР!C23/Grig2!B6</f>
        <v>7.7120822622107968E-3</v>
      </c>
      <c r="Q15" s="232"/>
    </row>
    <row r="17" spans="15:17" x14ac:dyDescent="0.2">
      <c r="O17" s="598"/>
      <c r="P17" s="598"/>
      <c r="Q17" s="598"/>
    </row>
    <row r="18" spans="15:17" x14ac:dyDescent="0.2">
      <c r="O18" s="598"/>
      <c r="P18" s="599">
        <v>2015</v>
      </c>
      <c r="Q18" s="599">
        <v>2016</v>
      </c>
    </row>
    <row r="19" spans="15:17" ht="15" x14ac:dyDescent="0.2">
      <c r="O19" s="600" t="s">
        <v>110</v>
      </c>
      <c r="P19" s="599">
        <f>OБПР!B29</f>
        <v>86</v>
      </c>
      <c r="Q19" s="599">
        <f>OБПР!C29</f>
        <v>68</v>
      </c>
    </row>
    <row r="20" spans="15:17" ht="15" x14ac:dyDescent="0.2">
      <c r="O20" s="600" t="s">
        <v>115</v>
      </c>
      <c r="P20" s="599">
        <f>OБПР!B34</f>
        <v>185</v>
      </c>
      <c r="Q20" s="599">
        <f>OБПР!C34</f>
        <v>202</v>
      </c>
    </row>
    <row r="21" spans="15:17" ht="15" x14ac:dyDescent="0.2">
      <c r="O21" s="600" t="s">
        <v>220</v>
      </c>
      <c r="P21" s="599">
        <f>OБПР!B32</f>
        <v>141</v>
      </c>
      <c r="Q21" s="599">
        <f>OБПР!C32</f>
        <v>151</v>
      </c>
    </row>
    <row r="22" spans="15:17" ht="15" x14ac:dyDescent="0.2">
      <c r="O22" s="600" t="s">
        <v>221</v>
      </c>
      <c r="P22" s="599">
        <f>OБПР!B31</f>
        <v>249</v>
      </c>
      <c r="Q22" s="599">
        <f>OБПР!C31</f>
        <v>269</v>
      </c>
    </row>
    <row r="23" spans="15:17" ht="15" x14ac:dyDescent="0.2">
      <c r="O23" s="600" t="s">
        <v>491</v>
      </c>
      <c r="P23" s="599">
        <f>OБПР!B37</f>
        <v>60</v>
      </c>
      <c r="Q23" s="599">
        <f>OБПР!C37</f>
        <v>47</v>
      </c>
    </row>
    <row r="24" spans="15:17" ht="15" x14ac:dyDescent="0.2">
      <c r="O24" s="600" t="s">
        <v>354</v>
      </c>
      <c r="P24" s="599">
        <f>OБПР!B30+OБПР!B33+OБПР!B38</f>
        <v>27</v>
      </c>
      <c r="Q24" s="599">
        <f>OБПР!C30+OБПР!C33+OБПР!C38</f>
        <v>41</v>
      </c>
    </row>
    <row r="25" spans="15:17" ht="15" x14ac:dyDescent="0.2">
      <c r="O25" s="600"/>
      <c r="P25" s="599"/>
      <c r="Q25" s="599"/>
    </row>
    <row r="26" spans="15:17" x14ac:dyDescent="0.2">
      <c r="O26" s="598"/>
      <c r="P26" s="598">
        <f>SUM(P19:P24)</f>
        <v>748</v>
      </c>
      <c r="Q26" s="598">
        <f>SUM(Q19:Q24)</f>
        <v>778</v>
      </c>
    </row>
    <row r="27" spans="15:17" x14ac:dyDescent="0.2">
      <c r="O27" s="598"/>
      <c r="P27" s="598"/>
      <c r="Q27" s="598"/>
    </row>
    <row r="28" spans="15:17" x14ac:dyDescent="0.2">
      <c r="O28" s="598"/>
      <c r="P28" s="601"/>
      <c r="Q28" s="601"/>
    </row>
    <row r="29" spans="15:17" x14ac:dyDescent="0.2">
      <c r="O29" s="598"/>
      <c r="P29" s="601"/>
      <c r="Q29" s="601"/>
    </row>
    <row r="30" spans="15:17" x14ac:dyDescent="0.2">
      <c r="O30" s="598"/>
      <c r="P30" s="601"/>
      <c r="Q30" s="601"/>
    </row>
    <row r="31" spans="15:17" x14ac:dyDescent="0.2">
      <c r="O31" s="598"/>
      <c r="P31" s="601"/>
      <c r="Q31" s="601"/>
    </row>
    <row r="32" spans="15:17" x14ac:dyDescent="0.2">
      <c r="O32" s="598"/>
      <c r="P32" s="601"/>
      <c r="Q32" s="601"/>
    </row>
    <row r="33" spans="15:17" x14ac:dyDescent="0.2">
      <c r="O33" s="598"/>
      <c r="P33" s="598"/>
      <c r="Q33" s="598"/>
    </row>
    <row r="34" spans="15:17" x14ac:dyDescent="0.2">
      <c r="O34" s="598"/>
      <c r="P34" s="599">
        <v>2015</v>
      </c>
      <c r="Q34" s="599">
        <v>2016</v>
      </c>
    </row>
    <row r="35" spans="15:17" ht="15" x14ac:dyDescent="0.2">
      <c r="O35" s="600" t="s">
        <v>224</v>
      </c>
      <c r="P35" s="599">
        <f>OБПР!B11</f>
        <v>570</v>
      </c>
      <c r="Q35" s="599">
        <f>OБПР!C11</f>
        <v>622</v>
      </c>
    </row>
    <row r="36" spans="15:17" ht="15" x14ac:dyDescent="0.2">
      <c r="O36" s="600" t="s">
        <v>337</v>
      </c>
      <c r="P36" s="599">
        <f>OБПР!B19</f>
        <v>91</v>
      </c>
      <c r="Q36" s="599">
        <f>OБПР!C19</f>
        <v>62</v>
      </c>
    </row>
    <row r="37" spans="15:17" ht="15" x14ac:dyDescent="0.2">
      <c r="O37" s="600" t="s">
        <v>531</v>
      </c>
      <c r="P37" s="599">
        <f>OБПР!B27</f>
        <v>14</v>
      </c>
      <c r="Q37" s="599">
        <f>OБПР!C27</f>
        <v>14</v>
      </c>
    </row>
    <row r="38" spans="15:17" ht="15" x14ac:dyDescent="0.2">
      <c r="O38" s="600" t="s">
        <v>222</v>
      </c>
      <c r="P38" s="599">
        <f>OБПР!B20</f>
        <v>16</v>
      </c>
      <c r="Q38" s="599">
        <f>OБПР!C20</f>
        <v>12</v>
      </c>
    </row>
    <row r="39" spans="15:17" ht="15" x14ac:dyDescent="0.2">
      <c r="O39" s="600" t="s">
        <v>223</v>
      </c>
      <c r="P39" s="599">
        <f>OБПР!B8</f>
        <v>10</v>
      </c>
      <c r="Q39" s="599">
        <f>OБПР!C8</f>
        <v>14</v>
      </c>
    </row>
    <row r="40" spans="15:17" ht="15" x14ac:dyDescent="0.2">
      <c r="O40" s="600" t="s">
        <v>525</v>
      </c>
      <c r="P40" s="599">
        <f>OБПР!B10</f>
        <v>14</v>
      </c>
      <c r="Q40" s="599">
        <f>OБПР!C10</f>
        <v>11</v>
      </c>
    </row>
    <row r="41" spans="15:17" ht="15" x14ac:dyDescent="0.2">
      <c r="O41" s="600" t="s">
        <v>526</v>
      </c>
      <c r="P41" s="599">
        <f>OБПР!B9+OБПР!B13+OБПР!B16+OБПР!B17+OБПР!B18+OБПР!B21+OБПР!B22+OБПР!B23+OБПР!B24+OБПР!B25+OБПР!B26+OБПР!B28</f>
        <v>33</v>
      </c>
      <c r="Q41" s="599">
        <f>OБПР!C9+OБПР!C13+OБПР!C16+OБПР!C17+OБПР!C18+OБПР!C21+OБПР!C22+OБПР!C23+OБПР!C24+OБПР!C25+OБПР!C26+OБПР!C28</f>
        <v>43</v>
      </c>
    </row>
    <row r="43" spans="15:17" x14ac:dyDescent="0.2">
      <c r="O43" s="598"/>
      <c r="P43" s="598">
        <f>SUM(P35:P41)</f>
        <v>748</v>
      </c>
      <c r="Q43" s="598">
        <f>SUM(Q35:Q41)</f>
        <v>778</v>
      </c>
    </row>
    <row r="95" spans="2:13" ht="15" x14ac:dyDescent="0.2"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</row>
    <row r="96" spans="2:13" ht="12.75" customHeight="1" x14ac:dyDescent="0.2">
      <c r="B96" s="228"/>
      <c r="C96" s="228"/>
      <c r="D96" s="228"/>
      <c r="E96" s="228"/>
      <c r="F96" s="228"/>
      <c r="G96" s="228"/>
      <c r="H96" s="228"/>
    </row>
    <row r="142" spans="15:17" x14ac:dyDescent="0.2">
      <c r="O142" s="262" t="s">
        <v>237</v>
      </c>
      <c r="P142" s="370">
        <f>Grig1!F58/1000000</f>
        <v>119.47655</v>
      </c>
      <c r="Q142" s="370">
        <f>Grig1!E58/1000000</f>
        <v>104.171269</v>
      </c>
    </row>
    <row r="146" spans="15:18" x14ac:dyDescent="0.2">
      <c r="O146" s="262"/>
      <c r="P146" s="369">
        <v>2016</v>
      </c>
      <c r="Q146" s="369">
        <v>2015</v>
      </c>
    </row>
    <row r="147" spans="15:18" ht="15" x14ac:dyDescent="0.2">
      <c r="O147" s="262" t="s">
        <v>8</v>
      </c>
      <c r="P147" s="369">
        <f>Grig1!C58</f>
        <v>778</v>
      </c>
      <c r="Q147" s="444">
        <f>Grig1!B58</f>
        <v>748</v>
      </c>
      <c r="R147" s="374" t="str">
        <f>IF(Q147&lt;&gt;0,TEXT(((P147-Q147)/Q147)*100,"0,0"),"--")</f>
        <v>4,0</v>
      </c>
    </row>
    <row r="148" spans="15:18" ht="15" x14ac:dyDescent="0.2">
      <c r="O148" s="262" t="s">
        <v>470</v>
      </c>
      <c r="P148" s="369">
        <f>Grig1!I58</f>
        <v>59</v>
      </c>
      <c r="Q148" s="369">
        <f>Grig1!H58</f>
        <v>57</v>
      </c>
      <c r="R148" s="374" t="str">
        <f>IF(Q148&lt;&gt;0,TEXT(((P148-Q148)/Q148)*100,"0,0"),"--")</f>
        <v>3,5</v>
      </c>
    </row>
    <row r="149" spans="15:18" ht="15" x14ac:dyDescent="0.2">
      <c r="O149" s="262" t="s">
        <v>471</v>
      </c>
      <c r="P149" s="369">
        <f>Grig1!L58</f>
        <v>72</v>
      </c>
      <c r="Q149" s="369">
        <f>Grig1!K58</f>
        <v>62</v>
      </c>
      <c r="R149" s="374" t="str">
        <f>IF(Q149&lt;&gt;0,TEXT(((P149-Q149)/Q149)*100,"0,0"),"--")</f>
        <v>16,1</v>
      </c>
    </row>
    <row r="150" spans="15:18" ht="15" x14ac:dyDescent="0.2">
      <c r="O150" s="262" t="s">
        <v>480</v>
      </c>
      <c r="P150" s="369">
        <f>Grig1!O58</f>
        <v>339</v>
      </c>
      <c r="Q150" s="369">
        <f>Grig1!N58</f>
        <v>200</v>
      </c>
      <c r="R150" s="374" t="str">
        <f>IF(Q150&lt;&gt;0,TEXT(((P150-Q150)/Q150)*100,"0,0"),"--")</f>
        <v>69,5</v>
      </c>
    </row>
    <row r="151" spans="15:18" ht="25.5" x14ac:dyDescent="0.2">
      <c r="O151" s="443" t="s">
        <v>469</v>
      </c>
      <c r="P151" s="444">
        <f>Posled2!C66/1000000</f>
        <v>536.34</v>
      </c>
      <c r="Q151" s="444">
        <f>Posled2!B66/1000000</f>
        <v>477.73500000000001</v>
      </c>
      <c r="R151" s="374" t="str">
        <f>IF(Q151&lt;&gt;0,TEXT(((P151-Q151)/Q151)*100,"0,0"),"--")</f>
        <v>12,3</v>
      </c>
    </row>
    <row r="158" spans="15:18" ht="13.5" x14ac:dyDescent="0.25">
      <c r="O158" s="263" t="s">
        <v>7</v>
      </c>
      <c r="P158" s="264" t="s">
        <v>8</v>
      </c>
      <c r="Q158" s="265"/>
      <c r="R158" s="265"/>
    </row>
    <row r="159" spans="15:18" x14ac:dyDescent="0.2">
      <c r="O159" s="263"/>
      <c r="P159" s="267">
        <v>2015</v>
      </c>
      <c r="Q159" s="266">
        <v>2016</v>
      </c>
      <c r="R159" s="266" t="s">
        <v>11</v>
      </c>
    </row>
    <row r="160" spans="15:18" x14ac:dyDescent="0.2">
      <c r="O160" s="126" t="s">
        <v>158</v>
      </c>
      <c r="P160" s="268">
        <f>Grig1!B7</f>
        <v>46</v>
      </c>
      <c r="Q160" s="268">
        <f>Grig1!C7</f>
        <v>42</v>
      </c>
      <c r="R160" s="269" t="str">
        <f t="shared" ref="R160:R184" si="0">IF(P160&lt;&gt;0,TEXT(((Q160-P160)/P160)*100,"0,0"),"--")</f>
        <v>-8,7</v>
      </c>
    </row>
    <row r="161" spans="15:18" x14ac:dyDescent="0.2">
      <c r="O161" s="126" t="s">
        <v>159</v>
      </c>
      <c r="P161" s="268">
        <f>Grig1!B8</f>
        <v>56</v>
      </c>
      <c r="Q161" s="268">
        <f>Grig1!C8</f>
        <v>58</v>
      </c>
      <c r="R161" s="269" t="str">
        <f t="shared" si="0"/>
        <v>3,6</v>
      </c>
    </row>
    <row r="162" spans="15:18" x14ac:dyDescent="0.2">
      <c r="O162" s="126" t="s">
        <v>160</v>
      </c>
      <c r="P162" s="268">
        <f>Grig1!B9</f>
        <v>51</v>
      </c>
      <c r="Q162" s="268">
        <f>Grig1!C9</f>
        <v>62</v>
      </c>
      <c r="R162" s="269" t="str">
        <f t="shared" si="0"/>
        <v>21,6</v>
      </c>
    </row>
    <row r="163" spans="15:18" x14ac:dyDescent="0.2">
      <c r="O163" s="126" t="s">
        <v>161</v>
      </c>
      <c r="P163" s="268">
        <f>Grig1!B60</f>
        <v>54</v>
      </c>
      <c r="Q163" s="268">
        <f>Grig1!C60</f>
        <v>52</v>
      </c>
      <c r="R163" s="269" t="str">
        <f t="shared" si="0"/>
        <v>-3,7</v>
      </c>
    </row>
    <row r="164" spans="15:18" x14ac:dyDescent="0.2">
      <c r="O164" s="126" t="s">
        <v>164</v>
      </c>
      <c r="P164" s="268">
        <f>Grig1!B13</f>
        <v>17</v>
      </c>
      <c r="Q164" s="268">
        <f>Grig1!C13</f>
        <v>16</v>
      </c>
      <c r="R164" s="269" t="str">
        <f t="shared" si="0"/>
        <v>-5,9</v>
      </c>
    </row>
    <row r="165" spans="15:18" x14ac:dyDescent="0.2">
      <c r="O165" s="126" t="s">
        <v>166</v>
      </c>
      <c r="P165" s="268">
        <f>Grig1!B15</f>
        <v>34</v>
      </c>
      <c r="Q165" s="268">
        <f>Grig1!C15</f>
        <v>32</v>
      </c>
      <c r="R165" s="269" t="str">
        <f t="shared" si="0"/>
        <v>-5,9</v>
      </c>
    </row>
    <row r="166" spans="15:18" x14ac:dyDescent="0.2">
      <c r="O166" s="126" t="s">
        <v>168</v>
      </c>
      <c r="P166" s="268">
        <f>Grig1!B17</f>
        <v>37</v>
      </c>
      <c r="Q166" s="268">
        <f>Grig1!C17</f>
        <v>30</v>
      </c>
      <c r="R166" s="269" t="str">
        <f t="shared" si="0"/>
        <v>-18,9</v>
      </c>
    </row>
    <row r="167" spans="15:18" x14ac:dyDescent="0.2">
      <c r="O167" s="126" t="s">
        <v>170</v>
      </c>
      <c r="P167" s="268">
        <f>Grig1!B19</f>
        <v>25</v>
      </c>
      <c r="Q167" s="268">
        <f>Grig1!C19</f>
        <v>21</v>
      </c>
      <c r="R167" s="269" t="str">
        <f t="shared" si="0"/>
        <v>-16,0</v>
      </c>
    </row>
    <row r="168" spans="15:18" x14ac:dyDescent="0.2">
      <c r="O168" s="126" t="s">
        <v>173</v>
      </c>
      <c r="P168" s="268">
        <f>Grig1!B61</f>
        <v>48</v>
      </c>
      <c r="Q168" s="268">
        <f>Grig1!C61</f>
        <v>74</v>
      </c>
      <c r="R168" s="269" t="str">
        <f t="shared" si="0"/>
        <v>54,2</v>
      </c>
    </row>
    <row r="169" spans="15:18" x14ac:dyDescent="0.2">
      <c r="O169" s="126" t="s">
        <v>175</v>
      </c>
      <c r="P169" s="268">
        <f>Grig1!B24</f>
        <v>23</v>
      </c>
      <c r="Q169" s="268">
        <f>Grig1!C24</f>
        <v>15</v>
      </c>
      <c r="R169" s="269" t="str">
        <f t="shared" si="0"/>
        <v>-34,8</v>
      </c>
    </row>
    <row r="170" spans="15:18" x14ac:dyDescent="0.2">
      <c r="O170" s="126" t="s">
        <v>177</v>
      </c>
      <c r="P170" s="268">
        <f>Grig1!B26</f>
        <v>23</v>
      </c>
      <c r="Q170" s="268">
        <f>Grig1!C26</f>
        <v>23</v>
      </c>
      <c r="R170" s="269" t="str">
        <f t="shared" si="0"/>
        <v>0,0</v>
      </c>
    </row>
    <row r="171" spans="15:18" x14ac:dyDescent="0.2">
      <c r="O171" s="126" t="s">
        <v>179</v>
      </c>
      <c r="P171" s="268">
        <f>Grig1!B28</f>
        <v>12</v>
      </c>
      <c r="Q171" s="268">
        <f>Grig1!C28</f>
        <v>9</v>
      </c>
      <c r="R171" s="269" t="str">
        <f t="shared" si="0"/>
        <v>-25,0</v>
      </c>
    </row>
    <row r="172" spans="15:18" x14ac:dyDescent="0.2">
      <c r="O172" s="126" t="s">
        <v>181</v>
      </c>
      <c r="P172" s="268">
        <f>Grig1!B30</f>
        <v>15</v>
      </c>
      <c r="Q172" s="268">
        <f>Grig1!C30</f>
        <v>22</v>
      </c>
      <c r="R172" s="269" t="str">
        <f t="shared" si="0"/>
        <v>46,7</v>
      </c>
    </row>
    <row r="173" spans="15:18" x14ac:dyDescent="0.2">
      <c r="O173" s="126" t="s">
        <v>183</v>
      </c>
      <c r="P173" s="268">
        <f>Grig1!B32</f>
        <v>17</v>
      </c>
      <c r="Q173" s="268">
        <f>Grig1!C32</f>
        <v>18</v>
      </c>
      <c r="R173" s="269" t="str">
        <f t="shared" si="0"/>
        <v>5,9</v>
      </c>
    </row>
    <row r="174" spans="15:18" x14ac:dyDescent="0.2">
      <c r="O174" s="126" t="s">
        <v>185</v>
      </c>
      <c r="P174" s="268">
        <f>Grig1!B34</f>
        <v>33</v>
      </c>
      <c r="Q174" s="268">
        <f>Grig1!C34</f>
        <v>34</v>
      </c>
      <c r="R174" s="269" t="str">
        <f t="shared" si="0"/>
        <v>3,0</v>
      </c>
    </row>
    <row r="175" spans="15:18" x14ac:dyDescent="0.2">
      <c r="O175" s="270" t="s">
        <v>188</v>
      </c>
      <c r="P175" s="268">
        <f>Grig1!B37</f>
        <v>28</v>
      </c>
      <c r="Q175" s="268">
        <f>Grig1!C37</f>
        <v>50</v>
      </c>
      <c r="R175" s="271" t="str">
        <f t="shared" si="0"/>
        <v>78,6</v>
      </c>
    </row>
    <row r="176" spans="15:18" x14ac:dyDescent="0.2">
      <c r="O176" s="126" t="s">
        <v>189</v>
      </c>
      <c r="P176" s="268">
        <f>Grig1!B38</f>
        <v>13</v>
      </c>
      <c r="Q176" s="268">
        <f>Grig1!C38</f>
        <v>14</v>
      </c>
      <c r="R176" s="269" t="str">
        <f t="shared" si="0"/>
        <v>7,7</v>
      </c>
    </row>
    <row r="177" spans="1:18" x14ac:dyDescent="0.2">
      <c r="A177" t="s">
        <v>238</v>
      </c>
      <c r="O177" s="126" t="s">
        <v>191</v>
      </c>
      <c r="P177" s="268">
        <f>Grig1!B40</f>
        <v>20</v>
      </c>
      <c r="Q177" s="268">
        <f>Grig1!C40</f>
        <v>24</v>
      </c>
      <c r="R177" s="269" t="str">
        <f t="shared" si="0"/>
        <v>20,0</v>
      </c>
    </row>
    <row r="178" spans="1:18" x14ac:dyDescent="0.2">
      <c r="O178" s="126" t="s">
        <v>193</v>
      </c>
      <c r="P178" s="268">
        <f>Grig1!B42</f>
        <v>39</v>
      </c>
      <c r="Q178" s="268">
        <f>Grig1!C42</f>
        <v>27</v>
      </c>
      <c r="R178" s="269" t="str">
        <f t="shared" si="0"/>
        <v>-30,8</v>
      </c>
    </row>
    <row r="179" spans="1:18" x14ac:dyDescent="0.2">
      <c r="O179" s="126" t="s">
        <v>195</v>
      </c>
      <c r="P179" s="268">
        <f>Grig1!B44</f>
        <v>57</v>
      </c>
      <c r="Q179" s="268">
        <f>Grig1!C44</f>
        <v>55</v>
      </c>
      <c r="R179" s="269" t="str">
        <f t="shared" si="0"/>
        <v>-3,5</v>
      </c>
    </row>
    <row r="180" spans="1:18" x14ac:dyDescent="0.2">
      <c r="O180" s="126" t="s">
        <v>197</v>
      </c>
      <c r="P180" s="268">
        <f>Grig1!B46</f>
        <v>9</v>
      </c>
      <c r="Q180" s="268">
        <f>Grig1!C46</f>
        <v>16</v>
      </c>
      <c r="R180" s="269" t="str">
        <f t="shared" si="0"/>
        <v>77,8</v>
      </c>
    </row>
    <row r="181" spans="1:18" x14ac:dyDescent="0.2">
      <c r="O181" s="126" t="s">
        <v>199</v>
      </c>
      <c r="P181" s="268">
        <f>Grig1!B62</f>
        <v>40</v>
      </c>
      <c r="Q181" s="268">
        <f>Grig1!C62</f>
        <v>33</v>
      </c>
      <c r="R181" s="269" t="str">
        <f t="shared" si="0"/>
        <v>-17,5</v>
      </c>
    </row>
    <row r="182" spans="1:18" x14ac:dyDescent="0.2">
      <c r="O182" s="126" t="s">
        <v>201</v>
      </c>
      <c r="P182" s="268">
        <f>Grig1!B50</f>
        <v>29</v>
      </c>
      <c r="Q182" s="268">
        <f>Grig1!C50</f>
        <v>25</v>
      </c>
      <c r="R182" s="269" t="str">
        <f t="shared" si="0"/>
        <v>-13,8</v>
      </c>
    </row>
    <row r="183" spans="1:18" x14ac:dyDescent="0.2">
      <c r="O183" s="126" t="s">
        <v>203</v>
      </c>
      <c r="P183" s="268">
        <f>Grig1!B52</f>
        <v>14</v>
      </c>
      <c r="Q183" s="268">
        <f>Grig1!C52</f>
        <v>15</v>
      </c>
      <c r="R183" s="269" t="str">
        <f t="shared" si="0"/>
        <v>7,1</v>
      </c>
    </row>
    <row r="184" spans="1:18" x14ac:dyDescent="0.2">
      <c r="O184" s="126" t="s">
        <v>205</v>
      </c>
      <c r="P184" s="268">
        <f>Grig1!B54</f>
        <v>8</v>
      </c>
      <c r="Q184" s="268">
        <f>Grig1!C54</f>
        <v>11</v>
      </c>
      <c r="R184" s="269" t="str">
        <f t="shared" si="0"/>
        <v>37,5</v>
      </c>
    </row>
    <row r="185" spans="1:18" x14ac:dyDescent="0.2">
      <c r="P185">
        <f>SUM(P160:P184)</f>
        <v>748</v>
      </c>
      <c r="Q185">
        <f>SUM(Q160:Q184)</f>
        <v>778</v>
      </c>
    </row>
    <row r="187" spans="1:18" x14ac:dyDescent="0.2">
      <c r="O187" s="263" t="s">
        <v>7</v>
      </c>
      <c r="P187" s="272" t="s">
        <v>10</v>
      </c>
      <c r="Q187" s="272"/>
      <c r="R187" s="272"/>
    </row>
    <row r="188" spans="1:18" x14ac:dyDescent="0.2">
      <c r="O188" s="263"/>
      <c r="P188" s="274">
        <v>2015</v>
      </c>
      <c r="Q188" s="273">
        <v>2016</v>
      </c>
      <c r="R188" s="273" t="s">
        <v>11</v>
      </c>
    </row>
    <row r="189" spans="1:18" x14ac:dyDescent="0.2">
      <c r="O189" s="126" t="s">
        <v>158</v>
      </c>
      <c r="P189" s="275">
        <f>Grig1!H7</f>
        <v>5</v>
      </c>
      <c r="Q189" s="275">
        <f>Grig1!I7</f>
        <v>0</v>
      </c>
      <c r="R189" s="276" t="str">
        <f t="shared" ref="R189:R213" si="1">IF(P189&lt;&gt;0,TEXT(((Q189-P189)/P189)*100,"0,0"),"--")</f>
        <v>-100,0</v>
      </c>
    </row>
    <row r="190" spans="1:18" x14ac:dyDescent="0.2">
      <c r="O190" s="126" t="s">
        <v>159</v>
      </c>
      <c r="P190" s="275">
        <f>Grig1!H8</f>
        <v>3</v>
      </c>
      <c r="Q190" s="275">
        <f>Grig1!I8</f>
        <v>2</v>
      </c>
      <c r="R190" s="276" t="str">
        <f t="shared" si="1"/>
        <v>-33,3</v>
      </c>
    </row>
    <row r="191" spans="1:18" x14ac:dyDescent="0.2">
      <c r="O191" s="126" t="s">
        <v>160</v>
      </c>
      <c r="P191" s="275">
        <f>Grig1!H9</f>
        <v>1</v>
      </c>
      <c r="Q191" s="275">
        <f>Grig1!I9</f>
        <v>5</v>
      </c>
      <c r="R191" s="276" t="str">
        <f t="shared" si="1"/>
        <v>400,0</v>
      </c>
    </row>
    <row r="192" spans="1:18" x14ac:dyDescent="0.2">
      <c r="O192" s="126" t="s">
        <v>161</v>
      </c>
      <c r="P192" s="275">
        <f>Grig1!H60</f>
        <v>4</v>
      </c>
      <c r="Q192" s="275">
        <f>Grig1!I60</f>
        <v>4</v>
      </c>
      <c r="R192" s="276" t="str">
        <f t="shared" si="1"/>
        <v>0,0</v>
      </c>
    </row>
    <row r="193" spans="1:18" x14ac:dyDescent="0.2">
      <c r="O193" s="126" t="s">
        <v>164</v>
      </c>
      <c r="P193" s="275">
        <f>Grig1!H13</f>
        <v>0</v>
      </c>
      <c r="Q193" s="275">
        <f>Grig1!I13</f>
        <v>1</v>
      </c>
      <c r="R193" s="276" t="str">
        <f t="shared" si="1"/>
        <v>--</v>
      </c>
    </row>
    <row r="194" spans="1:18" x14ac:dyDescent="0.2">
      <c r="O194" s="126" t="s">
        <v>166</v>
      </c>
      <c r="P194" s="275">
        <f>Grig1!H15</f>
        <v>1</v>
      </c>
      <c r="Q194" s="275">
        <f>Grig1!I15</f>
        <v>1</v>
      </c>
      <c r="R194" s="276" t="str">
        <f t="shared" si="1"/>
        <v>0,0</v>
      </c>
    </row>
    <row r="195" spans="1:18" x14ac:dyDescent="0.2">
      <c r="O195" s="126" t="s">
        <v>168</v>
      </c>
      <c r="P195" s="275">
        <f>Grig1!H17</f>
        <v>3</v>
      </c>
      <c r="Q195" s="275">
        <f>Grig1!I17</f>
        <v>3</v>
      </c>
      <c r="R195" s="276" t="str">
        <f t="shared" si="1"/>
        <v>0,0</v>
      </c>
    </row>
    <row r="196" spans="1:18" x14ac:dyDescent="0.2">
      <c r="O196" s="126" t="s">
        <v>170</v>
      </c>
      <c r="P196" s="275">
        <f>Grig1!H19</f>
        <v>1</v>
      </c>
      <c r="Q196" s="275">
        <f>Grig1!I19</f>
        <v>1</v>
      </c>
      <c r="R196" s="276" t="str">
        <f t="shared" si="1"/>
        <v>0,0</v>
      </c>
    </row>
    <row r="197" spans="1:18" x14ac:dyDescent="0.2">
      <c r="O197" s="126" t="s">
        <v>173</v>
      </c>
      <c r="P197" s="275">
        <f>Grig1!H61</f>
        <v>5</v>
      </c>
      <c r="Q197" s="275">
        <f>Grig1!I61</f>
        <v>6</v>
      </c>
      <c r="R197" s="276" t="str">
        <f t="shared" si="1"/>
        <v>20,0</v>
      </c>
    </row>
    <row r="198" spans="1:18" x14ac:dyDescent="0.2">
      <c r="O198" s="126" t="s">
        <v>175</v>
      </c>
      <c r="P198" s="275">
        <f>Grig1!H24</f>
        <v>5</v>
      </c>
      <c r="Q198" s="275">
        <f>Grig1!I24</f>
        <v>2</v>
      </c>
      <c r="R198" s="276" t="str">
        <f t="shared" si="1"/>
        <v>-60,0</v>
      </c>
    </row>
    <row r="199" spans="1:18" x14ac:dyDescent="0.2">
      <c r="O199" s="126" t="s">
        <v>177</v>
      </c>
      <c r="P199" s="275">
        <f>Grig1!H26</f>
        <v>2</v>
      </c>
      <c r="Q199" s="275">
        <f>Grig1!I26</f>
        <v>1</v>
      </c>
      <c r="R199" s="276" t="str">
        <f t="shared" si="1"/>
        <v>-50,0</v>
      </c>
    </row>
    <row r="200" spans="1:18" x14ac:dyDescent="0.2">
      <c r="O200" s="126" t="s">
        <v>179</v>
      </c>
      <c r="P200" s="275">
        <f>Grig1!H28</f>
        <v>0</v>
      </c>
      <c r="Q200" s="275">
        <f>Grig1!I28</f>
        <v>0</v>
      </c>
      <c r="R200" s="276" t="str">
        <f t="shared" si="1"/>
        <v>--</v>
      </c>
    </row>
    <row r="201" spans="1:18" x14ac:dyDescent="0.2">
      <c r="O201" s="126" t="s">
        <v>181</v>
      </c>
      <c r="P201" s="275">
        <f>Grig1!H30</f>
        <v>1</v>
      </c>
      <c r="Q201" s="275">
        <f>Grig1!I30</f>
        <v>2</v>
      </c>
      <c r="R201" s="276" t="str">
        <f t="shared" si="1"/>
        <v>100,0</v>
      </c>
    </row>
    <row r="202" spans="1:18" x14ac:dyDescent="0.2">
      <c r="O202" s="126" t="s">
        <v>183</v>
      </c>
      <c r="P202" s="275">
        <f>Grig1!H32</f>
        <v>4</v>
      </c>
      <c r="Q202" s="275">
        <f>Grig1!I32</f>
        <v>2</v>
      </c>
      <c r="R202" s="276" t="str">
        <f t="shared" si="1"/>
        <v>-50,0</v>
      </c>
    </row>
    <row r="203" spans="1:18" x14ac:dyDescent="0.2">
      <c r="O203" s="126" t="s">
        <v>185</v>
      </c>
      <c r="P203" s="275">
        <f>Grig1!H34</f>
        <v>4</v>
      </c>
      <c r="Q203" s="275">
        <f>Grig1!I34</f>
        <v>4</v>
      </c>
      <c r="R203" s="276" t="str">
        <f t="shared" si="1"/>
        <v>0,0</v>
      </c>
    </row>
    <row r="204" spans="1:18" x14ac:dyDescent="0.2">
      <c r="O204" s="270" t="s">
        <v>188</v>
      </c>
      <c r="P204" s="277">
        <f>Grig1!H37</f>
        <v>1</v>
      </c>
      <c r="Q204" s="277">
        <f>Grig1!I37</f>
        <v>1</v>
      </c>
      <c r="R204" s="271" t="str">
        <f t="shared" si="1"/>
        <v>0,0</v>
      </c>
    </row>
    <row r="205" spans="1:18" x14ac:dyDescent="0.2">
      <c r="O205" s="126" t="s">
        <v>189</v>
      </c>
      <c r="P205" s="275">
        <f>Grig1!H38</f>
        <v>0</v>
      </c>
      <c r="Q205" s="275">
        <f>Grig1!I38</f>
        <v>1</v>
      </c>
      <c r="R205" s="276" t="str">
        <f t="shared" si="1"/>
        <v>--</v>
      </c>
    </row>
    <row r="206" spans="1:18" x14ac:dyDescent="0.2">
      <c r="A206" t="s">
        <v>239</v>
      </c>
      <c r="O206" s="126" t="s">
        <v>191</v>
      </c>
      <c r="P206" s="275">
        <f>Grig1!H40</f>
        <v>1</v>
      </c>
      <c r="Q206" s="275">
        <f>Grig1!I40</f>
        <v>3</v>
      </c>
      <c r="R206" s="276" t="str">
        <f t="shared" si="1"/>
        <v>200,0</v>
      </c>
    </row>
    <row r="207" spans="1:18" x14ac:dyDescent="0.2">
      <c r="O207" s="126" t="s">
        <v>193</v>
      </c>
      <c r="P207" s="275">
        <f>Grig1!H42</f>
        <v>1</v>
      </c>
      <c r="Q207" s="275">
        <f>Grig1!I42</f>
        <v>2</v>
      </c>
      <c r="R207" s="276" t="str">
        <f t="shared" si="1"/>
        <v>100,0</v>
      </c>
    </row>
    <row r="208" spans="1:18" x14ac:dyDescent="0.2">
      <c r="O208" s="126" t="s">
        <v>195</v>
      </c>
      <c r="P208" s="275">
        <f>Grig1!H44</f>
        <v>6</v>
      </c>
      <c r="Q208" s="275">
        <f>Grig1!I44</f>
        <v>3</v>
      </c>
      <c r="R208" s="276" t="str">
        <f t="shared" si="1"/>
        <v>-50,0</v>
      </c>
    </row>
    <row r="209" spans="15:18" x14ac:dyDescent="0.2">
      <c r="O209" s="126" t="s">
        <v>197</v>
      </c>
      <c r="P209" s="275">
        <f>Grig1!H46</f>
        <v>1</v>
      </c>
      <c r="Q209" s="275">
        <f>Grig1!I46</f>
        <v>2</v>
      </c>
      <c r="R209" s="276" t="str">
        <f t="shared" si="1"/>
        <v>100,0</v>
      </c>
    </row>
    <row r="210" spans="15:18" x14ac:dyDescent="0.2">
      <c r="O210" s="126" t="s">
        <v>199</v>
      </c>
      <c r="P210" s="275">
        <f>Grig1!H62</f>
        <v>2</v>
      </c>
      <c r="Q210" s="275">
        <f>Grig1!I62</f>
        <v>3</v>
      </c>
      <c r="R210" s="276" t="str">
        <f t="shared" si="1"/>
        <v>50,0</v>
      </c>
    </row>
    <row r="211" spans="15:18" x14ac:dyDescent="0.2">
      <c r="O211" s="126" t="s">
        <v>201</v>
      </c>
      <c r="P211" s="275">
        <f>Grig1!H50</f>
        <v>1</v>
      </c>
      <c r="Q211" s="275">
        <f>Grig1!I50</f>
        <v>4</v>
      </c>
      <c r="R211" s="276" t="str">
        <f t="shared" si="1"/>
        <v>300,0</v>
      </c>
    </row>
    <row r="212" spans="15:18" x14ac:dyDescent="0.2">
      <c r="O212" s="126" t="s">
        <v>203</v>
      </c>
      <c r="P212" s="275">
        <f>Grig1!H52</f>
        <v>2</v>
      </c>
      <c r="Q212" s="275">
        <f>Grig1!I52</f>
        <v>5</v>
      </c>
      <c r="R212" s="276" t="str">
        <f t="shared" si="1"/>
        <v>150,0</v>
      </c>
    </row>
    <row r="213" spans="15:18" x14ac:dyDescent="0.2">
      <c r="O213" s="126" t="s">
        <v>205</v>
      </c>
      <c r="P213" s="275">
        <f>Grig1!H54</f>
        <v>3</v>
      </c>
      <c r="Q213" s="275">
        <f>Grig1!I54</f>
        <v>1</v>
      </c>
      <c r="R213" s="276" t="str">
        <f t="shared" si="1"/>
        <v>-66,7</v>
      </c>
    </row>
    <row r="214" spans="15:18" x14ac:dyDescent="0.2">
      <c r="P214">
        <f>SUM(P189:P213)</f>
        <v>57</v>
      </c>
      <c r="Q214">
        <f>SUM(Q189:Q213)</f>
        <v>59</v>
      </c>
    </row>
    <row r="216" spans="15:18" ht="13.5" x14ac:dyDescent="0.25">
      <c r="O216" s="263" t="s">
        <v>7</v>
      </c>
      <c r="P216" s="264" t="s">
        <v>219</v>
      </c>
      <c r="Q216" s="265"/>
      <c r="R216" s="265"/>
    </row>
    <row r="217" spans="15:18" x14ac:dyDescent="0.2">
      <c r="O217" s="263"/>
      <c r="P217" s="267">
        <v>2015</v>
      </c>
      <c r="Q217" s="266">
        <v>2016</v>
      </c>
      <c r="R217" s="266" t="s">
        <v>11</v>
      </c>
    </row>
    <row r="218" spans="15:18" x14ac:dyDescent="0.2">
      <c r="O218" s="126" t="s">
        <v>158</v>
      </c>
      <c r="P218" s="277">
        <f>Grig1!K7</f>
        <v>7</v>
      </c>
      <c r="Q218" s="277">
        <f>Grig1!L7</f>
        <v>4</v>
      </c>
      <c r="R218" s="269" t="str">
        <f t="shared" ref="R218:R242" si="2">IF(P218&lt;&gt;0,TEXT(((Q218-P218)/P218)*100,"0,0"),"--")</f>
        <v>-42,9</v>
      </c>
    </row>
    <row r="219" spans="15:18" x14ac:dyDescent="0.2">
      <c r="O219" s="126" t="s">
        <v>159</v>
      </c>
      <c r="P219" s="277">
        <f>Grig1!K8</f>
        <v>6</v>
      </c>
      <c r="Q219" s="277">
        <f>Grig1!L8</f>
        <v>6</v>
      </c>
      <c r="R219" s="269" t="str">
        <f t="shared" si="2"/>
        <v>0,0</v>
      </c>
    </row>
    <row r="220" spans="15:18" x14ac:dyDescent="0.2">
      <c r="O220" s="126" t="s">
        <v>160</v>
      </c>
      <c r="P220" s="277">
        <f>Grig1!K9</f>
        <v>5</v>
      </c>
      <c r="Q220" s="277">
        <f>Grig1!L9</f>
        <v>11</v>
      </c>
      <c r="R220" s="269" t="str">
        <f t="shared" si="2"/>
        <v>120,0</v>
      </c>
    </row>
    <row r="221" spans="15:18" x14ac:dyDescent="0.2">
      <c r="O221" s="126" t="s">
        <v>161</v>
      </c>
      <c r="P221" s="277">
        <f>Grig1!K60</f>
        <v>4</v>
      </c>
      <c r="Q221" s="277">
        <f>Grig1!L60</f>
        <v>2</v>
      </c>
      <c r="R221" s="269" t="str">
        <f t="shared" si="2"/>
        <v>-50,0</v>
      </c>
    </row>
    <row r="222" spans="15:18" x14ac:dyDescent="0.2">
      <c r="O222" s="126" t="s">
        <v>164</v>
      </c>
      <c r="P222" s="277">
        <f>Grig1!K13</f>
        <v>2</v>
      </c>
      <c r="Q222" s="277">
        <f>Grig1!L13</f>
        <v>1</v>
      </c>
      <c r="R222" s="269" t="str">
        <f t="shared" si="2"/>
        <v>-50,0</v>
      </c>
    </row>
    <row r="223" spans="15:18" x14ac:dyDescent="0.2">
      <c r="O223" s="126" t="s">
        <v>166</v>
      </c>
      <c r="P223" s="277">
        <f>Grig1!K15</f>
        <v>2</v>
      </c>
      <c r="Q223" s="277">
        <f>Grig1!L15</f>
        <v>1</v>
      </c>
      <c r="R223" s="269" t="str">
        <f t="shared" si="2"/>
        <v>-50,0</v>
      </c>
    </row>
    <row r="224" spans="15:18" x14ac:dyDescent="0.2">
      <c r="O224" s="126" t="s">
        <v>168</v>
      </c>
      <c r="P224" s="277">
        <f>Grig1!K17</f>
        <v>3</v>
      </c>
      <c r="Q224" s="277">
        <f>Grig1!L17</f>
        <v>0</v>
      </c>
      <c r="R224" s="269" t="str">
        <f t="shared" si="2"/>
        <v>-100,0</v>
      </c>
    </row>
    <row r="225" spans="1:18" x14ac:dyDescent="0.2">
      <c r="O225" s="126" t="s">
        <v>170</v>
      </c>
      <c r="P225" s="277">
        <f>Grig1!K19</f>
        <v>3</v>
      </c>
      <c r="Q225" s="277">
        <f>Grig1!L19</f>
        <v>3</v>
      </c>
      <c r="R225" s="269" t="str">
        <f t="shared" si="2"/>
        <v>0,0</v>
      </c>
    </row>
    <row r="226" spans="1:18" x14ac:dyDescent="0.2">
      <c r="O226" s="126" t="s">
        <v>173</v>
      </c>
      <c r="P226" s="277">
        <f>Grig1!K61</f>
        <v>2</v>
      </c>
      <c r="Q226" s="277">
        <f>Grig1!L61</f>
        <v>10</v>
      </c>
      <c r="R226" s="269" t="str">
        <f t="shared" si="2"/>
        <v>400,0</v>
      </c>
    </row>
    <row r="227" spans="1:18" x14ac:dyDescent="0.2">
      <c r="O227" s="126" t="s">
        <v>175</v>
      </c>
      <c r="P227" s="277">
        <f>Grig1!K24</f>
        <v>3</v>
      </c>
      <c r="Q227" s="277">
        <f>Grig1!L24</f>
        <v>1</v>
      </c>
      <c r="R227" s="269" t="str">
        <f t="shared" si="2"/>
        <v>-66,7</v>
      </c>
    </row>
    <row r="228" spans="1:18" x14ac:dyDescent="0.2">
      <c r="O228" s="126" t="s">
        <v>177</v>
      </c>
      <c r="P228" s="277">
        <f>Grig1!K26</f>
        <v>0</v>
      </c>
      <c r="Q228" s="277">
        <f>Grig1!L26</f>
        <v>1</v>
      </c>
      <c r="R228" s="269" t="str">
        <f t="shared" si="2"/>
        <v>--</v>
      </c>
    </row>
    <row r="229" spans="1:18" x14ac:dyDescent="0.2">
      <c r="O229" s="126" t="s">
        <v>179</v>
      </c>
      <c r="P229" s="277">
        <f>Grig1!K28</f>
        <v>0</v>
      </c>
      <c r="Q229" s="277">
        <f>Grig1!L28</f>
        <v>0</v>
      </c>
      <c r="R229" s="269" t="str">
        <f t="shared" si="2"/>
        <v>--</v>
      </c>
    </row>
    <row r="230" spans="1:18" x14ac:dyDescent="0.2">
      <c r="O230" s="126" t="s">
        <v>181</v>
      </c>
      <c r="P230" s="277">
        <f>Grig1!K30</f>
        <v>0</v>
      </c>
      <c r="Q230" s="277">
        <f>Grig1!L30</f>
        <v>0</v>
      </c>
      <c r="R230" s="269" t="str">
        <f t="shared" si="2"/>
        <v>--</v>
      </c>
    </row>
    <row r="231" spans="1:18" x14ac:dyDescent="0.2">
      <c r="O231" s="126" t="s">
        <v>183</v>
      </c>
      <c r="P231" s="277">
        <f>Grig1!K32</f>
        <v>1</v>
      </c>
      <c r="Q231" s="277">
        <f>Grig1!L32</f>
        <v>0</v>
      </c>
      <c r="R231" s="269" t="str">
        <f t="shared" si="2"/>
        <v>-100,0</v>
      </c>
    </row>
    <row r="232" spans="1:18" x14ac:dyDescent="0.2">
      <c r="O232" s="126" t="s">
        <v>185</v>
      </c>
      <c r="P232" s="277">
        <f>Grig1!K34</f>
        <v>4</v>
      </c>
      <c r="Q232" s="277">
        <f>Grig1!L34</f>
        <v>0</v>
      </c>
      <c r="R232" s="269" t="str">
        <f t="shared" si="2"/>
        <v>-100,0</v>
      </c>
    </row>
    <row r="233" spans="1:18" x14ac:dyDescent="0.2">
      <c r="O233" s="270" t="s">
        <v>188</v>
      </c>
      <c r="P233" s="277">
        <f>Grig1!K37</f>
        <v>3</v>
      </c>
      <c r="Q233" s="277">
        <f>Grig1!L37</f>
        <v>11</v>
      </c>
      <c r="R233" s="271" t="str">
        <f t="shared" si="2"/>
        <v>266,7</v>
      </c>
    </row>
    <row r="234" spans="1:18" x14ac:dyDescent="0.2">
      <c r="O234" s="126" t="s">
        <v>189</v>
      </c>
      <c r="P234" s="277">
        <f>Grig1!K38</f>
        <v>1</v>
      </c>
      <c r="Q234" s="277">
        <f>Grig1!L38</f>
        <v>2</v>
      </c>
      <c r="R234" s="269" t="str">
        <f t="shared" si="2"/>
        <v>100,0</v>
      </c>
    </row>
    <row r="235" spans="1:18" x14ac:dyDescent="0.2">
      <c r="A235" t="s">
        <v>240</v>
      </c>
      <c r="O235" s="126" t="s">
        <v>191</v>
      </c>
      <c r="P235" s="277">
        <f>Grig1!K40</f>
        <v>1</v>
      </c>
      <c r="Q235" s="277">
        <f>Grig1!L40</f>
        <v>2</v>
      </c>
      <c r="R235" s="269" t="str">
        <f t="shared" si="2"/>
        <v>100,0</v>
      </c>
    </row>
    <row r="236" spans="1:18" x14ac:dyDescent="0.2">
      <c r="O236" s="126" t="s">
        <v>193</v>
      </c>
      <c r="P236" s="277">
        <f>Grig1!K42</f>
        <v>4</v>
      </c>
      <c r="Q236" s="277">
        <f>Grig1!L42</f>
        <v>7</v>
      </c>
      <c r="R236" s="269" t="str">
        <f t="shared" si="2"/>
        <v>75,0</v>
      </c>
    </row>
    <row r="237" spans="1:18" x14ac:dyDescent="0.2">
      <c r="O237" s="126" t="s">
        <v>195</v>
      </c>
      <c r="P237" s="277">
        <f>Grig1!K44</f>
        <v>4</v>
      </c>
      <c r="Q237" s="277">
        <f>Grig1!L44</f>
        <v>2</v>
      </c>
      <c r="R237" s="269" t="str">
        <f t="shared" si="2"/>
        <v>-50,0</v>
      </c>
    </row>
    <row r="238" spans="1:18" x14ac:dyDescent="0.2">
      <c r="O238" s="126" t="s">
        <v>197</v>
      </c>
      <c r="P238" s="277">
        <f>Grig1!K46</f>
        <v>1</v>
      </c>
      <c r="Q238" s="277">
        <f>Grig1!L46</f>
        <v>1</v>
      </c>
      <c r="R238" s="269" t="str">
        <f t="shared" si="2"/>
        <v>0,0</v>
      </c>
    </row>
    <row r="239" spans="1:18" x14ac:dyDescent="0.2">
      <c r="O239" s="126" t="s">
        <v>199</v>
      </c>
      <c r="P239" s="277">
        <f>Grig1!K62</f>
        <v>3</v>
      </c>
      <c r="Q239" s="277">
        <f>Grig1!L62</f>
        <v>4</v>
      </c>
      <c r="R239" s="269" t="str">
        <f t="shared" si="2"/>
        <v>33,3</v>
      </c>
    </row>
    <row r="240" spans="1:18" x14ac:dyDescent="0.2">
      <c r="O240" s="126" t="s">
        <v>201</v>
      </c>
      <c r="P240" s="277">
        <f>Grig1!K50</f>
        <v>1</v>
      </c>
      <c r="Q240" s="277">
        <f>Grig1!L50</f>
        <v>3</v>
      </c>
      <c r="R240" s="269" t="str">
        <f t="shared" si="2"/>
        <v>200,0</v>
      </c>
    </row>
    <row r="241" spans="15:18" x14ac:dyDescent="0.2">
      <c r="O241" s="126" t="s">
        <v>203</v>
      </c>
      <c r="P241" s="277">
        <f>Grig1!K52</f>
        <v>2</v>
      </c>
      <c r="Q241" s="277">
        <f>Grig1!L52</f>
        <v>0</v>
      </c>
      <c r="R241" s="269" t="str">
        <f t="shared" si="2"/>
        <v>-100,0</v>
      </c>
    </row>
    <row r="242" spans="15:18" x14ac:dyDescent="0.2">
      <c r="O242" s="126" t="s">
        <v>205</v>
      </c>
      <c r="P242" s="277">
        <f>Grig1!K54</f>
        <v>0</v>
      </c>
      <c r="Q242" s="277">
        <f>Grig1!L54</f>
        <v>0</v>
      </c>
      <c r="R242" s="269" t="str">
        <f t="shared" si="2"/>
        <v>--</v>
      </c>
    </row>
    <row r="243" spans="15:18" x14ac:dyDescent="0.2">
      <c r="P243">
        <f>SUM(P218:P242)</f>
        <v>62</v>
      </c>
      <c r="Q243">
        <f>SUM(Q218:Q242)</f>
        <v>72</v>
      </c>
    </row>
    <row r="258" spans="15:30" ht="13.5" x14ac:dyDescent="0.25">
      <c r="O258" s="263" t="s">
        <v>7</v>
      </c>
      <c r="P258" s="264" t="s">
        <v>8</v>
      </c>
      <c r="Q258" s="265"/>
      <c r="R258" s="265"/>
      <c r="S258" s="265" t="s">
        <v>9</v>
      </c>
      <c r="T258" s="265"/>
      <c r="U258" s="265"/>
      <c r="V258" s="272" t="s">
        <v>10</v>
      </c>
      <c r="W258" s="272"/>
      <c r="X258" s="272"/>
      <c r="Y258" s="264" t="s">
        <v>219</v>
      </c>
      <c r="Z258" s="265"/>
      <c r="AA258" s="265"/>
      <c r="AB258" s="265" t="s">
        <v>16</v>
      </c>
      <c r="AC258" s="265"/>
      <c r="AD258" s="265"/>
    </row>
    <row r="259" spans="15:30" x14ac:dyDescent="0.2">
      <c r="O259" s="263"/>
      <c r="P259" s="267">
        <v>2015</v>
      </c>
      <c r="Q259" s="266">
        <v>2016</v>
      </c>
      <c r="R259" s="266" t="s">
        <v>11</v>
      </c>
      <c r="S259" s="267">
        <v>2015</v>
      </c>
      <c r="T259" s="266">
        <v>2016</v>
      </c>
      <c r="U259" s="266" t="s">
        <v>11</v>
      </c>
      <c r="V259" s="267">
        <v>2015</v>
      </c>
      <c r="W259" s="266">
        <v>2016</v>
      </c>
      <c r="X259" s="273" t="s">
        <v>11</v>
      </c>
      <c r="Y259" s="267">
        <v>2015</v>
      </c>
      <c r="Z259" s="266">
        <v>2016</v>
      </c>
      <c r="AA259" s="266" t="s">
        <v>11</v>
      </c>
      <c r="AB259" s="267">
        <v>2015</v>
      </c>
      <c r="AC259" s="266">
        <v>2016</v>
      </c>
      <c r="AD259" s="266" t="s">
        <v>11</v>
      </c>
    </row>
    <row r="260" spans="15:30" x14ac:dyDescent="0.2">
      <c r="O260" s="126" t="s">
        <v>157</v>
      </c>
      <c r="P260" s="270">
        <f>P261+P262+P263</f>
        <v>153</v>
      </c>
      <c r="Q260" s="277">
        <f>Q261+Q262+Q263</f>
        <v>162</v>
      </c>
      <c r="R260" s="271" t="str">
        <f t="shared" ref="R260:R278" si="3">IF(P260&lt;&gt;0,TEXT(((Q260-P260)/P260)*100,"0,0"),"--")</f>
        <v>5,9</v>
      </c>
      <c r="S260" s="279">
        <f>S261+S262+S263</f>
        <v>16416473</v>
      </c>
      <c r="T260" s="278">
        <f>T261+T262+T263</f>
        <v>22023412</v>
      </c>
      <c r="U260" s="271" t="str">
        <f t="shared" ref="U260:U278" si="4">IF(S260&lt;&gt;0,TEXT(((T260-S260)/S260)*100,"0,0"),"--")</f>
        <v>34,2</v>
      </c>
      <c r="V260" s="270">
        <f>V261+V262+V263</f>
        <v>9</v>
      </c>
      <c r="W260" s="277">
        <f>W261+W262+W263</f>
        <v>7</v>
      </c>
      <c r="X260" s="271" t="str">
        <f t="shared" ref="X260:X278" si="5">IF(V260&lt;&gt;0,TEXT(((W260-V260)/V260)*100,"0,0"),"--")</f>
        <v>-22,2</v>
      </c>
      <c r="Y260" s="270">
        <f>Y261+Y262+Y263</f>
        <v>18</v>
      </c>
      <c r="Z260" s="277">
        <f>Z261+Z262+Z263</f>
        <v>21</v>
      </c>
      <c r="AA260" s="271" t="str">
        <f t="shared" ref="AA260:AA278" si="6">IF(Y260&lt;&gt;0,TEXT(((Z260-Y260)/Y260)*100,"0,0"),"--")</f>
        <v>16,7</v>
      </c>
      <c r="AB260" s="270">
        <f>AB261+AB262+AB263</f>
        <v>97</v>
      </c>
      <c r="AC260" s="277">
        <f>AC261+AC262+AC263</f>
        <v>161</v>
      </c>
      <c r="AD260" s="271" t="str">
        <f t="shared" ref="AD260:AD278" si="7">IF(AB260&lt;&gt;0,TEXT(((AC260-AB260)/AB260)*100,"0,0"),"--")</f>
        <v>66,0</v>
      </c>
    </row>
    <row r="261" spans="15:30" x14ac:dyDescent="0.2">
      <c r="O261" s="126" t="s">
        <v>158</v>
      </c>
      <c r="P261" s="268">
        <f>Grig1!B7</f>
        <v>46</v>
      </c>
      <c r="Q261" s="268">
        <f>Grig1!C7</f>
        <v>42</v>
      </c>
      <c r="R261" s="269" t="str">
        <f t="shared" si="3"/>
        <v>-8,7</v>
      </c>
      <c r="S261" s="280">
        <f>Grig1!E7</f>
        <v>4673581</v>
      </c>
      <c r="T261" s="280">
        <f>Grig1!F7</f>
        <v>6700000</v>
      </c>
      <c r="U261" s="269" t="str">
        <f t="shared" si="4"/>
        <v>43,4</v>
      </c>
      <c r="V261" s="275">
        <f>Grig1!H7</f>
        <v>5</v>
      </c>
      <c r="W261" s="275">
        <f>Grig1!I7</f>
        <v>0</v>
      </c>
      <c r="X261" s="276" t="str">
        <f t="shared" si="5"/>
        <v>-100,0</v>
      </c>
      <c r="Y261" s="268">
        <f>Grig1!K7</f>
        <v>7</v>
      </c>
      <c r="Z261" s="268">
        <f>Grig1!L7</f>
        <v>4</v>
      </c>
      <c r="AA261" s="269" t="str">
        <f t="shared" si="6"/>
        <v>-42,9</v>
      </c>
      <c r="AB261" s="268">
        <f>Grig1!N7</f>
        <v>17</v>
      </c>
      <c r="AC261" s="268">
        <f>Grig1!O7</f>
        <v>32</v>
      </c>
      <c r="AD261" s="269" t="str">
        <f t="shared" si="7"/>
        <v>88,2</v>
      </c>
    </row>
    <row r="262" spans="15:30" x14ac:dyDescent="0.2">
      <c r="O262" s="126" t="s">
        <v>159</v>
      </c>
      <c r="P262" s="268">
        <f>Grig1!B8</f>
        <v>56</v>
      </c>
      <c r="Q262" s="268">
        <f>Grig1!C8</f>
        <v>58</v>
      </c>
      <c r="R262" s="269" t="str">
        <f t="shared" si="3"/>
        <v>3,6</v>
      </c>
      <c r="S262" s="280">
        <f>Grig1!E8</f>
        <v>6042000</v>
      </c>
      <c r="T262" s="280">
        <f>Grig1!F8</f>
        <v>5873500</v>
      </c>
      <c r="U262" s="269" t="str">
        <f t="shared" si="4"/>
        <v>-2,8</v>
      </c>
      <c r="V262" s="275">
        <f>Grig1!H8</f>
        <v>3</v>
      </c>
      <c r="W262" s="275">
        <f>Grig1!I8</f>
        <v>2</v>
      </c>
      <c r="X262" s="276" t="str">
        <f t="shared" si="5"/>
        <v>-33,3</v>
      </c>
      <c r="Y262" s="268">
        <f>Grig1!K8</f>
        <v>6</v>
      </c>
      <c r="Z262" s="268">
        <f>Grig1!L8</f>
        <v>6</v>
      </c>
      <c r="AA262" s="269" t="str">
        <f t="shared" si="6"/>
        <v>0,0</v>
      </c>
      <c r="AB262" s="268">
        <f>Grig1!N8</f>
        <v>44</v>
      </c>
      <c r="AC262" s="268">
        <f>Grig1!O8</f>
        <v>62</v>
      </c>
      <c r="AD262" s="269" t="str">
        <f t="shared" si="7"/>
        <v>40,9</v>
      </c>
    </row>
    <row r="263" spans="15:30" x14ac:dyDescent="0.2">
      <c r="O263" s="126" t="s">
        <v>160</v>
      </c>
      <c r="P263" s="268">
        <f>Grig1!B9</f>
        <v>51</v>
      </c>
      <c r="Q263" s="268">
        <f>Grig1!C9</f>
        <v>62</v>
      </c>
      <c r="R263" s="269" t="str">
        <f t="shared" si="3"/>
        <v>21,6</v>
      </c>
      <c r="S263" s="280">
        <f>Grig1!E9</f>
        <v>5700892</v>
      </c>
      <c r="T263" s="280">
        <f>Grig1!F9</f>
        <v>9449912</v>
      </c>
      <c r="U263" s="269" t="str">
        <f t="shared" si="4"/>
        <v>65,8</v>
      </c>
      <c r="V263" s="275">
        <f>Grig1!H9</f>
        <v>1</v>
      </c>
      <c r="W263" s="275">
        <f>Grig1!I9</f>
        <v>5</v>
      </c>
      <c r="X263" s="276" t="str">
        <f t="shared" si="5"/>
        <v>400,0</v>
      </c>
      <c r="Y263" s="268">
        <f>Grig1!K9</f>
        <v>5</v>
      </c>
      <c r="Z263" s="268">
        <f>Grig1!L9</f>
        <v>11</v>
      </c>
      <c r="AA263" s="269" t="str">
        <f t="shared" si="6"/>
        <v>120,0</v>
      </c>
      <c r="AB263" s="268">
        <f>Grig1!N9</f>
        <v>36</v>
      </c>
      <c r="AC263" s="268">
        <f>Grig1!O9</f>
        <v>67</v>
      </c>
      <c r="AD263" s="269" t="str">
        <f t="shared" si="7"/>
        <v>86,1</v>
      </c>
    </row>
    <row r="264" spans="15:30" x14ac:dyDescent="0.2">
      <c r="O264" s="126" t="s">
        <v>161</v>
      </c>
      <c r="P264" s="268">
        <f>Grig1!B10</f>
        <v>27</v>
      </c>
      <c r="Q264" s="268">
        <f>Grig1!C10</f>
        <v>24</v>
      </c>
      <c r="R264" s="269" t="str">
        <f t="shared" si="3"/>
        <v>-11,1</v>
      </c>
      <c r="S264" s="280">
        <f>Grig1!E10</f>
        <v>4026000</v>
      </c>
      <c r="T264" s="280">
        <f>Grig1!F10</f>
        <v>4935600</v>
      </c>
      <c r="U264" s="269" t="str">
        <f t="shared" si="4"/>
        <v>22,6</v>
      </c>
      <c r="V264" s="275">
        <f>Grig1!H10</f>
        <v>2</v>
      </c>
      <c r="W264" s="275">
        <f>Grig1!I10</f>
        <v>2</v>
      </c>
      <c r="X264" s="276" t="str">
        <f t="shared" si="5"/>
        <v>0,0</v>
      </c>
      <c r="Y264" s="268">
        <f>Grig1!K10</f>
        <v>1</v>
      </c>
      <c r="Z264" s="268">
        <f>Grig1!L10</f>
        <v>1</v>
      </c>
      <c r="AA264" s="269" t="str">
        <f t="shared" si="6"/>
        <v>0,0</v>
      </c>
      <c r="AB264" s="268">
        <f>Grig1!N10</f>
        <v>3</v>
      </c>
      <c r="AC264" s="268">
        <f>Grig1!O10</f>
        <v>1</v>
      </c>
      <c r="AD264" s="269" t="str">
        <f t="shared" si="7"/>
        <v>-66,7</v>
      </c>
    </row>
    <row r="265" spans="15:30" x14ac:dyDescent="0.2">
      <c r="O265" s="126" t="s">
        <v>162</v>
      </c>
      <c r="P265" s="268">
        <f>Grig1!B11</f>
        <v>27</v>
      </c>
      <c r="Q265" s="268">
        <f>Grig1!C11</f>
        <v>28</v>
      </c>
      <c r="R265" s="269" t="str">
        <f t="shared" si="3"/>
        <v>3,7</v>
      </c>
      <c r="S265" s="280">
        <f>Grig1!E11</f>
        <v>2844800</v>
      </c>
      <c r="T265" s="280">
        <f>Grig1!F11</f>
        <v>5765600</v>
      </c>
      <c r="U265" s="269" t="str">
        <f t="shared" si="4"/>
        <v>102,7</v>
      </c>
      <c r="V265" s="275">
        <f>Grig1!H11</f>
        <v>2</v>
      </c>
      <c r="W265" s="275">
        <f>Grig1!I11</f>
        <v>2</v>
      </c>
      <c r="X265" s="276" t="str">
        <f t="shared" si="5"/>
        <v>0,0</v>
      </c>
      <c r="Y265" s="268">
        <f>Grig1!K11</f>
        <v>3</v>
      </c>
      <c r="Z265" s="268">
        <f>Grig1!L11</f>
        <v>1</v>
      </c>
      <c r="AA265" s="269" t="str">
        <f t="shared" si="6"/>
        <v>-66,7</v>
      </c>
      <c r="AB265" s="268">
        <f>Grig1!N11</f>
        <v>2</v>
      </c>
      <c r="AC265" s="268">
        <f>Grig1!O11</f>
        <v>2</v>
      </c>
      <c r="AD265" s="269" t="str">
        <f t="shared" si="7"/>
        <v>0,0</v>
      </c>
    </row>
    <row r="266" spans="15:30" x14ac:dyDescent="0.2">
      <c r="O266" s="126" t="s">
        <v>164</v>
      </c>
      <c r="P266" s="268">
        <f>Grig1!B13</f>
        <v>17</v>
      </c>
      <c r="Q266" s="268">
        <f>Grig1!C13</f>
        <v>16</v>
      </c>
      <c r="R266" s="269" t="str">
        <f t="shared" si="3"/>
        <v>-5,9</v>
      </c>
      <c r="S266" s="280">
        <f>Grig1!E13</f>
        <v>3127600</v>
      </c>
      <c r="T266" s="280">
        <f>Grig1!F13</f>
        <v>2861000</v>
      </c>
      <c r="U266" s="269" t="str">
        <f t="shared" si="4"/>
        <v>-8,5</v>
      </c>
      <c r="V266" s="275">
        <f>Grig1!H13</f>
        <v>0</v>
      </c>
      <c r="W266" s="275">
        <f>Grig1!I13</f>
        <v>1</v>
      </c>
      <c r="X266" s="276" t="str">
        <f t="shared" si="5"/>
        <v>--</v>
      </c>
      <c r="Y266" s="268">
        <f>Grig1!K13</f>
        <v>2</v>
      </c>
      <c r="Z266" s="268">
        <f>Grig1!L13</f>
        <v>1</v>
      </c>
      <c r="AA266" s="269" t="str">
        <f t="shared" si="6"/>
        <v>-50,0</v>
      </c>
      <c r="AB266" s="268">
        <f>Grig1!N13</f>
        <v>1</v>
      </c>
      <c r="AC266" s="268">
        <f>Grig1!O13</f>
        <v>3</v>
      </c>
      <c r="AD266" s="269" t="str">
        <f t="shared" si="7"/>
        <v>200,0</v>
      </c>
    </row>
    <row r="267" spans="15:30" x14ac:dyDescent="0.2">
      <c r="O267" s="126" t="s">
        <v>166</v>
      </c>
      <c r="P267" s="268">
        <f>Grig1!B15</f>
        <v>34</v>
      </c>
      <c r="Q267" s="268">
        <f>Grig1!C15</f>
        <v>32</v>
      </c>
      <c r="R267" s="269" t="str">
        <f t="shared" si="3"/>
        <v>-5,9</v>
      </c>
      <c r="S267" s="280">
        <f>Grig1!E15</f>
        <v>4310000</v>
      </c>
      <c r="T267" s="280">
        <f>Grig1!F15</f>
        <v>3072000</v>
      </c>
      <c r="U267" s="269" t="str">
        <f t="shared" si="4"/>
        <v>-28,7</v>
      </c>
      <c r="V267" s="275">
        <f>Grig1!H15</f>
        <v>1</v>
      </c>
      <c r="W267" s="275">
        <f>Grig1!I15</f>
        <v>1</v>
      </c>
      <c r="X267" s="276" t="str">
        <f t="shared" si="5"/>
        <v>0,0</v>
      </c>
      <c r="Y267" s="268">
        <f>Grig1!K15</f>
        <v>2</v>
      </c>
      <c r="Z267" s="268">
        <f>Grig1!L15</f>
        <v>1</v>
      </c>
      <c r="AA267" s="269" t="str">
        <f t="shared" si="6"/>
        <v>-50,0</v>
      </c>
      <c r="AB267" s="268">
        <f>Grig1!N15</f>
        <v>1</v>
      </c>
      <c r="AC267" s="268">
        <f>Grig1!O15</f>
        <v>2</v>
      </c>
      <c r="AD267" s="269" t="str">
        <f t="shared" si="7"/>
        <v>100,0</v>
      </c>
    </row>
    <row r="268" spans="15:30" x14ac:dyDescent="0.2">
      <c r="O268" s="126" t="s">
        <v>168</v>
      </c>
      <c r="P268" s="268">
        <f>Grig1!B17</f>
        <v>37</v>
      </c>
      <c r="Q268" s="268">
        <f>Grig1!C17</f>
        <v>30</v>
      </c>
      <c r="R268" s="269" t="str">
        <f t="shared" si="3"/>
        <v>-18,9</v>
      </c>
      <c r="S268" s="280">
        <f>Grig1!E17</f>
        <v>4361781</v>
      </c>
      <c r="T268" s="280">
        <f>Grig1!F17</f>
        <v>5429780</v>
      </c>
      <c r="U268" s="269" t="str">
        <f t="shared" si="4"/>
        <v>24,5</v>
      </c>
      <c r="V268" s="275">
        <f>Grig1!H17</f>
        <v>3</v>
      </c>
      <c r="W268" s="275">
        <f>Grig1!I17</f>
        <v>3</v>
      </c>
      <c r="X268" s="276" t="str">
        <f t="shared" si="5"/>
        <v>0,0</v>
      </c>
      <c r="Y268" s="268">
        <f>Grig1!K17</f>
        <v>3</v>
      </c>
      <c r="Z268" s="268">
        <f>Grig1!L17</f>
        <v>0</v>
      </c>
      <c r="AA268" s="269" t="str">
        <f t="shared" si="6"/>
        <v>-100,0</v>
      </c>
      <c r="AB268" s="268">
        <f>Grig1!N17</f>
        <v>5</v>
      </c>
      <c r="AC268" s="268">
        <f>Grig1!O17</f>
        <v>1</v>
      </c>
      <c r="AD268" s="269" t="str">
        <f t="shared" si="7"/>
        <v>-80,0</v>
      </c>
    </row>
    <row r="269" spans="15:30" x14ac:dyDescent="0.2">
      <c r="O269" s="126" t="s">
        <v>170</v>
      </c>
      <c r="P269" s="268">
        <f>Grig1!B19</f>
        <v>25</v>
      </c>
      <c r="Q269" s="268">
        <f>Grig1!C19</f>
        <v>21</v>
      </c>
      <c r="R269" s="269" t="str">
        <f t="shared" si="3"/>
        <v>-16,0</v>
      </c>
      <c r="S269" s="280">
        <f>Grig1!E19</f>
        <v>3743928</v>
      </c>
      <c r="T269" s="280">
        <f>Grig1!F19</f>
        <v>5727487</v>
      </c>
      <c r="U269" s="269" t="str">
        <f t="shared" si="4"/>
        <v>53,0</v>
      </c>
      <c r="V269" s="275">
        <f>Grig1!H19</f>
        <v>1</v>
      </c>
      <c r="W269" s="275">
        <f>Grig1!I19</f>
        <v>1</v>
      </c>
      <c r="X269" s="276" t="str">
        <f t="shared" si="5"/>
        <v>0,0</v>
      </c>
      <c r="Y269" s="268">
        <f>Grig1!K19</f>
        <v>3</v>
      </c>
      <c r="Z269" s="268">
        <f>Grig1!L19</f>
        <v>3</v>
      </c>
      <c r="AA269" s="269" t="str">
        <f t="shared" si="6"/>
        <v>0,0</v>
      </c>
      <c r="AB269" s="268">
        <f>Grig1!N19</f>
        <v>3</v>
      </c>
      <c r="AC269" s="268">
        <f>Grig1!O19</f>
        <v>1</v>
      </c>
      <c r="AD269" s="269" t="str">
        <f t="shared" si="7"/>
        <v>-66,7</v>
      </c>
    </row>
    <row r="270" spans="15:30" x14ac:dyDescent="0.2">
      <c r="O270" s="126" t="s">
        <v>173</v>
      </c>
      <c r="P270" s="268">
        <f>Grig1!B22</f>
        <v>36</v>
      </c>
      <c r="Q270" s="268">
        <f>Grig1!C22</f>
        <v>43</v>
      </c>
      <c r="R270" s="269" t="str">
        <f t="shared" si="3"/>
        <v>19,4</v>
      </c>
      <c r="S270" s="280">
        <f>Grig1!E22</f>
        <v>3285000</v>
      </c>
      <c r="T270" s="280">
        <f>Grig1!F22</f>
        <v>4440000</v>
      </c>
      <c r="U270" s="269" t="str">
        <f t="shared" si="4"/>
        <v>35,2</v>
      </c>
      <c r="V270" s="275">
        <f>Grig1!H22</f>
        <v>4</v>
      </c>
      <c r="W270" s="275">
        <f>Grig1!I22</f>
        <v>5</v>
      </c>
      <c r="X270" s="276" t="str">
        <f t="shared" si="5"/>
        <v>25,0</v>
      </c>
      <c r="Y270" s="268">
        <f>Grig1!K22</f>
        <v>2</v>
      </c>
      <c r="Z270" s="268">
        <f>Grig1!L22</f>
        <v>3</v>
      </c>
      <c r="AA270" s="269" t="str">
        <f t="shared" si="6"/>
        <v>50,0</v>
      </c>
      <c r="AB270" s="268">
        <f>Grig1!N22</f>
        <v>3</v>
      </c>
      <c r="AC270" s="268">
        <f>Grig1!O22</f>
        <v>2</v>
      </c>
      <c r="AD270" s="269" t="str">
        <f t="shared" si="7"/>
        <v>-33,3</v>
      </c>
    </row>
    <row r="271" spans="15:30" x14ac:dyDescent="0.2">
      <c r="O271" s="126" t="s">
        <v>174</v>
      </c>
      <c r="P271" s="268">
        <f>Grig1!B23</f>
        <v>12</v>
      </c>
      <c r="Q271" s="268">
        <f>Grig1!C23</f>
        <v>31</v>
      </c>
      <c r="R271" s="269" t="str">
        <f t="shared" si="3"/>
        <v>158,3</v>
      </c>
      <c r="S271" s="280">
        <f>Grig1!E23</f>
        <v>1495500</v>
      </c>
      <c r="T271" s="280">
        <f>Grig1!F23</f>
        <v>3920000</v>
      </c>
      <c r="U271" s="269" t="str">
        <f t="shared" si="4"/>
        <v>162,1</v>
      </c>
      <c r="V271" s="275">
        <f>Grig1!H23</f>
        <v>1</v>
      </c>
      <c r="W271" s="275">
        <f>Grig1!I23</f>
        <v>1</v>
      </c>
      <c r="X271" s="276" t="str">
        <f t="shared" si="5"/>
        <v>0,0</v>
      </c>
      <c r="Y271" s="268">
        <f>Grig1!K23</f>
        <v>0</v>
      </c>
      <c r="Z271" s="268">
        <f>Grig1!L23</f>
        <v>7</v>
      </c>
      <c r="AA271" s="269" t="str">
        <f t="shared" si="6"/>
        <v>--</v>
      </c>
      <c r="AB271" s="268">
        <f>Grig1!N23</f>
        <v>0</v>
      </c>
      <c r="AC271" s="268">
        <f>Grig1!O23</f>
        <v>23</v>
      </c>
      <c r="AD271" s="269" t="str">
        <f t="shared" si="7"/>
        <v>--</v>
      </c>
    </row>
    <row r="272" spans="15:30" x14ac:dyDescent="0.2">
      <c r="O272" s="126" t="s">
        <v>175</v>
      </c>
      <c r="P272" s="268">
        <f>Grig1!B24</f>
        <v>23</v>
      </c>
      <c r="Q272" s="268">
        <f>Grig1!C24</f>
        <v>15</v>
      </c>
      <c r="R272" s="269" t="str">
        <f t="shared" si="3"/>
        <v>-34,8</v>
      </c>
      <c r="S272" s="280">
        <f>Grig1!E24</f>
        <v>2788097</v>
      </c>
      <c r="T272" s="280">
        <f>Grig1!F24</f>
        <v>3525000</v>
      </c>
      <c r="U272" s="269" t="str">
        <f t="shared" si="4"/>
        <v>26,4</v>
      </c>
      <c r="V272" s="275">
        <f>Grig1!H24</f>
        <v>5</v>
      </c>
      <c r="W272" s="275">
        <f>Grig1!I24</f>
        <v>2</v>
      </c>
      <c r="X272" s="276" t="str">
        <f t="shared" si="5"/>
        <v>-60,0</v>
      </c>
      <c r="Y272" s="268">
        <f>Grig1!K24</f>
        <v>3</v>
      </c>
      <c r="Z272" s="268">
        <f>Grig1!L24</f>
        <v>1</v>
      </c>
      <c r="AA272" s="269" t="str">
        <f t="shared" si="6"/>
        <v>-66,7</v>
      </c>
      <c r="AB272" s="268">
        <f>Grig1!N24</f>
        <v>2</v>
      </c>
      <c r="AC272" s="268">
        <f>Grig1!O24</f>
        <v>0</v>
      </c>
      <c r="AD272" s="269" t="str">
        <f t="shared" si="7"/>
        <v>-100,0</v>
      </c>
    </row>
    <row r="273" spans="15:30" x14ac:dyDescent="0.2">
      <c r="O273" s="126" t="s">
        <v>177</v>
      </c>
      <c r="P273" s="268">
        <f>Grig1!B26</f>
        <v>23</v>
      </c>
      <c r="Q273" s="268">
        <f>Grig1!C26</f>
        <v>23</v>
      </c>
      <c r="R273" s="269" t="str">
        <f t="shared" si="3"/>
        <v>0,0</v>
      </c>
      <c r="S273" s="280">
        <f>Grig1!E26</f>
        <v>7835887</v>
      </c>
      <c r="T273" s="280">
        <f>Grig1!F26</f>
        <v>3491326</v>
      </c>
      <c r="U273" s="269" t="str">
        <f t="shared" si="4"/>
        <v>-55,4</v>
      </c>
      <c r="V273" s="275">
        <f>Grig1!H26</f>
        <v>2</v>
      </c>
      <c r="W273" s="275">
        <f>Grig1!I26</f>
        <v>1</v>
      </c>
      <c r="X273" s="276" t="str">
        <f t="shared" si="5"/>
        <v>-50,0</v>
      </c>
      <c r="Y273" s="268">
        <f>Grig1!K26</f>
        <v>0</v>
      </c>
      <c r="Z273" s="268">
        <f>Grig1!L26</f>
        <v>1</v>
      </c>
      <c r="AA273" s="269" t="str">
        <f t="shared" si="6"/>
        <v>--</v>
      </c>
      <c r="AB273" s="268">
        <f>Grig1!N26</f>
        <v>1</v>
      </c>
      <c r="AC273" s="268">
        <f>Grig1!O26</f>
        <v>3</v>
      </c>
      <c r="AD273" s="269" t="str">
        <f t="shared" si="7"/>
        <v>200,0</v>
      </c>
    </row>
    <row r="274" spans="15:30" x14ac:dyDescent="0.2">
      <c r="O274" s="126" t="s">
        <v>179</v>
      </c>
      <c r="P274" s="268">
        <f>Grig1!B28</f>
        <v>12</v>
      </c>
      <c r="Q274" s="268">
        <f>Grig1!C28</f>
        <v>9</v>
      </c>
      <c r="R274" s="269" t="str">
        <f t="shared" si="3"/>
        <v>-25,0</v>
      </c>
      <c r="S274" s="280">
        <f>Grig1!E28</f>
        <v>1534000</v>
      </c>
      <c r="T274" s="280">
        <f>Grig1!F28</f>
        <v>834500</v>
      </c>
      <c r="U274" s="269" t="str">
        <f t="shared" si="4"/>
        <v>-45,6</v>
      </c>
      <c r="V274" s="275">
        <f>Grig1!H28</f>
        <v>0</v>
      </c>
      <c r="W274" s="275">
        <f>Grig1!I28</f>
        <v>0</v>
      </c>
      <c r="X274" s="276" t="str">
        <f t="shared" si="5"/>
        <v>--</v>
      </c>
      <c r="Y274" s="268">
        <f>Grig1!K28</f>
        <v>0</v>
      </c>
      <c r="Z274" s="268">
        <f>Grig1!L28</f>
        <v>0</v>
      </c>
      <c r="AA274" s="269" t="str">
        <f t="shared" si="6"/>
        <v>--</v>
      </c>
      <c r="AB274" s="268">
        <f>Grig1!N28</f>
        <v>0</v>
      </c>
      <c r="AC274" s="268">
        <f>Grig1!O28</f>
        <v>0</v>
      </c>
      <c r="AD274" s="269" t="str">
        <f t="shared" si="7"/>
        <v>--</v>
      </c>
    </row>
    <row r="275" spans="15:30" x14ac:dyDescent="0.2">
      <c r="O275" s="126" t="s">
        <v>181</v>
      </c>
      <c r="P275" s="268">
        <f>Grig1!B30</f>
        <v>15</v>
      </c>
      <c r="Q275" s="268">
        <f>Grig1!C30</f>
        <v>22</v>
      </c>
      <c r="R275" s="269" t="str">
        <f t="shared" si="3"/>
        <v>46,7</v>
      </c>
      <c r="S275" s="280">
        <f>Grig1!E30</f>
        <v>531000</v>
      </c>
      <c r="T275" s="280">
        <f>Grig1!F30</f>
        <v>3270000</v>
      </c>
      <c r="U275" s="269" t="str">
        <f t="shared" si="4"/>
        <v>515,8</v>
      </c>
      <c r="V275" s="275">
        <f>Grig1!H30</f>
        <v>1</v>
      </c>
      <c r="W275" s="275">
        <f>Grig1!I30</f>
        <v>2</v>
      </c>
      <c r="X275" s="276" t="str">
        <f t="shared" si="5"/>
        <v>100,0</v>
      </c>
      <c r="Y275" s="268">
        <f>Grig1!K30</f>
        <v>0</v>
      </c>
      <c r="Z275" s="268">
        <f>Grig1!L30</f>
        <v>0</v>
      </c>
      <c r="AA275" s="269" t="str">
        <f t="shared" si="6"/>
        <v>--</v>
      </c>
      <c r="AB275" s="268">
        <f>Grig1!N30</f>
        <v>0</v>
      </c>
      <c r="AC275" s="268">
        <f>Grig1!O30</f>
        <v>1</v>
      </c>
      <c r="AD275" s="269" t="str">
        <f t="shared" si="7"/>
        <v>--</v>
      </c>
    </row>
    <row r="276" spans="15:30" x14ac:dyDescent="0.2">
      <c r="O276" s="126" t="s">
        <v>183</v>
      </c>
      <c r="P276" s="268">
        <f>Grig1!B32</f>
        <v>17</v>
      </c>
      <c r="Q276" s="268">
        <f>Grig1!C32</f>
        <v>18</v>
      </c>
      <c r="R276" s="269" t="str">
        <f t="shared" si="3"/>
        <v>5,9</v>
      </c>
      <c r="S276" s="280">
        <f>Grig1!E32</f>
        <v>2221000</v>
      </c>
      <c r="T276" s="280">
        <f>Grig1!F32</f>
        <v>2640000</v>
      </c>
      <c r="U276" s="269" t="str">
        <f t="shared" si="4"/>
        <v>18,9</v>
      </c>
      <c r="V276" s="275">
        <f>Grig1!H32</f>
        <v>4</v>
      </c>
      <c r="W276" s="275">
        <f>Grig1!I32</f>
        <v>2</v>
      </c>
      <c r="X276" s="276" t="str">
        <f t="shared" si="5"/>
        <v>-50,0</v>
      </c>
      <c r="Y276" s="268">
        <f>Grig1!K32</f>
        <v>1</v>
      </c>
      <c r="Z276" s="268">
        <f>Grig1!L32</f>
        <v>0</v>
      </c>
      <c r="AA276" s="269" t="str">
        <f t="shared" si="6"/>
        <v>-100,0</v>
      </c>
      <c r="AB276" s="268">
        <f>Grig1!N32</f>
        <v>2</v>
      </c>
      <c r="AC276" s="268">
        <f>Grig1!O32</f>
        <v>8</v>
      </c>
      <c r="AD276" s="269" t="str">
        <f t="shared" si="7"/>
        <v>300,0</v>
      </c>
    </row>
    <row r="277" spans="15:30" x14ac:dyDescent="0.2">
      <c r="O277" s="126" t="s">
        <v>185</v>
      </c>
      <c r="P277" s="268">
        <f>Grig1!B34</f>
        <v>33</v>
      </c>
      <c r="Q277" s="268">
        <f>Grig1!C34</f>
        <v>34</v>
      </c>
      <c r="R277" s="269" t="str">
        <f t="shared" si="3"/>
        <v>3,0</v>
      </c>
      <c r="S277" s="280">
        <f>Grig1!E34</f>
        <v>3552400</v>
      </c>
      <c r="T277" s="280">
        <f>Grig1!F34</f>
        <v>5243000</v>
      </c>
      <c r="U277" s="269" t="str">
        <f t="shared" si="4"/>
        <v>47,6</v>
      </c>
      <c r="V277" s="275">
        <f>Grig1!H34</f>
        <v>4</v>
      </c>
      <c r="W277" s="275">
        <f>Grig1!I34</f>
        <v>4</v>
      </c>
      <c r="X277" s="276" t="str">
        <f t="shared" si="5"/>
        <v>0,0</v>
      </c>
      <c r="Y277" s="268">
        <f>Grig1!K34</f>
        <v>4</v>
      </c>
      <c r="Z277" s="268">
        <f>Grig1!L34</f>
        <v>0</v>
      </c>
      <c r="AA277" s="269" t="str">
        <f t="shared" si="6"/>
        <v>-100,0</v>
      </c>
      <c r="AB277" s="268">
        <f>Grig1!N34</f>
        <v>1</v>
      </c>
      <c r="AC277" s="268">
        <f>Grig1!O34</f>
        <v>5</v>
      </c>
      <c r="AD277" s="269" t="str">
        <f t="shared" si="7"/>
        <v>400,0</v>
      </c>
    </row>
    <row r="278" spans="15:30" x14ac:dyDescent="0.2">
      <c r="O278" s="270" t="s">
        <v>188</v>
      </c>
      <c r="P278" s="268">
        <f>Grig1!B37</f>
        <v>28</v>
      </c>
      <c r="Q278" s="268">
        <f>Grig1!C37</f>
        <v>50</v>
      </c>
      <c r="R278" s="271" t="str">
        <f t="shared" si="3"/>
        <v>78,6</v>
      </c>
      <c r="S278" s="280">
        <f>Grig1!E37</f>
        <v>4400546</v>
      </c>
      <c r="T278" s="280">
        <f>Grig1!F37</f>
        <v>4944595</v>
      </c>
      <c r="U278" s="271" t="str">
        <f t="shared" si="4"/>
        <v>12,4</v>
      </c>
      <c r="V278" s="275">
        <f>Grig1!H37</f>
        <v>1</v>
      </c>
      <c r="W278" s="275">
        <f>Grig1!I37</f>
        <v>1</v>
      </c>
      <c r="X278" s="271" t="str">
        <f t="shared" si="5"/>
        <v>0,0</v>
      </c>
      <c r="Y278" s="268">
        <f>Grig1!K37</f>
        <v>3</v>
      </c>
      <c r="Z278" s="268">
        <f>Grig1!L37</f>
        <v>11</v>
      </c>
      <c r="AA278" s="271" t="str">
        <f t="shared" si="6"/>
        <v>266,7</v>
      </c>
      <c r="AB278" s="268">
        <f>Grig1!N37</f>
        <v>28</v>
      </c>
      <c r="AC278" s="268">
        <f>Grig1!O37</f>
        <v>67</v>
      </c>
      <c r="AD278" s="271" t="str">
        <f t="shared" si="7"/>
        <v>139,3</v>
      </c>
    </row>
    <row r="279" spans="15:30" x14ac:dyDescent="0.2">
      <c r="O279" s="126" t="s">
        <v>189</v>
      </c>
      <c r="P279" s="268">
        <f>Grig1!B38</f>
        <v>13</v>
      </c>
      <c r="Q279" s="268">
        <f>Grig1!C38</f>
        <v>14</v>
      </c>
      <c r="R279" s="269" t="str">
        <f t="shared" ref="R279:R290" si="8">IF(P279&lt;&gt;0,TEXT(((Q279-P279)/P279)*100,"0,0"),"--")</f>
        <v>7,7</v>
      </c>
      <c r="S279" s="280">
        <f>Grig1!E38</f>
        <v>1065700</v>
      </c>
      <c r="T279" s="280">
        <f>Grig1!F38</f>
        <v>4295500</v>
      </c>
      <c r="U279" s="269" t="str">
        <f t="shared" ref="U279:U290" si="9">IF(S279&lt;&gt;0,TEXT(((T279-S279)/S279)*100,"0,0"),"--")</f>
        <v>303,1</v>
      </c>
      <c r="V279" s="275">
        <f>Grig1!H38</f>
        <v>0</v>
      </c>
      <c r="W279" s="275">
        <f>Grig1!I38</f>
        <v>1</v>
      </c>
      <c r="X279" s="276" t="str">
        <f t="shared" ref="X279:X290" si="10">IF(V279&lt;&gt;0,TEXT(((W279-V279)/V279)*100,"0,0"),"--")</f>
        <v>--</v>
      </c>
      <c r="Y279" s="268">
        <f>Grig1!K38</f>
        <v>1</v>
      </c>
      <c r="Z279" s="268">
        <f>Grig1!L38</f>
        <v>2</v>
      </c>
      <c r="AA279" s="269" t="str">
        <f t="shared" ref="AA279:AA290" si="11">IF(Y279&lt;&gt;0,TEXT(((Z279-Y279)/Y279)*100,"0,0"),"--")</f>
        <v>100,0</v>
      </c>
      <c r="AB279" s="268">
        <f>Grig1!N38</f>
        <v>2</v>
      </c>
      <c r="AC279" s="268">
        <f>Grig1!O38</f>
        <v>2</v>
      </c>
      <c r="AD279" s="269" t="str">
        <f t="shared" ref="AD279:AD291" si="12">IF(AB279&lt;&gt;0,TEXT(((AC279-AB279)/AB279)*100,"0,0"),"--")</f>
        <v>0,0</v>
      </c>
    </row>
    <row r="280" spans="15:30" x14ac:dyDescent="0.2">
      <c r="O280" s="126" t="s">
        <v>191</v>
      </c>
      <c r="P280" s="268">
        <f>Grig1!B40</f>
        <v>20</v>
      </c>
      <c r="Q280" s="268">
        <f>Grig1!C40</f>
        <v>24</v>
      </c>
      <c r="R280" s="269" t="str">
        <f t="shared" si="8"/>
        <v>20,0</v>
      </c>
      <c r="S280" s="280">
        <f>Grig1!E40</f>
        <v>2736242</v>
      </c>
      <c r="T280" s="280">
        <f>Grig1!F40</f>
        <v>4055000</v>
      </c>
      <c r="U280" s="269" t="str">
        <f t="shared" si="9"/>
        <v>48,2</v>
      </c>
      <c r="V280" s="275">
        <f>Grig1!H40</f>
        <v>1</v>
      </c>
      <c r="W280" s="275">
        <f>Grig1!I40</f>
        <v>3</v>
      </c>
      <c r="X280" s="276" t="str">
        <f t="shared" si="10"/>
        <v>200,0</v>
      </c>
      <c r="Y280" s="268">
        <f>Grig1!K40</f>
        <v>1</v>
      </c>
      <c r="Z280" s="268">
        <f>Grig1!L40</f>
        <v>2</v>
      </c>
      <c r="AA280" s="269" t="str">
        <f t="shared" si="11"/>
        <v>100,0</v>
      </c>
      <c r="AB280" s="268">
        <f>Grig1!N40</f>
        <v>0</v>
      </c>
      <c r="AC280" s="268">
        <f>Grig1!O40</f>
        <v>3</v>
      </c>
      <c r="AD280" s="269" t="str">
        <f t="shared" si="12"/>
        <v>--</v>
      </c>
    </row>
    <row r="281" spans="15:30" x14ac:dyDescent="0.2">
      <c r="O281" s="126" t="s">
        <v>193</v>
      </c>
      <c r="P281" s="268">
        <f>Grig1!B42</f>
        <v>39</v>
      </c>
      <c r="Q281" s="268">
        <f>Grig1!C42</f>
        <v>27</v>
      </c>
      <c r="R281" s="269" t="str">
        <f t="shared" si="8"/>
        <v>-30,8</v>
      </c>
      <c r="S281" s="280">
        <f>Grig1!E42</f>
        <v>4217000</v>
      </c>
      <c r="T281" s="280">
        <f>Grig1!F42</f>
        <v>4650100</v>
      </c>
      <c r="U281" s="269" t="str">
        <f t="shared" si="9"/>
        <v>10,3</v>
      </c>
      <c r="V281" s="275">
        <f>Grig1!H42</f>
        <v>1</v>
      </c>
      <c r="W281" s="275">
        <f>Grig1!I42</f>
        <v>2</v>
      </c>
      <c r="X281" s="276" t="str">
        <f t="shared" si="10"/>
        <v>100,0</v>
      </c>
      <c r="Y281" s="268">
        <f>Grig1!K42</f>
        <v>4</v>
      </c>
      <c r="Z281" s="268">
        <f>Grig1!L42</f>
        <v>7</v>
      </c>
      <c r="AA281" s="269" t="str">
        <f t="shared" si="11"/>
        <v>75,0</v>
      </c>
      <c r="AB281" s="268">
        <f>Grig1!N42</f>
        <v>11</v>
      </c>
      <c r="AC281" s="268">
        <f>Grig1!O42</f>
        <v>35</v>
      </c>
      <c r="AD281" s="269" t="str">
        <f t="shared" si="12"/>
        <v>218,2</v>
      </c>
    </row>
    <row r="282" spans="15:30" x14ac:dyDescent="0.2">
      <c r="O282" s="126" t="s">
        <v>195</v>
      </c>
      <c r="P282" s="268">
        <f>Grig1!B44</f>
        <v>57</v>
      </c>
      <c r="Q282" s="268">
        <f>Grig1!C44</f>
        <v>55</v>
      </c>
      <c r="R282" s="269" t="str">
        <f t="shared" si="8"/>
        <v>-3,5</v>
      </c>
      <c r="S282" s="280">
        <f>Grig1!E44</f>
        <v>14510418</v>
      </c>
      <c r="T282" s="280">
        <f>Grig1!F44</f>
        <v>7905161</v>
      </c>
      <c r="U282" s="269" t="str">
        <f t="shared" si="9"/>
        <v>-45,5</v>
      </c>
      <c r="V282" s="275">
        <f>Grig1!H44</f>
        <v>6</v>
      </c>
      <c r="W282" s="275">
        <f>Grig1!I44</f>
        <v>3</v>
      </c>
      <c r="X282" s="276" t="str">
        <f t="shared" si="10"/>
        <v>-50,0</v>
      </c>
      <c r="Y282" s="268">
        <f>Grig1!K44</f>
        <v>4</v>
      </c>
      <c r="Z282" s="268">
        <f>Grig1!L44</f>
        <v>2</v>
      </c>
      <c r="AA282" s="269" t="str">
        <f t="shared" si="11"/>
        <v>-50,0</v>
      </c>
      <c r="AB282" s="268">
        <f>Grig1!N44</f>
        <v>6</v>
      </c>
      <c r="AC282" s="268">
        <f>Grig1!O44</f>
        <v>2</v>
      </c>
      <c r="AD282" s="269" t="str">
        <f t="shared" si="12"/>
        <v>-66,7</v>
      </c>
    </row>
    <row r="283" spans="15:30" x14ac:dyDescent="0.2">
      <c r="O283" s="126" t="s">
        <v>197</v>
      </c>
      <c r="P283" s="268">
        <f>Grig1!B46</f>
        <v>9</v>
      </c>
      <c r="Q283" s="268">
        <f>Grig1!C46</f>
        <v>16</v>
      </c>
      <c r="R283" s="269" t="str">
        <f t="shared" si="8"/>
        <v>77,8</v>
      </c>
      <c r="S283" s="280">
        <f>Grig1!E46</f>
        <v>906000</v>
      </c>
      <c r="T283" s="280">
        <f>Grig1!F46</f>
        <v>2231136</v>
      </c>
      <c r="U283" s="269" t="str">
        <f t="shared" si="9"/>
        <v>146,3</v>
      </c>
      <c r="V283" s="275">
        <f>Grig1!H46</f>
        <v>1</v>
      </c>
      <c r="W283" s="275">
        <f>Grig1!I46</f>
        <v>2</v>
      </c>
      <c r="X283" s="276" t="str">
        <f t="shared" si="10"/>
        <v>100,0</v>
      </c>
      <c r="Y283" s="268">
        <f>Grig1!K46</f>
        <v>1</v>
      </c>
      <c r="Z283" s="268">
        <f>Grig1!L46</f>
        <v>1</v>
      </c>
      <c r="AA283" s="269" t="str">
        <f t="shared" si="11"/>
        <v>0,0</v>
      </c>
      <c r="AB283" s="268">
        <f>Grig1!N46</f>
        <v>0</v>
      </c>
      <c r="AC283" s="268">
        <f>Grig1!O46</f>
        <v>2</v>
      </c>
      <c r="AD283" s="269" t="str">
        <f t="shared" si="12"/>
        <v>--</v>
      </c>
    </row>
    <row r="284" spans="15:30" x14ac:dyDescent="0.2">
      <c r="O284" s="126" t="s">
        <v>199</v>
      </c>
      <c r="P284" s="268">
        <f>Grig1!B48</f>
        <v>16</v>
      </c>
      <c r="Q284" s="268">
        <f>Grig1!C48</f>
        <v>14</v>
      </c>
      <c r="R284" s="269" t="str">
        <f t="shared" si="8"/>
        <v>-12,5</v>
      </c>
      <c r="S284" s="280">
        <f>Grig1!E48</f>
        <v>2000000</v>
      </c>
      <c r="T284" s="280">
        <f>Grig1!F48</f>
        <v>2034500</v>
      </c>
      <c r="U284" s="269" t="str">
        <f t="shared" si="9"/>
        <v>1,7</v>
      </c>
      <c r="V284" s="275">
        <f>Grig1!H48</f>
        <v>0</v>
      </c>
      <c r="W284" s="275">
        <f>Grig1!I48</f>
        <v>3</v>
      </c>
      <c r="X284" s="276" t="str">
        <f t="shared" si="10"/>
        <v>--</v>
      </c>
      <c r="Y284" s="268">
        <f>Grig1!K48</f>
        <v>0</v>
      </c>
      <c r="Z284" s="268">
        <f>Grig1!L48</f>
        <v>2</v>
      </c>
      <c r="AA284" s="269" t="str">
        <f t="shared" si="11"/>
        <v>--</v>
      </c>
      <c r="AB284" s="268">
        <f>Grig1!N48</f>
        <v>1</v>
      </c>
      <c r="AC284" s="268">
        <f>Grig1!O48</f>
        <v>1</v>
      </c>
      <c r="AD284" s="269" t="str">
        <f t="shared" si="12"/>
        <v>0,0</v>
      </c>
    </row>
    <row r="285" spans="15:30" x14ac:dyDescent="0.2">
      <c r="O285" s="126" t="s">
        <v>200</v>
      </c>
      <c r="P285" s="268">
        <f>Grig1!B49</f>
        <v>24</v>
      </c>
      <c r="Q285" s="268">
        <f>Grig1!C49</f>
        <v>19</v>
      </c>
      <c r="R285" s="269" t="str">
        <f t="shared" si="8"/>
        <v>-20,8</v>
      </c>
      <c r="S285" s="280">
        <f>Grig1!E49</f>
        <v>4400750</v>
      </c>
      <c r="T285" s="280">
        <f>Grig1!F49</f>
        <v>2467000</v>
      </c>
      <c r="U285" s="269" t="str">
        <f t="shared" si="9"/>
        <v>-43,9</v>
      </c>
      <c r="V285" s="275">
        <f>Grig1!H49</f>
        <v>2</v>
      </c>
      <c r="W285" s="275">
        <f>Grig1!I49</f>
        <v>0</v>
      </c>
      <c r="X285" s="276" t="str">
        <f t="shared" si="10"/>
        <v>-100,0</v>
      </c>
      <c r="Y285" s="268">
        <f>Grig1!K49</f>
        <v>3</v>
      </c>
      <c r="Z285" s="268">
        <f>Grig1!L49</f>
        <v>2</v>
      </c>
      <c r="AA285" s="269" t="str">
        <f t="shared" si="11"/>
        <v>-33,3</v>
      </c>
      <c r="AB285" s="268">
        <f>Grig1!N49</f>
        <v>23</v>
      </c>
      <c r="AC285" s="268">
        <f>Grig1!O49</f>
        <v>10</v>
      </c>
      <c r="AD285" s="269" t="str">
        <f t="shared" si="12"/>
        <v>-56,5</v>
      </c>
    </row>
    <row r="286" spans="15:30" x14ac:dyDescent="0.2">
      <c r="O286" s="126" t="s">
        <v>201</v>
      </c>
      <c r="P286" s="268">
        <f>Grig1!B50</f>
        <v>29</v>
      </c>
      <c r="Q286" s="268">
        <f>Grig1!C50</f>
        <v>25</v>
      </c>
      <c r="R286" s="269" t="str">
        <f t="shared" si="8"/>
        <v>-13,8</v>
      </c>
      <c r="S286" s="280">
        <f>Grig1!E50</f>
        <v>6138347</v>
      </c>
      <c r="T286" s="280">
        <f>Grig1!F50</f>
        <v>3005000</v>
      </c>
      <c r="U286" s="269" t="str">
        <f t="shared" si="9"/>
        <v>-51,0</v>
      </c>
      <c r="V286" s="275">
        <f>Grig1!H50</f>
        <v>1</v>
      </c>
      <c r="W286" s="275">
        <f>Grig1!I50</f>
        <v>4</v>
      </c>
      <c r="X286" s="276" t="str">
        <f t="shared" si="10"/>
        <v>300,0</v>
      </c>
      <c r="Y286" s="268">
        <f>Grig1!K50</f>
        <v>1</v>
      </c>
      <c r="Z286" s="268">
        <f>Grig1!L50</f>
        <v>3</v>
      </c>
      <c r="AA286" s="269" t="str">
        <f t="shared" si="11"/>
        <v>200,0</v>
      </c>
      <c r="AB286" s="268">
        <f>Grig1!N50</f>
        <v>7</v>
      </c>
      <c r="AC286" s="268">
        <f>Grig1!O50</f>
        <v>4</v>
      </c>
      <c r="AD286" s="269" t="str">
        <f t="shared" si="12"/>
        <v>-42,9</v>
      </c>
    </row>
    <row r="287" spans="15:30" x14ac:dyDescent="0.2">
      <c r="O287" s="126" t="s">
        <v>203</v>
      </c>
      <c r="P287" s="268">
        <f>Grig1!B52</f>
        <v>14</v>
      </c>
      <c r="Q287" s="268">
        <f>Grig1!C52</f>
        <v>15</v>
      </c>
      <c r="R287" s="269" t="str">
        <f t="shared" si="8"/>
        <v>7,1</v>
      </c>
      <c r="S287" s="280">
        <f>Grig1!E52</f>
        <v>784000</v>
      </c>
      <c r="T287" s="280">
        <f>Grig1!F52</f>
        <v>1374528</v>
      </c>
      <c r="U287" s="269" t="str">
        <f t="shared" si="9"/>
        <v>75,3</v>
      </c>
      <c r="V287" s="275">
        <f>Grig1!H52</f>
        <v>2</v>
      </c>
      <c r="W287" s="275">
        <f>Grig1!I52</f>
        <v>5</v>
      </c>
      <c r="X287" s="276" t="str">
        <f t="shared" si="10"/>
        <v>150,0</v>
      </c>
      <c r="Y287" s="268">
        <f>Grig1!K52</f>
        <v>2</v>
      </c>
      <c r="Z287" s="268">
        <f>Grig1!L52</f>
        <v>0</v>
      </c>
      <c r="AA287" s="269" t="str">
        <f t="shared" si="11"/>
        <v>-100,0</v>
      </c>
      <c r="AB287" s="268">
        <f>Grig1!N52</f>
        <v>1</v>
      </c>
      <c r="AC287" s="268">
        <f>Grig1!O52</f>
        <v>0</v>
      </c>
      <c r="AD287" s="269" t="str">
        <f t="shared" si="12"/>
        <v>-100,0</v>
      </c>
    </row>
    <row r="288" spans="15:30" ht="13.5" thickBot="1" x14ac:dyDescent="0.25">
      <c r="O288" s="126" t="s">
        <v>205</v>
      </c>
      <c r="P288" s="268">
        <f>Grig1!B54</f>
        <v>8</v>
      </c>
      <c r="Q288" s="268">
        <f>Grig1!C54</f>
        <v>11</v>
      </c>
      <c r="R288" s="269" t="str">
        <f t="shared" si="8"/>
        <v>37,5</v>
      </c>
      <c r="S288" s="280">
        <f>Grig1!E54</f>
        <v>938800</v>
      </c>
      <c r="T288" s="280">
        <f>Grig1!F54</f>
        <v>5335325</v>
      </c>
      <c r="U288" s="269" t="str">
        <f t="shared" si="9"/>
        <v>468,3</v>
      </c>
      <c r="V288" s="275">
        <f>Grig1!H54</f>
        <v>3</v>
      </c>
      <c r="W288" s="275">
        <f>Grig1!I54</f>
        <v>1</v>
      </c>
      <c r="X288" s="276" t="str">
        <f t="shared" si="10"/>
        <v>-66,7</v>
      </c>
      <c r="Y288" s="268">
        <f>Grig1!K54</f>
        <v>0</v>
      </c>
      <c r="Z288" s="268">
        <f>Grig1!L54</f>
        <v>0</v>
      </c>
      <c r="AA288" s="269" t="str">
        <f t="shared" si="11"/>
        <v>--</v>
      </c>
      <c r="AB288" s="268">
        <f>Grig1!N54</f>
        <v>0</v>
      </c>
      <c r="AC288" s="268">
        <f>Grig1!O54</f>
        <v>0</v>
      </c>
      <c r="AD288" s="269" t="str">
        <f t="shared" si="12"/>
        <v>--</v>
      </c>
    </row>
    <row r="289" spans="15:35" x14ac:dyDescent="0.2">
      <c r="O289" s="281" t="s">
        <v>4</v>
      </c>
      <c r="P289" s="283" t="e">
        <f>P260+P265+#REF!+#REF!+#REF!+#REF!+#REF!+#REF!+P271+#REF!+#REF!+#REF!+#REF!+#REF!+#REF!+#REF!+P278+#REF!+#REF!+#REF!+#REF!+#REF!+P285+#REF!+#REF!+#REF!</f>
        <v>#REF!</v>
      </c>
      <c r="Q289" s="282" t="e">
        <f>Q260+Q265+#REF!+#REF!+#REF!+#REF!+#REF!+#REF!+Q271+#REF!+#REF!+#REF!+#REF!+#REF!+#REF!+#REF!+Q278+#REF!+#REF!+#REF!+#REF!+#REF!+Q285+#REF!+#REF!+#REF!</f>
        <v>#REF!</v>
      </c>
      <c r="R289" s="284" t="e">
        <f t="shared" si="8"/>
        <v>#REF!</v>
      </c>
      <c r="S289" s="286" t="e">
        <f>S260+S265+#REF!+#REF!+#REF!+#REF!+#REF!+#REF!+S271+#REF!+#REF!+#REF!+#REF!+#REF!+#REF!+#REF!+S278+#REF!+#REF!+#REF!+#REF!+#REF!+S285+#REF!+#REF!+#REF!</f>
        <v>#REF!</v>
      </c>
      <c r="T289" s="285" t="e">
        <f>T260+T265+#REF!+#REF!+#REF!+#REF!+#REF!+#REF!+T271+#REF!+#REF!+#REF!+#REF!+#REF!+#REF!+#REF!+T278+#REF!+#REF!+#REF!+#REF!+#REF!+T285+#REF!+#REF!+#REF!</f>
        <v>#REF!</v>
      </c>
      <c r="U289" s="284" t="e">
        <f t="shared" si="9"/>
        <v>#REF!</v>
      </c>
      <c r="V289" s="283" t="e">
        <f>V260+V265+#REF!+#REF!+#REF!+#REF!+#REF!+#REF!+V271+#REF!+#REF!+#REF!+#REF!+#REF!+#REF!+#REF!+V278+#REF!+#REF!+#REF!+#REF!+#REF!+V285+#REF!+#REF!+#REF!</f>
        <v>#REF!</v>
      </c>
      <c r="W289" s="282" t="e">
        <f>W260+W265+#REF!+#REF!+#REF!+#REF!+#REF!+#REF!+W271+#REF!+#REF!+#REF!+#REF!+#REF!+#REF!+#REF!+W278+#REF!+#REF!+#REF!+#REF!+#REF!+W285+#REF!+#REF!+#REF!</f>
        <v>#REF!</v>
      </c>
      <c r="X289" s="284" t="e">
        <f t="shared" si="10"/>
        <v>#REF!</v>
      </c>
      <c r="Y289" s="283" t="e">
        <f>Y260+Y265+#REF!+#REF!+#REF!+#REF!+#REF!+#REF!+Y271+#REF!+#REF!+#REF!+#REF!+#REF!+#REF!+#REF!+Y278+#REF!+#REF!+#REF!+#REF!+#REF!+Y285+#REF!+#REF!+#REF!</f>
        <v>#REF!</v>
      </c>
      <c r="Z289" s="282" t="e">
        <f>Z260+Z265+#REF!+#REF!+#REF!+#REF!+#REF!+#REF!+Z271+#REF!+#REF!+#REF!+#REF!+#REF!+#REF!+#REF!+Z278+#REF!+#REF!+#REF!+#REF!+#REF!+Z285+#REF!+#REF!+#REF!</f>
        <v>#REF!</v>
      </c>
      <c r="AA289" s="284" t="e">
        <f t="shared" si="11"/>
        <v>#REF!</v>
      </c>
      <c r="AB289" s="283" t="e">
        <f>AB260+AB265+#REF!+#REF!+#REF!+#REF!+#REF!+#REF!+AB271+#REF!+#REF!+#REF!+#REF!+#REF!+#REF!+#REF!+AB278+#REF!+#REF!+#REF!+#REF!+#REF!+AB285+#REF!+#REF!+#REF!</f>
        <v>#REF!</v>
      </c>
      <c r="AC289" s="282" t="e">
        <f>AC260+AC265+#REF!+#REF!+#REF!+#REF!+#REF!+#REF!+AC271+#REF!+#REF!+#REF!+#REF!+#REF!+#REF!+#REF!+AC278+#REF!+#REF!+#REF!+#REF!+#REF!+AC285+#REF!+#REF!+#REF!</f>
        <v>#REF!</v>
      </c>
      <c r="AD289" s="284" t="e">
        <f t="shared" si="12"/>
        <v>#REF!</v>
      </c>
    </row>
    <row r="290" spans="15:35" x14ac:dyDescent="0.2">
      <c r="O290" s="287" t="s">
        <v>207</v>
      </c>
      <c r="P290" s="289" t="e">
        <f>P291-P289</f>
        <v>#REF!</v>
      </c>
      <c r="Q290" s="288" t="e">
        <f>Q291-Q289</f>
        <v>#REF!</v>
      </c>
      <c r="R290" s="290" t="e">
        <f t="shared" si="8"/>
        <v>#REF!</v>
      </c>
      <c r="S290" s="292" t="e">
        <f>S291-S289</f>
        <v>#REF!</v>
      </c>
      <c r="T290" s="291" t="e">
        <f>T291-T289</f>
        <v>#REF!</v>
      </c>
      <c r="U290" s="290" t="e">
        <f t="shared" si="9"/>
        <v>#REF!</v>
      </c>
      <c r="V290" s="289" t="e">
        <f>V291-V289</f>
        <v>#REF!</v>
      </c>
      <c r="W290" s="288" t="e">
        <f>W291-W289</f>
        <v>#REF!</v>
      </c>
      <c r="X290" s="290" t="e">
        <f t="shared" si="10"/>
        <v>#REF!</v>
      </c>
      <c r="Y290" s="289" t="e">
        <f>Y291-Y289</f>
        <v>#REF!</v>
      </c>
      <c r="Z290" s="288" t="e">
        <f>Z291-Z289</f>
        <v>#REF!</v>
      </c>
      <c r="AA290" s="290" t="e">
        <f t="shared" si="11"/>
        <v>#REF!</v>
      </c>
      <c r="AB290" s="289" t="e">
        <f>AB291-AB289</f>
        <v>#REF!</v>
      </c>
      <c r="AC290" s="288" t="e">
        <f>AC291-AC289</f>
        <v>#REF!</v>
      </c>
      <c r="AD290" s="290" t="e">
        <f t="shared" si="12"/>
        <v>#REF!</v>
      </c>
    </row>
    <row r="291" spans="15:35" x14ac:dyDescent="0.2">
      <c r="O291" s="287" t="s">
        <v>208</v>
      </c>
      <c r="P291" s="294">
        <f>P260+P264+P266+P267+P268+P269+P270+P272+P273+P274+P275+P276+P277+P278+P279+P280+P281+P282+P283+P284+P286+P287+P288</f>
        <v>685</v>
      </c>
      <c r="Q291" s="293">
        <f>Q260+Q264+Q266+Q267+Q268+Q269+Q270+Q272+Q273+Q274+Q275+Q276+Q277+Q278+Q279+Q280+Q281+Q282+Q283+Q284+Q286+Q287+Q288</f>
        <v>700</v>
      </c>
      <c r="R291" s="295" t="str">
        <f>IF(P291&lt;&gt;0,TEXT(((Q291-P291)/P291)*100,"0,00"),"--")</f>
        <v>2,19</v>
      </c>
      <c r="S291" s="297">
        <f>S260+S264+S266+S267+S268+S269+S270+S272+S273+S274+S275+S276+S277+S278+S279+S280+S281+S282+S283+S284+S286+S287+S288</f>
        <v>95430219</v>
      </c>
      <c r="T291" s="296">
        <f>T260+T264+T266+T267+T268+T269+T270+T272+T273+T274+T275+T276+T277+T278+T279+T280+T281+T282+T283+T284+T286+T287+T288</f>
        <v>107323950</v>
      </c>
      <c r="U291" s="295" t="str">
        <f>IF(S291&lt;&gt;0,TEXT(((T291-S291)/S291)*100,"0,00"),"--")</f>
        <v>12,46</v>
      </c>
      <c r="V291" s="294">
        <f>V260+V264+V266+V267+V268+V269+V270+V272+V273+V274+V275+V276+V277+V278+V279+V280+V281+V282+V283+V284+V286+V287+V288</f>
        <v>52</v>
      </c>
      <c r="W291" s="294">
        <f>W260+W264+W266+W267+W268+W269+W270+W272+W273+W274+W275+W276+W277+W278+W279+W280+W281+W282+W283+W284+W286+W287+W288</f>
        <v>56</v>
      </c>
      <c r="X291" s="295" t="str">
        <f>IF(V291&lt;&gt;0,TEXT(((W291-V291)/V291)*100,"0,00"),"--")</f>
        <v>7,69</v>
      </c>
      <c r="Y291" s="294">
        <f>Y260+Y264+Y266+Y267+Y268+Y269+Y270+Y272+Y273+Y274+Y275+Y276+Y277+Y278+Y279+Y280+Y281+Y282+Y283+Y284+Y286+Y287+Y288</f>
        <v>56</v>
      </c>
      <c r="Z291" s="293">
        <f>Z260+Z264+Z266+Z267+Z268+Z269+Z270+Z272+Z273+Z274+Z275+Z276+Z277+Z278+Z279+Z280+Z281+Z282+Z283+Z284+Z286+Z287+Z288</f>
        <v>62</v>
      </c>
      <c r="AA291" s="295" t="str">
        <f>IF(Y291&lt;&gt;0,TEXT(((Z291-Y291)/Y291)*100,"0,00"),"--")</f>
        <v>10,71</v>
      </c>
      <c r="AB291" s="294">
        <f>AB260+AB264+AB266+AB267+AB268+AB269+AB270+AB272+AB273+AB274+AB275+AB276+AB277+AB278+AB279+AB280+AB281+AB282+AB283+AB284+AB286+AB287+AB288</f>
        <v>175</v>
      </c>
      <c r="AC291" s="293">
        <f>AC260+AC264+AC266+AC267+AC268+AC269+AC270+AC272+AC273+AC274+AC275+AC276+AC277+AC278+AC279+AC280+AC281+AC282+AC283+AC284+AC286+AC287+AC288</f>
        <v>304</v>
      </c>
      <c r="AD291" s="298" t="str">
        <f t="shared" si="12"/>
        <v>73,7</v>
      </c>
    </row>
    <row r="293" spans="15:35" ht="13.5" x14ac:dyDescent="0.25">
      <c r="O293" s="263" t="s">
        <v>7</v>
      </c>
      <c r="P293" s="264" t="s">
        <v>8</v>
      </c>
      <c r="Q293" s="265"/>
      <c r="R293" s="265"/>
      <c r="T293" s="263" t="s">
        <v>7</v>
      </c>
      <c r="U293" s="264" t="s">
        <v>8</v>
      </c>
      <c r="V293" s="265"/>
      <c r="W293" s="265"/>
      <c r="X293" s="265" t="s">
        <v>9</v>
      </c>
      <c r="Y293" s="265"/>
      <c r="Z293" s="265"/>
      <c r="AA293" s="272" t="s">
        <v>10</v>
      </c>
      <c r="AB293" s="272"/>
      <c r="AC293" s="272"/>
      <c r="AD293" s="264" t="s">
        <v>219</v>
      </c>
      <c r="AE293" s="265"/>
      <c r="AF293" s="265"/>
      <c r="AG293" s="265" t="s">
        <v>16</v>
      </c>
      <c r="AH293" s="265"/>
      <c r="AI293" s="265"/>
    </row>
    <row r="294" spans="15:35" x14ac:dyDescent="0.2">
      <c r="O294" s="263"/>
      <c r="P294" s="266">
        <v>2015</v>
      </c>
      <c r="Q294" s="267">
        <v>2014</v>
      </c>
      <c r="R294" s="266" t="s">
        <v>11</v>
      </c>
      <c r="T294" s="263"/>
      <c r="U294" s="266">
        <v>2015</v>
      </c>
      <c r="V294" s="267">
        <v>2014</v>
      </c>
      <c r="W294" s="266" t="s">
        <v>11</v>
      </c>
      <c r="X294" s="266">
        <v>2015</v>
      </c>
      <c r="Y294" s="267">
        <v>2014</v>
      </c>
      <c r="Z294" s="266" t="s">
        <v>11</v>
      </c>
      <c r="AA294" s="266">
        <v>2015</v>
      </c>
      <c r="AB294" s="267">
        <v>2014</v>
      </c>
      <c r="AC294" s="273" t="s">
        <v>11</v>
      </c>
      <c r="AD294" s="266">
        <v>2015</v>
      </c>
      <c r="AE294" s="267">
        <v>2014</v>
      </c>
      <c r="AF294" s="266" t="s">
        <v>11</v>
      </c>
      <c r="AG294" s="266">
        <v>2015</v>
      </c>
      <c r="AH294" s="267">
        <v>2014</v>
      </c>
      <c r="AI294" s="266" t="s">
        <v>11</v>
      </c>
    </row>
    <row r="295" spans="15:35" x14ac:dyDescent="0.2">
      <c r="O295" s="126" t="s">
        <v>161</v>
      </c>
      <c r="P295" s="268">
        <f>Q264+Q265</f>
        <v>52</v>
      </c>
      <c r="Q295" s="268">
        <f>P264+P265</f>
        <v>54</v>
      </c>
      <c r="R295" s="269" t="str">
        <f t="shared" ref="R295:R316" si="13">IF(Q295&lt;&gt;0,TEXT(((P295-Q295)/Q295)*100,"0,0"),"--")</f>
        <v>-3,7</v>
      </c>
      <c r="T295" s="126" t="s">
        <v>157</v>
      </c>
      <c r="U295" s="277">
        <f>Q260</f>
        <v>162</v>
      </c>
      <c r="V295" s="270">
        <f>P260</f>
        <v>153</v>
      </c>
      <c r="W295" s="269" t="str">
        <f t="shared" ref="W295:W304" si="14">IF(V295&lt;&gt;0,TEXT(((U295-V295)/V295)*100,"0,0"),"--")</f>
        <v>5,9</v>
      </c>
      <c r="X295" s="278">
        <f>T260</f>
        <v>22023412</v>
      </c>
      <c r="Y295" s="279">
        <f>S260</f>
        <v>16416473</v>
      </c>
      <c r="Z295" s="271" t="str">
        <f>IF(Y295&lt;&gt;0,TEXT(((X295-Y295)/Y295)*100,"0,0"),"--")</f>
        <v>34,2</v>
      </c>
      <c r="AA295" s="277">
        <f>W260</f>
        <v>7</v>
      </c>
      <c r="AB295" s="277">
        <f>V260</f>
        <v>9</v>
      </c>
      <c r="AC295" s="271" t="str">
        <f>IF(AB295&lt;&gt;0,TEXT(((AA295-AB295)/AB295)*100,"0,0"),"--")</f>
        <v>-22,2</v>
      </c>
      <c r="AD295" s="277">
        <f>Z260</f>
        <v>21</v>
      </c>
      <c r="AE295" s="277">
        <f>Y260</f>
        <v>18</v>
      </c>
      <c r="AF295" s="271" t="str">
        <f>IF(AE295&lt;&gt;0,TEXT(((AD295-AE295)/AE295)*100,"0,0"),"--")</f>
        <v>16,7</v>
      </c>
      <c r="AG295" s="277">
        <f>AG296+AG297+AG298</f>
        <v>79</v>
      </c>
      <c r="AH295" s="270">
        <f>AH296+AH297+AH298</f>
        <v>39</v>
      </c>
      <c r="AI295" s="271" t="str">
        <f>IF(AH295&lt;&gt;0,TEXT(((AG295-AH295)/AH295)*100,"0,0"),"--")</f>
        <v>102,6</v>
      </c>
    </row>
    <row r="296" spans="15:35" x14ac:dyDescent="0.2">
      <c r="O296" s="126" t="s">
        <v>164</v>
      </c>
      <c r="P296" s="268">
        <f>Q266</f>
        <v>16</v>
      </c>
      <c r="Q296" s="268">
        <f>P266</f>
        <v>17</v>
      </c>
      <c r="R296" s="269" t="str">
        <f t="shared" si="13"/>
        <v>-5,9</v>
      </c>
      <c r="T296" s="126" t="s">
        <v>162</v>
      </c>
      <c r="U296" s="268">
        <f>Q265</f>
        <v>28</v>
      </c>
      <c r="V296" s="268">
        <f>P265</f>
        <v>27</v>
      </c>
      <c r="W296" s="269" t="str">
        <f t="shared" si="14"/>
        <v>3,7</v>
      </c>
      <c r="X296" s="280">
        <f>T265</f>
        <v>5765600</v>
      </c>
      <c r="Y296" s="280">
        <f>S265</f>
        <v>2844800</v>
      </c>
      <c r="Z296" s="271" t="str">
        <f t="shared" ref="Z296:Z304" si="15">IF(Y296&lt;&gt;0,TEXT(((X296-Y296)/Y296)*100,"0,0"),"--")</f>
        <v>102,7</v>
      </c>
      <c r="AA296" s="275">
        <f>W265</f>
        <v>2</v>
      </c>
      <c r="AB296" s="275">
        <f>V265</f>
        <v>2</v>
      </c>
      <c r="AC296" s="271" t="str">
        <f t="shared" ref="AC296:AC304" si="16">IF(AB296&lt;&gt;0,TEXT(((AA296-AB296)/AB296)*100,"0,0"),"--")</f>
        <v>0,0</v>
      </c>
      <c r="AD296" s="268">
        <f>Z265</f>
        <v>1</v>
      </c>
      <c r="AE296" s="268">
        <f>Y265</f>
        <v>3</v>
      </c>
      <c r="AF296" s="271" t="str">
        <f t="shared" ref="AF296:AF304" si="17">IF(AE296&lt;&gt;0,TEXT(((AD296-AE296)/AE296)*100,"0,0"),"--")</f>
        <v>-66,7</v>
      </c>
      <c r="AG296" s="268">
        <v>54</v>
      </c>
      <c r="AH296" s="268">
        <v>18</v>
      </c>
      <c r="AI296" s="271" t="str">
        <f t="shared" ref="AI296:AI304" si="18">IF(AH296&lt;&gt;0,TEXT(((AG296-AH296)/AH296)*100,"0,0"),"--")</f>
        <v>200,0</v>
      </c>
    </row>
    <row r="297" spans="15:35" x14ac:dyDescent="0.2">
      <c r="O297" s="126" t="s">
        <v>166</v>
      </c>
      <c r="P297" s="268">
        <f>Q267</f>
        <v>32</v>
      </c>
      <c r="Q297" s="268">
        <f>P267</f>
        <v>34</v>
      </c>
      <c r="R297" s="269" t="str">
        <f t="shared" si="13"/>
        <v>-5,9</v>
      </c>
      <c r="T297" s="126" t="s">
        <v>174</v>
      </c>
      <c r="U297" s="268">
        <f>Q271</f>
        <v>31</v>
      </c>
      <c r="V297" s="268">
        <f>P271</f>
        <v>12</v>
      </c>
      <c r="W297" s="269" t="str">
        <f t="shared" si="14"/>
        <v>158,3</v>
      </c>
      <c r="X297" s="280">
        <f>T271</f>
        <v>3920000</v>
      </c>
      <c r="Y297" s="280">
        <f>S271</f>
        <v>1495500</v>
      </c>
      <c r="Z297" s="271" t="str">
        <f t="shared" si="15"/>
        <v>162,1</v>
      </c>
      <c r="AA297" s="275">
        <f>W271</f>
        <v>1</v>
      </c>
      <c r="AB297" s="275">
        <f>V271</f>
        <v>1</v>
      </c>
      <c r="AC297" s="271" t="str">
        <f t="shared" si="16"/>
        <v>0,0</v>
      </c>
      <c r="AD297" s="268">
        <f>Z271</f>
        <v>7</v>
      </c>
      <c r="AE297" s="268">
        <f>Y271</f>
        <v>0</v>
      </c>
      <c r="AF297" s="271" t="str">
        <f t="shared" si="17"/>
        <v>--</v>
      </c>
      <c r="AG297" s="268">
        <v>25</v>
      </c>
      <c r="AH297" s="268">
        <v>4</v>
      </c>
      <c r="AI297" s="271" t="str">
        <f t="shared" si="18"/>
        <v>525,0</v>
      </c>
    </row>
    <row r="298" spans="15:35" x14ac:dyDescent="0.2">
      <c r="O298" s="126" t="s">
        <v>168</v>
      </c>
      <c r="P298" s="268">
        <f>Q268</f>
        <v>30</v>
      </c>
      <c r="Q298" s="268">
        <f>P268</f>
        <v>37</v>
      </c>
      <c r="R298" s="269" t="str">
        <f t="shared" si="13"/>
        <v>-18,9</v>
      </c>
      <c r="T298" s="126" t="s">
        <v>176</v>
      </c>
      <c r="U298" s="268" t="e">
        <f>#REF!</f>
        <v>#REF!</v>
      </c>
      <c r="V298" s="268" t="e">
        <f>#REF!</f>
        <v>#REF!</v>
      </c>
      <c r="W298" s="269" t="e">
        <f t="shared" si="14"/>
        <v>#REF!</v>
      </c>
      <c r="X298" s="280" t="e">
        <f>#REF!</f>
        <v>#REF!</v>
      </c>
      <c r="Y298" s="280" t="e">
        <f>#REF!</f>
        <v>#REF!</v>
      </c>
      <c r="Z298" s="271" t="e">
        <f t="shared" si="15"/>
        <v>#REF!</v>
      </c>
      <c r="AA298" s="275" t="e">
        <f>#REF!</f>
        <v>#REF!</v>
      </c>
      <c r="AB298" s="275" t="e">
        <f>#REF!</f>
        <v>#REF!</v>
      </c>
      <c r="AC298" s="271" t="e">
        <f t="shared" si="16"/>
        <v>#REF!</v>
      </c>
      <c r="AD298" s="268">
        <f>Z272</f>
        <v>1</v>
      </c>
      <c r="AE298" s="268">
        <f>Y272</f>
        <v>3</v>
      </c>
      <c r="AF298" s="271" t="str">
        <f t="shared" si="17"/>
        <v>-66,7</v>
      </c>
      <c r="AG298" s="268">
        <v>0</v>
      </c>
      <c r="AH298" s="268">
        <v>17</v>
      </c>
      <c r="AI298" s="271" t="str">
        <f t="shared" si="18"/>
        <v>-100,0</v>
      </c>
    </row>
    <row r="299" spans="15:35" x14ac:dyDescent="0.2">
      <c r="O299" s="126" t="s">
        <v>170</v>
      </c>
      <c r="P299" s="268">
        <f>Q269</f>
        <v>21</v>
      </c>
      <c r="Q299" s="268">
        <f>P269</f>
        <v>25</v>
      </c>
      <c r="R299" s="269" t="str">
        <f t="shared" si="13"/>
        <v>-16,0</v>
      </c>
      <c r="T299" s="126" t="s">
        <v>184</v>
      </c>
      <c r="U299" s="268" t="e">
        <f>#REF!</f>
        <v>#REF!</v>
      </c>
      <c r="V299" s="268" t="e">
        <f>#REF!</f>
        <v>#REF!</v>
      </c>
      <c r="W299" s="269" t="e">
        <f t="shared" si="14"/>
        <v>#REF!</v>
      </c>
      <c r="X299" s="280" t="e">
        <f>#REF!</f>
        <v>#REF!</v>
      </c>
      <c r="Y299" s="280" t="e">
        <f>#REF!</f>
        <v>#REF!</v>
      </c>
      <c r="Z299" s="271" t="e">
        <f t="shared" si="15"/>
        <v>#REF!</v>
      </c>
      <c r="AA299" s="275" t="e">
        <f>#REF!</f>
        <v>#REF!</v>
      </c>
      <c r="AB299" s="275" t="e">
        <f>#REF!</f>
        <v>#REF!</v>
      </c>
      <c r="AC299" s="271" t="e">
        <f t="shared" si="16"/>
        <v>#REF!</v>
      </c>
      <c r="AD299" s="268" t="e">
        <f>#REF!</f>
        <v>#REF!</v>
      </c>
      <c r="AE299" s="268" t="e">
        <f>#REF!</f>
        <v>#REF!</v>
      </c>
      <c r="AF299" s="271" t="e">
        <f t="shared" si="17"/>
        <v>#REF!</v>
      </c>
      <c r="AG299" s="268">
        <v>0</v>
      </c>
      <c r="AH299" s="268">
        <v>0</v>
      </c>
      <c r="AI299" s="271" t="str">
        <f t="shared" si="18"/>
        <v>--</v>
      </c>
    </row>
    <row r="300" spans="15:35" x14ac:dyDescent="0.2">
      <c r="O300" s="126" t="s">
        <v>173</v>
      </c>
      <c r="P300" s="268">
        <f>Q270-Q271</f>
        <v>12</v>
      </c>
      <c r="Q300" s="268">
        <f>P270-P271</f>
        <v>24</v>
      </c>
      <c r="R300" s="269" t="str">
        <f t="shared" si="13"/>
        <v>-50,0</v>
      </c>
      <c r="T300" s="270" t="s">
        <v>188</v>
      </c>
      <c r="U300" s="268">
        <f>Q278</f>
        <v>50</v>
      </c>
      <c r="V300" s="268">
        <f>P278</f>
        <v>28</v>
      </c>
      <c r="W300" s="269" t="str">
        <f t="shared" si="14"/>
        <v>78,6</v>
      </c>
      <c r="X300" s="280">
        <f>T278</f>
        <v>4944595</v>
      </c>
      <c r="Y300" s="280">
        <f>S278</f>
        <v>4400546</v>
      </c>
      <c r="Z300" s="271" t="str">
        <f t="shared" si="15"/>
        <v>12,4</v>
      </c>
      <c r="AA300" s="275">
        <f>W278</f>
        <v>1</v>
      </c>
      <c r="AB300" s="275">
        <f>V278</f>
        <v>1</v>
      </c>
      <c r="AC300" s="271" t="str">
        <f t="shared" si="16"/>
        <v>0,0</v>
      </c>
      <c r="AD300" s="268">
        <f>Z278</f>
        <v>11</v>
      </c>
      <c r="AE300" s="268">
        <f>Y278</f>
        <v>3</v>
      </c>
      <c r="AF300" s="271" t="str">
        <f t="shared" si="17"/>
        <v>266,7</v>
      </c>
      <c r="AG300" s="268">
        <v>1</v>
      </c>
      <c r="AH300" s="268">
        <v>89</v>
      </c>
      <c r="AI300" s="271" t="str">
        <f t="shared" si="18"/>
        <v>-98,9</v>
      </c>
    </row>
    <row r="301" spans="15:35" x14ac:dyDescent="0.2">
      <c r="O301" s="126" t="s">
        <v>175</v>
      </c>
      <c r="P301" s="268" t="e">
        <f>Q272-#REF!</f>
        <v>#REF!</v>
      </c>
      <c r="Q301" s="268" t="e">
        <f>P272-#REF!</f>
        <v>#REF!</v>
      </c>
      <c r="R301" s="269" t="e">
        <f t="shared" si="13"/>
        <v>#REF!</v>
      </c>
      <c r="T301" s="126" t="s">
        <v>194</v>
      </c>
      <c r="U301" s="268" t="e">
        <f>#REF!</f>
        <v>#REF!</v>
      </c>
      <c r="V301" s="268" t="e">
        <f>#REF!</f>
        <v>#REF!</v>
      </c>
      <c r="W301" s="269" t="e">
        <f t="shared" si="14"/>
        <v>#REF!</v>
      </c>
      <c r="X301" s="280" t="e">
        <f>#REF!</f>
        <v>#REF!</v>
      </c>
      <c r="Y301" s="280" t="e">
        <f>#REF!</f>
        <v>#REF!</v>
      </c>
      <c r="Z301" s="271" t="e">
        <f t="shared" si="15"/>
        <v>#REF!</v>
      </c>
      <c r="AA301" s="275" t="e">
        <f>#REF!</f>
        <v>#REF!</v>
      </c>
      <c r="AB301" s="275" t="e">
        <f>#REF!</f>
        <v>#REF!</v>
      </c>
      <c r="AC301" s="271" t="e">
        <f t="shared" si="16"/>
        <v>#REF!</v>
      </c>
      <c r="AD301" s="268" t="e">
        <f>#REF!</f>
        <v>#REF!</v>
      </c>
      <c r="AE301" s="268" t="e">
        <f>#REF!</f>
        <v>#REF!</v>
      </c>
      <c r="AF301" s="271" t="e">
        <f t="shared" si="17"/>
        <v>#REF!</v>
      </c>
      <c r="AG301" s="268">
        <v>0</v>
      </c>
      <c r="AH301" s="268">
        <v>0</v>
      </c>
      <c r="AI301" s="271" t="str">
        <f t="shared" si="18"/>
        <v>--</v>
      </c>
    </row>
    <row r="302" spans="15:35" x14ac:dyDescent="0.2">
      <c r="O302" s="126" t="s">
        <v>177</v>
      </c>
      <c r="P302" s="268">
        <f>Q273</f>
        <v>23</v>
      </c>
      <c r="Q302" s="268">
        <f>P273</f>
        <v>23</v>
      </c>
      <c r="R302" s="269" t="str">
        <f t="shared" si="13"/>
        <v>0,0</v>
      </c>
      <c r="T302" s="126" t="s">
        <v>200</v>
      </c>
      <c r="U302" s="268">
        <f>Q285</f>
        <v>19</v>
      </c>
      <c r="V302" s="268">
        <f>P285</f>
        <v>24</v>
      </c>
      <c r="W302" s="269" t="str">
        <f t="shared" si="14"/>
        <v>-20,8</v>
      </c>
      <c r="X302" s="280">
        <f>T285</f>
        <v>2467000</v>
      </c>
      <c r="Y302" s="280">
        <f>S285</f>
        <v>4400750</v>
      </c>
      <c r="Z302" s="271" t="str">
        <f t="shared" si="15"/>
        <v>-43,9</v>
      </c>
      <c r="AA302" s="275">
        <f>W285</f>
        <v>0</v>
      </c>
      <c r="AB302" s="275">
        <f>V285</f>
        <v>2</v>
      </c>
      <c r="AC302" s="271" t="str">
        <f t="shared" si="16"/>
        <v>-100,0</v>
      </c>
      <c r="AD302" s="268">
        <f>Z285</f>
        <v>2</v>
      </c>
      <c r="AE302" s="268">
        <f>Y285</f>
        <v>3</v>
      </c>
      <c r="AF302" s="271" t="str">
        <f t="shared" si="17"/>
        <v>-33,3</v>
      </c>
      <c r="AG302" s="268">
        <v>0</v>
      </c>
      <c r="AH302" s="268">
        <v>22</v>
      </c>
      <c r="AI302" s="271" t="str">
        <f t="shared" si="18"/>
        <v>-100,0</v>
      </c>
    </row>
    <row r="303" spans="15:35" x14ac:dyDescent="0.2">
      <c r="O303" s="126" t="s">
        <v>179</v>
      </c>
      <c r="P303" s="268">
        <f>Q274</f>
        <v>9</v>
      </c>
      <c r="Q303" s="268">
        <f>P274</f>
        <v>12</v>
      </c>
      <c r="R303" s="269" t="str">
        <f t="shared" si="13"/>
        <v>-25,0</v>
      </c>
      <c r="T303" s="126" t="s">
        <v>202</v>
      </c>
      <c r="U303" s="268" t="e">
        <f>#REF!</f>
        <v>#REF!</v>
      </c>
      <c r="V303" s="268" t="e">
        <f>#REF!</f>
        <v>#REF!</v>
      </c>
      <c r="W303" s="269" t="e">
        <f t="shared" si="14"/>
        <v>#REF!</v>
      </c>
      <c r="X303" s="280" t="e">
        <f>#REF!</f>
        <v>#REF!</v>
      </c>
      <c r="Y303" s="280" t="e">
        <f>#REF!</f>
        <v>#REF!</v>
      </c>
      <c r="Z303" s="271" t="e">
        <f t="shared" si="15"/>
        <v>#REF!</v>
      </c>
      <c r="AA303" s="275" t="e">
        <f>#REF!</f>
        <v>#REF!</v>
      </c>
      <c r="AB303" s="275" t="e">
        <f>#REF!</f>
        <v>#REF!</v>
      </c>
      <c r="AC303" s="271" t="e">
        <f t="shared" si="16"/>
        <v>#REF!</v>
      </c>
      <c r="AD303" s="268" t="e">
        <f>#REF!</f>
        <v>#REF!</v>
      </c>
      <c r="AE303" s="268" t="e">
        <f>#REF!</f>
        <v>#REF!</v>
      </c>
      <c r="AF303" s="271" t="e">
        <f t="shared" si="17"/>
        <v>#REF!</v>
      </c>
      <c r="AG303" s="268">
        <v>0</v>
      </c>
      <c r="AH303" s="268">
        <v>0</v>
      </c>
      <c r="AI303" s="271" t="str">
        <f t="shared" si="18"/>
        <v>--</v>
      </c>
    </row>
    <row r="304" spans="15:35" x14ac:dyDescent="0.2">
      <c r="O304" s="126" t="s">
        <v>181</v>
      </c>
      <c r="P304" s="268">
        <f>Q275</f>
        <v>22</v>
      </c>
      <c r="Q304" s="268">
        <f>P275</f>
        <v>15</v>
      </c>
      <c r="R304" s="269" t="str">
        <f t="shared" si="13"/>
        <v>46,7</v>
      </c>
      <c r="U304" s="262" t="e">
        <f>SUM(U295:U303)</f>
        <v>#REF!</v>
      </c>
      <c r="V304" s="262" t="e">
        <f>SUM(V295:V303)</f>
        <v>#REF!</v>
      </c>
      <c r="W304" s="269" t="e">
        <f t="shared" si="14"/>
        <v>#REF!</v>
      </c>
      <c r="X304" s="307" t="e">
        <f>SUM(X295:X303)</f>
        <v>#REF!</v>
      </c>
      <c r="Y304" s="307" t="e">
        <f>SUM(Y295:Y303)</f>
        <v>#REF!</v>
      </c>
      <c r="Z304" s="271" t="e">
        <f t="shared" si="15"/>
        <v>#REF!</v>
      </c>
      <c r="AA304" s="262" t="e">
        <f>SUM(AA295:AA303)</f>
        <v>#REF!</v>
      </c>
      <c r="AB304" s="262" t="e">
        <f>SUM(AB295:AB303)</f>
        <v>#REF!</v>
      </c>
      <c r="AC304" s="271" t="e">
        <f t="shared" si="16"/>
        <v>#REF!</v>
      </c>
      <c r="AD304" s="262" t="e">
        <f>SUM(AD295:AD303)</f>
        <v>#REF!</v>
      </c>
      <c r="AE304" s="262" t="e">
        <f>SUM(AE295:AE303)</f>
        <v>#REF!</v>
      </c>
      <c r="AF304" s="271" t="e">
        <f t="shared" si="17"/>
        <v>#REF!</v>
      </c>
      <c r="AG304" s="262">
        <f>SUM(AG295:AG303)</f>
        <v>159</v>
      </c>
      <c r="AH304" s="262">
        <f>SUM(AH295:AH303)</f>
        <v>189</v>
      </c>
      <c r="AI304" s="271" t="str">
        <f t="shared" si="18"/>
        <v>-15,9</v>
      </c>
    </row>
    <row r="305" spans="15:24" x14ac:dyDescent="0.2">
      <c r="O305" s="126" t="s">
        <v>183</v>
      </c>
      <c r="P305" s="268" t="e">
        <f>Q276-#REF!</f>
        <v>#REF!</v>
      </c>
      <c r="Q305" s="268" t="e">
        <f>P276-#REF!</f>
        <v>#REF!</v>
      </c>
      <c r="R305" s="269" t="e">
        <f t="shared" si="13"/>
        <v>#REF!</v>
      </c>
    </row>
    <row r="306" spans="15:24" x14ac:dyDescent="0.2">
      <c r="O306" s="126" t="s">
        <v>185</v>
      </c>
      <c r="P306" s="268">
        <f>Q277</f>
        <v>34</v>
      </c>
      <c r="Q306" s="268">
        <f>P277</f>
        <v>33</v>
      </c>
      <c r="R306" s="269" t="str">
        <f t="shared" si="13"/>
        <v>3,0</v>
      </c>
      <c r="X306" t="e">
        <f>X304/Y304</f>
        <v>#REF!</v>
      </c>
    </row>
    <row r="307" spans="15:24" x14ac:dyDescent="0.2">
      <c r="O307" s="126" t="s">
        <v>189</v>
      </c>
      <c r="P307" s="268">
        <f>Q279</f>
        <v>14</v>
      </c>
      <c r="Q307" s="268">
        <f>P279</f>
        <v>13</v>
      </c>
      <c r="R307" s="269" t="str">
        <f t="shared" si="13"/>
        <v>7,7</v>
      </c>
    </row>
    <row r="308" spans="15:24" x14ac:dyDescent="0.2">
      <c r="O308" s="126" t="s">
        <v>191</v>
      </c>
      <c r="P308" s="268">
        <f>Q280</f>
        <v>24</v>
      </c>
      <c r="Q308" s="268">
        <f>P280</f>
        <v>20</v>
      </c>
      <c r="R308" s="269" t="str">
        <f t="shared" si="13"/>
        <v>20,0</v>
      </c>
    </row>
    <row r="309" spans="15:24" x14ac:dyDescent="0.2">
      <c r="O309" s="126" t="s">
        <v>193</v>
      </c>
      <c r="P309" s="268" t="e">
        <f>Q281-#REF!</f>
        <v>#REF!</v>
      </c>
      <c r="Q309" s="268" t="e">
        <f>P281-#REF!</f>
        <v>#REF!</v>
      </c>
      <c r="R309" s="269" t="e">
        <f t="shared" si="13"/>
        <v>#REF!</v>
      </c>
    </row>
    <row r="310" spans="15:24" x14ac:dyDescent="0.2">
      <c r="O310" s="126" t="s">
        <v>195</v>
      </c>
      <c r="P310" s="268">
        <f>Q282</f>
        <v>55</v>
      </c>
      <c r="Q310" s="268">
        <f>P282</f>
        <v>57</v>
      </c>
      <c r="R310" s="269" t="str">
        <f t="shared" si="13"/>
        <v>-3,5</v>
      </c>
    </row>
    <row r="311" spans="15:24" x14ac:dyDescent="0.2">
      <c r="O311" s="126" t="s">
        <v>197</v>
      </c>
      <c r="P311" s="268">
        <f>Q283</f>
        <v>16</v>
      </c>
      <c r="Q311" s="268">
        <f>P283</f>
        <v>9</v>
      </c>
      <c r="R311" s="269" t="str">
        <f t="shared" si="13"/>
        <v>77,8</v>
      </c>
    </row>
    <row r="312" spans="15:24" x14ac:dyDescent="0.2">
      <c r="O312" s="126" t="s">
        <v>199</v>
      </c>
      <c r="P312" s="268">
        <f>Q284-Q285</f>
        <v>-5</v>
      </c>
      <c r="Q312" s="268">
        <f>P284-P285</f>
        <v>-8</v>
      </c>
      <c r="R312" s="269" t="str">
        <f t="shared" si="13"/>
        <v>-37,5</v>
      </c>
    </row>
    <row r="313" spans="15:24" x14ac:dyDescent="0.2">
      <c r="O313" s="126" t="s">
        <v>201</v>
      </c>
      <c r="P313" s="268" t="e">
        <f>Q286-#REF!</f>
        <v>#REF!</v>
      </c>
      <c r="Q313" s="268" t="e">
        <f>P286-#REF!</f>
        <v>#REF!</v>
      </c>
      <c r="R313" s="269" t="e">
        <f t="shared" si="13"/>
        <v>#REF!</v>
      </c>
    </row>
    <row r="314" spans="15:24" x14ac:dyDescent="0.2">
      <c r="O314" s="126" t="s">
        <v>203</v>
      </c>
      <c r="P314" s="268">
        <f>Q287</f>
        <v>15</v>
      </c>
      <c r="Q314" s="268">
        <f>P287</f>
        <v>14</v>
      </c>
      <c r="R314" s="269" t="str">
        <f t="shared" si="13"/>
        <v>7,1</v>
      </c>
    </row>
    <row r="315" spans="15:24" x14ac:dyDescent="0.2">
      <c r="O315" s="126" t="s">
        <v>205</v>
      </c>
      <c r="P315" s="268">
        <f>Q288</f>
        <v>11</v>
      </c>
      <c r="Q315" s="268">
        <f>P288</f>
        <v>8</v>
      </c>
      <c r="R315" s="269" t="str">
        <f t="shared" si="13"/>
        <v>37,5</v>
      </c>
    </row>
    <row r="316" spans="15:24" x14ac:dyDescent="0.2">
      <c r="O316" s="287" t="s">
        <v>207</v>
      </c>
      <c r="P316" s="288" t="e">
        <f>SUM(P295:P315)</f>
        <v>#REF!</v>
      </c>
      <c r="Q316" s="288" t="e">
        <f>SUM(Q295:Q315)</f>
        <v>#REF!</v>
      </c>
      <c r="R316" s="290" t="e">
        <f t="shared" si="13"/>
        <v>#REF!</v>
      </c>
    </row>
    <row r="318" spans="15:24" ht="13.5" x14ac:dyDescent="0.25">
      <c r="O318" s="263" t="s">
        <v>7</v>
      </c>
      <c r="P318" s="265" t="s">
        <v>9</v>
      </c>
      <c r="Q318" s="265"/>
      <c r="R318" s="265"/>
      <c r="S318" s="272" t="s">
        <v>10</v>
      </c>
      <c r="T318" s="272"/>
      <c r="U318" s="272"/>
      <c r="V318" s="264" t="s">
        <v>219</v>
      </c>
      <c r="W318" s="265"/>
      <c r="X318" s="265"/>
    </row>
    <row r="319" spans="15:24" x14ac:dyDescent="0.2">
      <c r="O319" s="263"/>
      <c r="P319" s="266">
        <v>2015</v>
      </c>
      <c r="Q319" s="267">
        <v>2014</v>
      </c>
      <c r="R319" s="266" t="s">
        <v>11</v>
      </c>
      <c r="S319" s="266">
        <v>2015</v>
      </c>
      <c r="T319" s="267">
        <v>2014</v>
      </c>
      <c r="U319" s="273" t="s">
        <v>11</v>
      </c>
      <c r="V319" s="266">
        <v>2015</v>
      </c>
      <c r="W319" s="267">
        <v>2014</v>
      </c>
      <c r="X319" s="266" t="s">
        <v>11</v>
      </c>
    </row>
    <row r="320" spans="15:24" x14ac:dyDescent="0.2">
      <c r="O320" s="126" t="s">
        <v>161</v>
      </c>
      <c r="P320" s="280">
        <f>T264+T265</f>
        <v>10701200</v>
      </c>
      <c r="Q320" s="280">
        <f>S264+S265</f>
        <v>6870800</v>
      </c>
      <c r="R320" s="269" t="str">
        <f t="shared" ref="R320:R341" si="19">IF(Q320&lt;&gt;0,TEXT(((P320-Q320)/Q320)*100,"0,0"),"--")</f>
        <v>55,7</v>
      </c>
      <c r="S320" s="280">
        <f>W264-W265</f>
        <v>0</v>
      </c>
      <c r="T320" s="280">
        <f>V264-V265</f>
        <v>0</v>
      </c>
      <c r="U320" s="276" t="str">
        <f t="shared" ref="U320:U341" si="20">IF(T320&lt;&gt;0,TEXT(((S320-T320)/T320)*100,"0,0"),"--")</f>
        <v>--</v>
      </c>
      <c r="V320" s="280">
        <f>Z264-Z265</f>
        <v>0</v>
      </c>
      <c r="W320" s="280">
        <f>Y264-Y265</f>
        <v>-2</v>
      </c>
      <c r="X320" s="269" t="str">
        <f t="shared" ref="X320:X341" si="21">IF(W320&lt;&gt;0,TEXT(((V320-W320)/W320)*100,"0,0"),"--")</f>
        <v>-100,0</v>
      </c>
    </row>
    <row r="321" spans="15:24" x14ac:dyDescent="0.2">
      <c r="O321" s="126" t="s">
        <v>164</v>
      </c>
      <c r="P321" s="280">
        <f>T266</f>
        <v>2861000</v>
      </c>
      <c r="Q321" s="280">
        <f>S266</f>
        <v>3127600</v>
      </c>
      <c r="R321" s="269" t="str">
        <f t="shared" si="19"/>
        <v>-8,5</v>
      </c>
      <c r="S321" s="280">
        <f>W266</f>
        <v>1</v>
      </c>
      <c r="T321" s="280">
        <f>V266</f>
        <v>0</v>
      </c>
      <c r="U321" s="276" t="str">
        <f t="shared" si="20"/>
        <v>--</v>
      </c>
      <c r="V321" s="280">
        <f>Z266</f>
        <v>1</v>
      </c>
      <c r="W321" s="280">
        <f>Y266</f>
        <v>2</v>
      </c>
      <c r="X321" s="269" t="str">
        <f t="shared" si="21"/>
        <v>-50,0</v>
      </c>
    </row>
    <row r="322" spans="15:24" x14ac:dyDescent="0.2">
      <c r="O322" s="126" t="s">
        <v>166</v>
      </c>
      <c r="P322" s="280">
        <f>T267</f>
        <v>3072000</v>
      </c>
      <c r="Q322" s="280">
        <f>S267</f>
        <v>4310000</v>
      </c>
      <c r="R322" s="269" t="str">
        <f t="shared" si="19"/>
        <v>-28,7</v>
      </c>
      <c r="S322" s="280">
        <f>W267</f>
        <v>1</v>
      </c>
      <c r="T322" s="280">
        <f>V267</f>
        <v>1</v>
      </c>
      <c r="U322" s="276" t="str">
        <f t="shared" si="20"/>
        <v>0,0</v>
      </c>
      <c r="V322" s="280">
        <f>Z267</f>
        <v>1</v>
      </c>
      <c r="W322" s="280">
        <f>Y267</f>
        <v>2</v>
      </c>
      <c r="X322" s="269" t="str">
        <f t="shared" si="21"/>
        <v>-50,0</v>
      </c>
    </row>
    <row r="323" spans="15:24" x14ac:dyDescent="0.2">
      <c r="O323" s="126" t="s">
        <v>168</v>
      </c>
      <c r="P323" s="280">
        <f>T268</f>
        <v>5429780</v>
      </c>
      <c r="Q323" s="280">
        <f>S268</f>
        <v>4361781</v>
      </c>
      <c r="R323" s="269" t="str">
        <f t="shared" si="19"/>
        <v>24,5</v>
      </c>
      <c r="S323" s="280">
        <f>W268</f>
        <v>3</v>
      </c>
      <c r="T323" s="280">
        <f>V268</f>
        <v>3</v>
      </c>
      <c r="U323" s="276" t="str">
        <f t="shared" si="20"/>
        <v>0,0</v>
      </c>
      <c r="V323" s="280">
        <f>Z268</f>
        <v>0</v>
      </c>
      <c r="W323" s="280">
        <f>Y268</f>
        <v>3</v>
      </c>
      <c r="X323" s="269" t="str">
        <f t="shared" si="21"/>
        <v>-100,0</v>
      </c>
    </row>
    <row r="324" spans="15:24" x14ac:dyDescent="0.2">
      <c r="O324" s="126" t="s">
        <v>170</v>
      </c>
      <c r="P324" s="280">
        <f>T269</f>
        <v>5727487</v>
      </c>
      <c r="Q324" s="280">
        <f>S269</f>
        <v>3743928</v>
      </c>
      <c r="R324" s="269" t="str">
        <f t="shared" si="19"/>
        <v>53,0</v>
      </c>
      <c r="S324" s="280">
        <f>W269</f>
        <v>1</v>
      </c>
      <c r="T324" s="280">
        <f>V269</f>
        <v>1</v>
      </c>
      <c r="U324" s="276" t="str">
        <f t="shared" si="20"/>
        <v>0,0</v>
      </c>
      <c r="V324" s="280">
        <f>Z269</f>
        <v>3</v>
      </c>
      <c r="W324" s="280">
        <f>Y269</f>
        <v>3</v>
      </c>
      <c r="X324" s="269" t="str">
        <f t="shared" si="21"/>
        <v>0,0</v>
      </c>
    </row>
    <row r="325" spans="15:24" x14ac:dyDescent="0.2">
      <c r="O325" s="126" t="s">
        <v>173</v>
      </c>
      <c r="P325" s="280">
        <f>T270-T271</f>
        <v>520000</v>
      </c>
      <c r="Q325" s="280">
        <f>S270-S271</f>
        <v>1789500</v>
      </c>
      <c r="R325" s="269" t="str">
        <f t="shared" si="19"/>
        <v>-70,9</v>
      </c>
      <c r="S325" s="280">
        <f>W270-W271</f>
        <v>4</v>
      </c>
      <c r="T325" s="280">
        <f>V270-V271</f>
        <v>3</v>
      </c>
      <c r="U325" s="276" t="str">
        <f t="shared" si="20"/>
        <v>33,3</v>
      </c>
      <c r="V325" s="280">
        <f>Z270-Z271</f>
        <v>-4</v>
      </c>
      <c r="W325" s="280">
        <f>Y270-Y271</f>
        <v>2</v>
      </c>
      <c r="X325" s="269" t="str">
        <f t="shared" si="21"/>
        <v>-300,0</v>
      </c>
    </row>
    <row r="326" spans="15:24" x14ac:dyDescent="0.2">
      <c r="O326" s="126" t="s">
        <v>175</v>
      </c>
      <c r="P326" s="280" t="e">
        <f>T272-#REF!</f>
        <v>#REF!</v>
      </c>
      <c r="Q326" s="280" t="e">
        <f>S272-#REF!</f>
        <v>#REF!</v>
      </c>
      <c r="R326" s="269" t="e">
        <f t="shared" si="19"/>
        <v>#REF!</v>
      </c>
      <c r="S326" s="280" t="e">
        <f>W272-#REF!</f>
        <v>#REF!</v>
      </c>
      <c r="T326" s="280" t="e">
        <f>V272-#REF!</f>
        <v>#REF!</v>
      </c>
      <c r="U326" s="276" t="e">
        <f t="shared" si="20"/>
        <v>#REF!</v>
      </c>
      <c r="V326" s="280" t="e">
        <f>Z272-#REF!</f>
        <v>#REF!</v>
      </c>
      <c r="W326" s="280" t="e">
        <f>Y272-#REF!</f>
        <v>#REF!</v>
      </c>
      <c r="X326" s="269" t="e">
        <f t="shared" si="21"/>
        <v>#REF!</v>
      </c>
    </row>
    <row r="327" spans="15:24" x14ac:dyDescent="0.2">
      <c r="O327" s="126" t="s">
        <v>177</v>
      </c>
      <c r="P327" s="280">
        <f>T273</f>
        <v>3491326</v>
      </c>
      <c r="Q327" s="280">
        <f>S273</f>
        <v>7835887</v>
      </c>
      <c r="R327" s="269" t="str">
        <f t="shared" si="19"/>
        <v>-55,4</v>
      </c>
      <c r="S327" s="280">
        <f>W273</f>
        <v>1</v>
      </c>
      <c r="T327" s="280">
        <f>V273</f>
        <v>2</v>
      </c>
      <c r="U327" s="276" t="str">
        <f t="shared" si="20"/>
        <v>-50,0</v>
      </c>
      <c r="V327" s="280">
        <f>Z273</f>
        <v>1</v>
      </c>
      <c r="W327" s="280">
        <f>Y273</f>
        <v>0</v>
      </c>
      <c r="X327" s="269" t="str">
        <f t="shared" si="21"/>
        <v>--</v>
      </c>
    </row>
    <row r="328" spans="15:24" x14ac:dyDescent="0.2">
      <c r="O328" s="126" t="s">
        <v>179</v>
      </c>
      <c r="P328" s="280">
        <f>T274</f>
        <v>834500</v>
      </c>
      <c r="Q328" s="280">
        <f>S274</f>
        <v>1534000</v>
      </c>
      <c r="R328" s="269" t="str">
        <f t="shared" si="19"/>
        <v>-45,6</v>
      </c>
      <c r="S328" s="280">
        <f>W274</f>
        <v>0</v>
      </c>
      <c r="T328" s="280">
        <f>V274</f>
        <v>0</v>
      </c>
      <c r="U328" s="276" t="str">
        <f t="shared" si="20"/>
        <v>--</v>
      </c>
      <c r="V328" s="280">
        <f>Z274</f>
        <v>0</v>
      </c>
      <c r="W328" s="280">
        <f>Y274</f>
        <v>0</v>
      </c>
      <c r="X328" s="269" t="str">
        <f t="shared" si="21"/>
        <v>--</v>
      </c>
    </row>
    <row r="329" spans="15:24" x14ac:dyDescent="0.2">
      <c r="O329" s="126" t="s">
        <v>181</v>
      </c>
      <c r="P329" s="280">
        <f>T275</f>
        <v>3270000</v>
      </c>
      <c r="Q329" s="280">
        <f>S275</f>
        <v>531000</v>
      </c>
      <c r="R329" s="269" t="str">
        <f t="shared" si="19"/>
        <v>515,8</v>
      </c>
      <c r="S329" s="280">
        <f>W275</f>
        <v>2</v>
      </c>
      <c r="T329" s="280">
        <f>V275</f>
        <v>1</v>
      </c>
      <c r="U329" s="276" t="str">
        <f t="shared" si="20"/>
        <v>100,0</v>
      </c>
      <c r="V329" s="280">
        <f>Z275</f>
        <v>0</v>
      </c>
      <c r="W329" s="280">
        <f>Y275</f>
        <v>0</v>
      </c>
      <c r="X329" s="269" t="str">
        <f t="shared" si="21"/>
        <v>--</v>
      </c>
    </row>
    <row r="330" spans="15:24" x14ac:dyDescent="0.2">
      <c r="O330" s="126" t="s">
        <v>183</v>
      </c>
      <c r="P330" s="280" t="e">
        <f>T276-#REF!</f>
        <v>#REF!</v>
      </c>
      <c r="Q330" s="280" t="e">
        <f>S276-#REF!</f>
        <v>#REF!</v>
      </c>
      <c r="R330" s="269" t="e">
        <f t="shared" si="19"/>
        <v>#REF!</v>
      </c>
      <c r="S330" s="280" t="e">
        <f>W276-#REF!</f>
        <v>#REF!</v>
      </c>
      <c r="T330" s="280" t="e">
        <f>V276-#REF!</f>
        <v>#REF!</v>
      </c>
      <c r="U330" s="276" t="e">
        <f t="shared" si="20"/>
        <v>#REF!</v>
      </c>
      <c r="V330" s="280" t="e">
        <f>Z276-#REF!</f>
        <v>#REF!</v>
      </c>
      <c r="W330" s="280" t="e">
        <f>Y276-#REF!</f>
        <v>#REF!</v>
      </c>
      <c r="X330" s="269" t="e">
        <f t="shared" si="21"/>
        <v>#REF!</v>
      </c>
    </row>
    <row r="331" spans="15:24" x14ac:dyDescent="0.2">
      <c r="O331" s="126" t="s">
        <v>185</v>
      </c>
      <c r="P331" s="280">
        <f>T277</f>
        <v>5243000</v>
      </c>
      <c r="Q331" s="280">
        <f>S277</f>
        <v>3552400</v>
      </c>
      <c r="R331" s="269" t="str">
        <f t="shared" si="19"/>
        <v>47,6</v>
      </c>
      <c r="S331" s="280">
        <f>W277</f>
        <v>4</v>
      </c>
      <c r="T331" s="280">
        <f>V277</f>
        <v>4</v>
      </c>
      <c r="U331" s="276" t="str">
        <f t="shared" si="20"/>
        <v>0,0</v>
      </c>
      <c r="V331" s="280">
        <f>Z277</f>
        <v>0</v>
      </c>
      <c r="W331" s="280">
        <f>Y277</f>
        <v>4</v>
      </c>
      <c r="X331" s="269" t="str">
        <f t="shared" si="21"/>
        <v>-100,0</v>
      </c>
    </row>
    <row r="332" spans="15:24" x14ac:dyDescent="0.2">
      <c r="O332" s="126" t="s">
        <v>189</v>
      </c>
      <c r="P332" s="280">
        <f>T279</f>
        <v>4295500</v>
      </c>
      <c r="Q332" s="280">
        <f>S279</f>
        <v>1065700</v>
      </c>
      <c r="R332" s="269" t="str">
        <f t="shared" si="19"/>
        <v>303,1</v>
      </c>
      <c r="S332" s="280">
        <f>W279</f>
        <v>1</v>
      </c>
      <c r="T332" s="280">
        <f>V279</f>
        <v>0</v>
      </c>
      <c r="U332" s="276" t="str">
        <f t="shared" si="20"/>
        <v>--</v>
      </c>
      <c r="V332" s="280">
        <f>Z279</f>
        <v>2</v>
      </c>
      <c r="W332" s="280">
        <f>Y279</f>
        <v>1</v>
      </c>
      <c r="X332" s="269" t="str">
        <f t="shared" si="21"/>
        <v>100,0</v>
      </c>
    </row>
    <row r="333" spans="15:24" x14ac:dyDescent="0.2">
      <c r="O333" s="126" t="s">
        <v>191</v>
      </c>
      <c r="P333" s="280">
        <f>T280</f>
        <v>4055000</v>
      </c>
      <c r="Q333" s="280">
        <f>S280</f>
        <v>2736242</v>
      </c>
      <c r="R333" s="269" t="str">
        <f t="shared" si="19"/>
        <v>48,2</v>
      </c>
      <c r="S333" s="280">
        <f>W280</f>
        <v>3</v>
      </c>
      <c r="T333" s="280">
        <f>V280</f>
        <v>1</v>
      </c>
      <c r="U333" s="276" t="str">
        <f t="shared" si="20"/>
        <v>200,0</v>
      </c>
      <c r="V333" s="280">
        <f>Z280</f>
        <v>2</v>
      </c>
      <c r="W333" s="280">
        <f>Y280</f>
        <v>1</v>
      </c>
      <c r="X333" s="269" t="str">
        <f t="shared" si="21"/>
        <v>100,0</v>
      </c>
    </row>
    <row r="334" spans="15:24" x14ac:dyDescent="0.2">
      <c r="O334" s="126" t="s">
        <v>193</v>
      </c>
      <c r="P334" s="280" t="e">
        <f>T281-#REF!</f>
        <v>#REF!</v>
      </c>
      <c r="Q334" s="280" t="e">
        <f>S281-#REF!</f>
        <v>#REF!</v>
      </c>
      <c r="R334" s="269" t="e">
        <f t="shared" si="19"/>
        <v>#REF!</v>
      </c>
      <c r="S334" s="280" t="e">
        <f>W281-#REF!</f>
        <v>#REF!</v>
      </c>
      <c r="T334" s="280" t="e">
        <f>V281-#REF!</f>
        <v>#REF!</v>
      </c>
      <c r="U334" s="276" t="e">
        <f t="shared" si="20"/>
        <v>#REF!</v>
      </c>
      <c r="V334" s="280" t="e">
        <f>Z281-#REF!</f>
        <v>#REF!</v>
      </c>
      <c r="W334" s="280" t="e">
        <f>Y281-#REF!</f>
        <v>#REF!</v>
      </c>
      <c r="X334" s="269" t="e">
        <f t="shared" si="21"/>
        <v>#REF!</v>
      </c>
    </row>
    <row r="335" spans="15:24" x14ac:dyDescent="0.2">
      <c r="O335" s="126" t="s">
        <v>195</v>
      </c>
      <c r="P335" s="280">
        <f>T282</f>
        <v>7905161</v>
      </c>
      <c r="Q335" s="280">
        <f>S282</f>
        <v>14510418</v>
      </c>
      <c r="R335" s="269" t="str">
        <f t="shared" si="19"/>
        <v>-45,5</v>
      </c>
      <c r="S335" s="280">
        <f>W282</f>
        <v>3</v>
      </c>
      <c r="T335" s="280">
        <f>V282</f>
        <v>6</v>
      </c>
      <c r="U335" s="276" t="str">
        <f t="shared" si="20"/>
        <v>-50,0</v>
      </c>
      <c r="V335" s="280">
        <f>Z282</f>
        <v>2</v>
      </c>
      <c r="W335" s="280">
        <f>Y282</f>
        <v>4</v>
      </c>
      <c r="X335" s="269" t="str">
        <f t="shared" si="21"/>
        <v>-50,0</v>
      </c>
    </row>
    <row r="336" spans="15:24" x14ac:dyDescent="0.2">
      <c r="O336" s="126" t="s">
        <v>197</v>
      </c>
      <c r="P336" s="280">
        <f>T283</f>
        <v>2231136</v>
      </c>
      <c r="Q336" s="280">
        <f>S283</f>
        <v>906000</v>
      </c>
      <c r="R336" s="269" t="str">
        <f t="shared" si="19"/>
        <v>146,3</v>
      </c>
      <c r="S336" s="280">
        <f>W283</f>
        <v>2</v>
      </c>
      <c r="T336" s="280">
        <f>V283</f>
        <v>1</v>
      </c>
      <c r="U336" s="276" t="str">
        <f t="shared" si="20"/>
        <v>100,0</v>
      </c>
      <c r="V336" s="280">
        <f>Z283</f>
        <v>1</v>
      </c>
      <c r="W336" s="280">
        <f>Y283</f>
        <v>1</v>
      </c>
      <c r="X336" s="269" t="str">
        <f t="shared" si="21"/>
        <v>0,0</v>
      </c>
    </row>
    <row r="337" spans="14:42" x14ac:dyDescent="0.2">
      <c r="O337" s="126" t="s">
        <v>199</v>
      </c>
      <c r="P337" s="280">
        <f>T284-T285</f>
        <v>-432500</v>
      </c>
      <c r="Q337" s="280">
        <f>S284-S285</f>
        <v>-2400750</v>
      </c>
      <c r="R337" s="269" t="str">
        <f t="shared" si="19"/>
        <v>-82,0</v>
      </c>
      <c r="S337" s="280">
        <f>W284-W285</f>
        <v>3</v>
      </c>
      <c r="T337" s="280">
        <f>V284-V285</f>
        <v>-2</v>
      </c>
      <c r="U337" s="276" t="str">
        <f t="shared" si="20"/>
        <v>-250,0</v>
      </c>
      <c r="V337" s="280">
        <f>Z284-Z285</f>
        <v>0</v>
      </c>
      <c r="W337" s="280">
        <f>Y284-Y285</f>
        <v>-3</v>
      </c>
      <c r="X337" s="269" t="str">
        <f t="shared" si="21"/>
        <v>-100,0</v>
      </c>
    </row>
    <row r="338" spans="14:42" x14ac:dyDescent="0.2">
      <c r="O338" s="126" t="s">
        <v>201</v>
      </c>
      <c r="P338" s="280" t="e">
        <f>T286-#REF!</f>
        <v>#REF!</v>
      </c>
      <c r="Q338" s="280" t="e">
        <f>S286-#REF!</f>
        <v>#REF!</v>
      </c>
      <c r="R338" s="269" t="e">
        <f t="shared" si="19"/>
        <v>#REF!</v>
      </c>
      <c r="S338" s="280" t="e">
        <f>W286-#REF!</f>
        <v>#REF!</v>
      </c>
      <c r="T338" s="280" t="e">
        <f>V286-#REF!</f>
        <v>#REF!</v>
      </c>
      <c r="U338" s="276" t="e">
        <f t="shared" si="20"/>
        <v>#REF!</v>
      </c>
      <c r="V338" s="280" t="e">
        <f>Z286-#REF!</f>
        <v>#REF!</v>
      </c>
      <c r="W338" s="280" t="e">
        <f>Y286-#REF!</f>
        <v>#REF!</v>
      </c>
      <c r="X338" s="269" t="e">
        <f t="shared" si="21"/>
        <v>#REF!</v>
      </c>
    </row>
    <row r="339" spans="14:42" x14ac:dyDescent="0.2">
      <c r="O339" s="126" t="s">
        <v>203</v>
      </c>
      <c r="P339" s="280">
        <f>T287</f>
        <v>1374528</v>
      </c>
      <c r="Q339" s="280">
        <f>S287</f>
        <v>784000</v>
      </c>
      <c r="R339" s="269" t="str">
        <f t="shared" si="19"/>
        <v>75,3</v>
      </c>
      <c r="S339" s="280">
        <f>W287</f>
        <v>5</v>
      </c>
      <c r="T339" s="280">
        <f>V287</f>
        <v>2</v>
      </c>
      <c r="U339" s="276" t="str">
        <f t="shared" si="20"/>
        <v>150,0</v>
      </c>
      <c r="V339" s="280">
        <f>Z287</f>
        <v>0</v>
      </c>
      <c r="W339" s="280">
        <f>Y287</f>
        <v>2</v>
      </c>
      <c r="X339" s="269" t="str">
        <f t="shared" si="21"/>
        <v>-100,0</v>
      </c>
    </row>
    <row r="340" spans="14:42" x14ac:dyDescent="0.2">
      <c r="O340" s="126" t="s">
        <v>205</v>
      </c>
      <c r="P340" s="280">
        <f>T288</f>
        <v>5335325</v>
      </c>
      <c r="Q340" s="280">
        <f>S288</f>
        <v>938800</v>
      </c>
      <c r="R340" s="269" t="str">
        <f t="shared" si="19"/>
        <v>468,3</v>
      </c>
      <c r="S340" s="280">
        <f>W288</f>
        <v>1</v>
      </c>
      <c r="T340" s="280">
        <f>V288</f>
        <v>3</v>
      </c>
      <c r="U340" s="276" t="str">
        <f t="shared" si="20"/>
        <v>-66,7</v>
      </c>
      <c r="V340" s="280">
        <f>Z288</f>
        <v>0</v>
      </c>
      <c r="W340" s="280">
        <f>Y288</f>
        <v>0</v>
      </c>
      <c r="X340" s="269" t="str">
        <f t="shared" si="21"/>
        <v>--</v>
      </c>
    </row>
    <row r="341" spans="14:42" x14ac:dyDescent="0.2">
      <c r="O341" s="287" t="s">
        <v>207</v>
      </c>
      <c r="P341" s="291" t="e">
        <f>SUM(P320:P340)</f>
        <v>#REF!</v>
      </c>
      <c r="Q341" s="291" t="e">
        <f>SUM(Q320:Q340)</f>
        <v>#REF!</v>
      </c>
      <c r="R341" s="290" t="e">
        <f t="shared" si="19"/>
        <v>#REF!</v>
      </c>
      <c r="S341" s="291" t="e">
        <f>SUM(S320:S340)</f>
        <v>#REF!</v>
      </c>
      <c r="T341" s="291" t="e">
        <f>SUM(T320:T340)</f>
        <v>#REF!</v>
      </c>
      <c r="U341" s="290" t="e">
        <f t="shared" si="20"/>
        <v>#REF!</v>
      </c>
      <c r="V341" s="291" t="e">
        <f>SUM(V320:V340)</f>
        <v>#REF!</v>
      </c>
      <c r="W341" s="291" t="e">
        <f>SUM(W320:W340)</f>
        <v>#REF!</v>
      </c>
      <c r="X341" s="290" t="e">
        <f t="shared" si="21"/>
        <v>#REF!</v>
      </c>
    </row>
    <row r="346" spans="14:42" ht="24" customHeight="1" x14ac:dyDescent="0.2">
      <c r="O346" s="327" t="s">
        <v>7</v>
      </c>
      <c r="P346" s="325" t="s">
        <v>210</v>
      </c>
      <c r="Q346" s="300"/>
      <c r="R346" s="316"/>
      <c r="S346" s="323" t="s">
        <v>211</v>
      </c>
      <c r="T346" s="300"/>
      <c r="U346" s="318"/>
      <c r="V346" s="325" t="s">
        <v>209</v>
      </c>
      <c r="W346" s="300"/>
      <c r="X346" s="316"/>
      <c r="Y346" s="323" t="s">
        <v>212</v>
      </c>
      <c r="Z346" s="300"/>
      <c r="AA346" s="318"/>
      <c r="AB346" s="321" t="s">
        <v>156</v>
      </c>
      <c r="AC346" s="300"/>
      <c r="AD346" s="316"/>
      <c r="AE346" s="317" t="s">
        <v>119</v>
      </c>
      <c r="AF346" s="300"/>
      <c r="AG346" s="318"/>
      <c r="AH346" s="677" t="s">
        <v>242</v>
      </c>
      <c r="AI346" s="678"/>
      <c r="AJ346" s="679"/>
      <c r="AK346" s="677" t="s">
        <v>85</v>
      </c>
      <c r="AL346" s="678"/>
      <c r="AM346" s="679"/>
      <c r="AN346" s="680" t="s">
        <v>243</v>
      </c>
      <c r="AO346" s="681"/>
      <c r="AP346" s="682"/>
    </row>
    <row r="347" spans="14:42" x14ac:dyDescent="0.2">
      <c r="O347" s="328"/>
      <c r="P347" s="266">
        <v>2015</v>
      </c>
      <c r="Q347" s="267">
        <v>2014</v>
      </c>
      <c r="R347" s="309" t="s">
        <v>11</v>
      </c>
      <c r="S347" s="266">
        <v>2015</v>
      </c>
      <c r="T347" s="267">
        <v>2014</v>
      </c>
      <c r="U347" s="319" t="s">
        <v>11</v>
      </c>
      <c r="V347" s="266">
        <v>2015</v>
      </c>
      <c r="W347" s="267">
        <v>2014</v>
      </c>
      <c r="X347" s="309" t="s">
        <v>11</v>
      </c>
      <c r="Y347" s="266">
        <v>2015</v>
      </c>
      <c r="Z347" s="267">
        <v>2014</v>
      </c>
      <c r="AA347" s="319" t="s">
        <v>11</v>
      </c>
      <c r="AB347" s="266">
        <v>2015</v>
      </c>
      <c r="AC347" s="267">
        <v>2014</v>
      </c>
      <c r="AD347" s="309" t="s">
        <v>11</v>
      </c>
      <c r="AE347" s="266">
        <v>2015</v>
      </c>
      <c r="AF347" s="267">
        <v>2014</v>
      </c>
      <c r="AG347" s="319" t="s">
        <v>11</v>
      </c>
      <c r="AH347" s="266">
        <v>2015</v>
      </c>
      <c r="AI347" s="267">
        <v>2014</v>
      </c>
      <c r="AJ347" s="309" t="s">
        <v>11</v>
      </c>
      <c r="AK347" s="266">
        <v>2015</v>
      </c>
      <c r="AL347" s="267">
        <v>2014</v>
      </c>
      <c r="AM347" s="312" t="s">
        <v>11</v>
      </c>
      <c r="AN347" s="266">
        <v>2015</v>
      </c>
      <c r="AO347" s="267">
        <v>2014</v>
      </c>
      <c r="AP347" s="262" t="s">
        <v>11</v>
      </c>
    </row>
    <row r="348" spans="14:42" x14ac:dyDescent="0.2">
      <c r="N348">
        <v>1</v>
      </c>
      <c r="O348" s="135" t="s">
        <v>161</v>
      </c>
      <c r="P348" s="326">
        <f>'На 10 тыс'!C5</f>
        <v>24</v>
      </c>
      <c r="Q348" s="299">
        <f>'На 10 тыс'!B5</f>
        <v>27</v>
      </c>
      <c r="R348" s="310">
        <f t="shared" ref="R348:R373" si="22">IF(Q348=0,"--",(((P348*100)/Q348)-100)/100)</f>
        <v>-0.11111111111111115</v>
      </c>
      <c r="S348" s="320">
        <f>'На 10 тыс'!F5</f>
        <v>4935600</v>
      </c>
      <c r="T348" s="299">
        <f>'На 10 тыс'!E5</f>
        <v>4026000</v>
      </c>
      <c r="U348" s="314">
        <f t="shared" ref="U348:U373" si="23">IF(T348=0,"--",(((S348*100)/T348)-100)/100)</f>
        <v>0.22593144560357672</v>
      </c>
      <c r="V348" s="322">
        <f>'На 10 тыс'!I5</f>
        <v>16.134453781512605</v>
      </c>
      <c r="W348" s="299">
        <f>'На 10 тыс'!H5</f>
        <v>18.15126050420168</v>
      </c>
      <c r="X348" s="310">
        <f t="shared" ref="X348:X373" si="24">IF(W348=0,"--",(((V348*100)/W348)-100)/100)</f>
        <v>-0.11111111111111115</v>
      </c>
      <c r="Y348" s="324">
        <f>'На 10 тыс'!L5</f>
        <v>205650</v>
      </c>
      <c r="Z348" s="302">
        <f>'На 10 тыс'!K5</f>
        <v>149111.11111111112</v>
      </c>
      <c r="AA348" s="314">
        <f t="shared" ref="AA348:AA359" si="25">IF(Z348=0,"--",(((Y348*100)/Z348)-100)/100)</f>
        <v>0.37917287630402369</v>
      </c>
      <c r="AB348" s="322">
        <f>'На 10 тыс'!O5</f>
        <v>331.80504201680674</v>
      </c>
      <c r="AC348" s="303">
        <f>'На 10 тыс'!N5</f>
        <v>270.65546218487395</v>
      </c>
      <c r="AD348" s="310">
        <f t="shared" ref="AD348:AD373" si="26">IF(AC348=0,"--",(((AB348*100)/AC348)-100)/100)</f>
        <v>0.22593144560357686</v>
      </c>
      <c r="AE348" s="320">
        <f>'На 10 тыс'!R5</f>
        <v>2</v>
      </c>
      <c r="AF348" s="299">
        <f>'На 10 тыс'!Q5</f>
        <v>2</v>
      </c>
      <c r="AG348" s="314">
        <f t="shared" ref="AG348:AG373" si="27">IF(AF348=0,"--",(((AE348*100)/AF348)-100)/100)</f>
        <v>0</v>
      </c>
      <c r="AH348" s="311">
        <f>AE348/VLOOKUP($O348,НаселГлавы!$A$1:$B$29,2,FALSE)*10000</f>
        <v>0.79681274900398413</v>
      </c>
      <c r="AI348" s="308">
        <f>AF348/VLOOKUP($O348,НаселГлавы!$A$1:$B$29,2,FALSE)*10000</f>
        <v>0.79681274900398413</v>
      </c>
      <c r="AJ348" s="310">
        <f t="shared" ref="AJ348:AJ373" si="28">IF(AI348=0,"--",(((AH348*100)/AI348)-100)/100)</f>
        <v>-1.4210854715202004E-16</v>
      </c>
      <c r="AK348" s="313">
        <f>Grig1!L10</f>
        <v>1</v>
      </c>
      <c r="AL348" s="304">
        <f>Grig1!K10</f>
        <v>1</v>
      </c>
      <c r="AM348" s="314">
        <f t="shared" ref="AM348:AM373" si="29">IF(AL348=0,"--",(((AK348*100)/AL348)-100)/100)</f>
        <v>0</v>
      </c>
      <c r="AN348" s="311">
        <f>AK348/VLOOKUP($O348,НаселГлавы!$A$1:$B$29,2,FALSE)*10000</f>
        <v>0.39840637450199207</v>
      </c>
      <c r="AO348" s="308">
        <f>AL348/VLOOKUP($O348,НаселГлавы!$A$1:$B$29,2,FALSE)*10000</f>
        <v>0.39840637450199207</v>
      </c>
      <c r="AP348" s="301">
        <f t="shared" ref="AP348:AP373" si="30">IF(AO348=0,"--",(((AN348*100)/AO348)-100)/100)</f>
        <v>-1.4210854715202004E-16</v>
      </c>
    </row>
    <row r="349" spans="14:42" x14ac:dyDescent="0.2">
      <c r="N349">
        <v>2</v>
      </c>
      <c r="O349" s="135" t="s">
        <v>164</v>
      </c>
      <c r="P349" s="326">
        <f>'На 10 тыс'!C7</f>
        <v>16</v>
      </c>
      <c r="Q349" s="299">
        <f>'На 10 тыс'!B7</f>
        <v>17</v>
      </c>
      <c r="R349" s="310">
        <f t="shared" si="22"/>
        <v>-5.8823529411764636E-2</v>
      </c>
      <c r="S349" s="320">
        <f>'На 10 тыс'!F7</f>
        <v>2861000</v>
      </c>
      <c r="T349" s="299">
        <f>'На 10 тыс'!E7</f>
        <v>3127600</v>
      </c>
      <c r="U349" s="314">
        <f t="shared" si="23"/>
        <v>-8.5241079421921023E-2</v>
      </c>
      <c r="V349" s="322">
        <f>'На 10 тыс'!I7</f>
        <v>10.074297947361792</v>
      </c>
      <c r="W349" s="299">
        <f>'На 10 тыс'!H7</f>
        <v>10.703941569071905</v>
      </c>
      <c r="X349" s="310">
        <f t="shared" si="24"/>
        <v>-5.8823529411764781E-2</v>
      </c>
      <c r="Y349" s="324">
        <f>'На 10 тыс'!L7</f>
        <v>178812.5</v>
      </c>
      <c r="Z349" s="302">
        <f>'На 10 тыс'!K7</f>
        <v>183976.4705882353</v>
      </c>
      <c r="AA349" s="314">
        <f t="shared" si="25"/>
        <v>-2.806864688579111E-2</v>
      </c>
      <c r="AB349" s="322">
        <f>'На 10 тыс'!O7</f>
        <v>180.14104017126306</v>
      </c>
      <c r="AC349" s="303">
        <f>'На 10 тыс'!N7</f>
        <v>196.92733912605465</v>
      </c>
      <c r="AD349" s="310">
        <f t="shared" si="26"/>
        <v>-8.5241079421921023E-2</v>
      </c>
      <c r="AE349" s="320">
        <f>'На 10 тыс'!R7</f>
        <v>1</v>
      </c>
      <c r="AF349" s="299">
        <f>'На 10 тыс'!Q7</f>
        <v>0</v>
      </c>
      <c r="AG349" s="314" t="str">
        <f t="shared" si="27"/>
        <v>--</v>
      </c>
      <c r="AH349" s="311">
        <f>AE349/VLOOKUP($O349,НаселГлавы!$A$1:$B$29,2,FALSE)*10000</f>
        <v>0.44247787610619471</v>
      </c>
      <c r="AI349" s="308">
        <f>AF349/VLOOKUP($O349,НаселГлавы!$A$1:$B$29,2,FALSE)*10000</f>
        <v>0</v>
      </c>
      <c r="AJ349" s="310" t="str">
        <f t="shared" si="28"/>
        <v>--</v>
      </c>
      <c r="AK349" s="313">
        <f>Grig1!L13</f>
        <v>1</v>
      </c>
      <c r="AL349" s="304">
        <f>Grig1!K13</f>
        <v>2</v>
      </c>
      <c r="AM349" s="314">
        <f t="shared" si="29"/>
        <v>-0.5</v>
      </c>
      <c r="AN349" s="311">
        <f>AK349/VLOOKUP($O349,НаселГлавы!$A$1:$B$29,2,FALSE)*10000</f>
        <v>0.44247787610619471</v>
      </c>
      <c r="AO349" s="308">
        <f>AL349/VLOOKUP($O349,НаселГлавы!$A$1:$B$29,2,FALSE)*10000</f>
        <v>0.88495575221238942</v>
      </c>
      <c r="AP349" s="301">
        <f t="shared" si="30"/>
        <v>-0.5</v>
      </c>
    </row>
    <row r="350" spans="14:42" x14ac:dyDescent="0.2">
      <c r="N350">
        <v>3</v>
      </c>
      <c r="O350" s="135" t="s">
        <v>166</v>
      </c>
      <c r="P350" s="326">
        <f>'На 10 тыс'!C8</f>
        <v>32</v>
      </c>
      <c r="Q350" s="299">
        <f>'На 10 тыс'!B8</f>
        <v>34</v>
      </c>
      <c r="R350" s="310">
        <f t="shared" si="22"/>
        <v>-5.8823529411764636E-2</v>
      </c>
      <c r="S350" s="320">
        <f>'На 10 тыс'!F8</f>
        <v>3072000</v>
      </c>
      <c r="T350" s="299">
        <f>'На 10 тыс'!E8</f>
        <v>4310000</v>
      </c>
      <c r="U350" s="314">
        <f t="shared" si="23"/>
        <v>-0.28723897911832952</v>
      </c>
      <c r="V350" s="322">
        <f>'На 10 тыс'!I8</f>
        <v>9.2764378478664202</v>
      </c>
      <c r="W350" s="299">
        <f>'На 10 тыс'!H8</f>
        <v>9.8562152133580714</v>
      </c>
      <c r="X350" s="310">
        <f t="shared" si="24"/>
        <v>-5.8823529411764636E-2</v>
      </c>
      <c r="Y350" s="324">
        <f>'На 10 тыс'!L8</f>
        <v>96000</v>
      </c>
      <c r="Z350" s="302">
        <f>'На 10 тыс'!K8</f>
        <v>126764.70588235294</v>
      </c>
      <c r="AA350" s="314">
        <f t="shared" si="25"/>
        <v>-0.24269141531322502</v>
      </c>
      <c r="AB350" s="322">
        <f>'На 10 тыс'!O8</f>
        <v>89.053803339517629</v>
      </c>
      <c r="AC350" s="303">
        <f>'На 10 тыс'!N8</f>
        <v>124.94202226345084</v>
      </c>
      <c r="AD350" s="310">
        <f t="shared" si="26"/>
        <v>-0.28723897911832935</v>
      </c>
      <c r="AE350" s="320">
        <f>'На 10 тыс'!R8</f>
        <v>1</v>
      </c>
      <c r="AF350" s="299">
        <f>'На 10 тыс'!Q8</f>
        <v>1</v>
      </c>
      <c r="AG350" s="314">
        <f t="shared" si="27"/>
        <v>0</v>
      </c>
      <c r="AH350" s="311">
        <f>AE350/VLOOKUP($O350,НаселГлавы!$A$1:$B$29,2,FALSE)*10000</f>
        <v>0.24449877750611249</v>
      </c>
      <c r="AI350" s="308">
        <f>AF350/VLOOKUP($O350,НаселГлавы!$A$1:$B$29,2,FALSE)*10000</f>
        <v>0.24449877750611249</v>
      </c>
      <c r="AJ350" s="310">
        <f t="shared" si="28"/>
        <v>1.4210854715202004E-16</v>
      </c>
      <c r="AK350" s="313">
        <f>Grig1!L15</f>
        <v>1</v>
      </c>
      <c r="AL350" s="304">
        <f>Grig1!K15</f>
        <v>2</v>
      </c>
      <c r="AM350" s="314">
        <f t="shared" si="29"/>
        <v>-0.5</v>
      </c>
      <c r="AN350" s="311">
        <f>AK350/VLOOKUP($O350,НаселГлавы!$A$1:$B$29,2,FALSE)*10000</f>
        <v>0.24449877750611249</v>
      </c>
      <c r="AO350" s="308">
        <f>AL350/VLOOKUP($O350,НаселГлавы!$A$1:$B$29,2,FALSE)*10000</f>
        <v>0.48899755501222497</v>
      </c>
      <c r="AP350" s="301">
        <f t="shared" si="30"/>
        <v>-0.49999999999999994</v>
      </c>
    </row>
    <row r="351" spans="14:42" x14ac:dyDescent="0.2">
      <c r="N351">
        <v>4</v>
      </c>
      <c r="O351" s="135" t="s">
        <v>168</v>
      </c>
      <c r="P351" s="326">
        <f>'На 10 тыс'!C9</f>
        <v>30</v>
      </c>
      <c r="Q351" s="299">
        <f>'На 10 тыс'!B9</f>
        <v>37</v>
      </c>
      <c r="R351" s="310">
        <f t="shared" si="22"/>
        <v>-0.1891891891891892</v>
      </c>
      <c r="S351" s="320">
        <f>'На 10 тыс'!F9</f>
        <v>5429780</v>
      </c>
      <c r="T351" s="299">
        <f>'На 10 тыс'!E9</f>
        <v>4361781</v>
      </c>
      <c r="U351" s="314">
        <f t="shared" si="23"/>
        <v>0.24485387964228381</v>
      </c>
      <c r="V351" s="322">
        <f>'На 10 тыс'!I9</f>
        <v>9.3106979919928001</v>
      </c>
      <c r="W351" s="299">
        <f>'На 10 тыс'!H9</f>
        <v>11.483194190124452</v>
      </c>
      <c r="X351" s="310">
        <f t="shared" si="24"/>
        <v>-0.18918918918918906</v>
      </c>
      <c r="Y351" s="324">
        <f>'На 10 тыс'!L9</f>
        <v>180992.66666666666</v>
      </c>
      <c r="Z351" s="302">
        <f>'На 10 тыс'!K9</f>
        <v>117885.97297297297</v>
      </c>
      <c r="AA351" s="314">
        <f t="shared" si="25"/>
        <v>0.5353197848921496</v>
      </c>
      <c r="AB351" s="322">
        <f>'На 10 тыс'!O9</f>
        <v>168.51680580987554</v>
      </c>
      <c r="AC351" s="303">
        <f>'На 10 тыс'!N9</f>
        <v>135.37075199404114</v>
      </c>
      <c r="AD351" s="310">
        <f t="shared" si="26"/>
        <v>0.24485387964228381</v>
      </c>
      <c r="AE351" s="320">
        <f>'На 10 тыс'!R9</f>
        <v>3</v>
      </c>
      <c r="AF351" s="299">
        <f>'На 10 тыс'!Q9</f>
        <v>3</v>
      </c>
      <c r="AG351" s="314">
        <f t="shared" si="27"/>
        <v>0</v>
      </c>
      <c r="AH351" s="311">
        <f>AE351/VLOOKUP($O351,НаселГлавы!$A$1:$B$29,2,FALSE)*10000</f>
        <v>0.67720090293453727</v>
      </c>
      <c r="AI351" s="308">
        <f>AF351/VLOOKUP($O351,НаселГлавы!$A$1:$B$29,2,FALSE)*10000</f>
        <v>0.67720090293453727</v>
      </c>
      <c r="AJ351" s="310">
        <f t="shared" si="28"/>
        <v>-1.4210854715202004E-16</v>
      </c>
      <c r="AK351" s="313">
        <f>Grig1!L17</f>
        <v>0</v>
      </c>
      <c r="AL351" s="304">
        <f>Grig1!K17</f>
        <v>3</v>
      </c>
      <c r="AM351" s="314">
        <f t="shared" si="29"/>
        <v>-1</v>
      </c>
      <c r="AN351" s="311">
        <f>AK351/VLOOKUP($O351,НаселГлавы!$A$1:$B$29,2,FALSE)*10000</f>
        <v>0</v>
      </c>
      <c r="AO351" s="308">
        <f>AL351/VLOOKUP($O351,НаселГлавы!$A$1:$B$29,2,FALSE)*10000</f>
        <v>0.67720090293453727</v>
      </c>
      <c r="AP351" s="301">
        <f t="shared" si="30"/>
        <v>-1</v>
      </c>
    </row>
    <row r="352" spans="14:42" x14ac:dyDescent="0.2">
      <c r="N352">
        <v>5</v>
      </c>
      <c r="O352" s="135" t="s">
        <v>170</v>
      </c>
      <c r="P352" s="326">
        <f>'На 10 тыс'!C10</f>
        <v>21</v>
      </c>
      <c r="Q352" s="299">
        <f>'На 10 тыс'!B10</f>
        <v>25</v>
      </c>
      <c r="R352" s="310">
        <f t="shared" si="22"/>
        <v>-0.16</v>
      </c>
      <c r="S352" s="320">
        <f>'На 10 тыс'!F10</f>
        <v>5727487</v>
      </c>
      <c r="T352" s="299">
        <f>'На 10 тыс'!E10</f>
        <v>3743928</v>
      </c>
      <c r="U352" s="314">
        <f t="shared" si="23"/>
        <v>0.52980693004779988</v>
      </c>
      <c r="V352" s="322">
        <f>'На 10 тыс'!I10</f>
        <v>8.9289510608444225</v>
      </c>
      <c r="W352" s="299">
        <f>'На 10 тыс'!H10</f>
        <v>10.62970364386241</v>
      </c>
      <c r="X352" s="310">
        <f t="shared" si="24"/>
        <v>-0.16000000000000014</v>
      </c>
      <c r="Y352" s="324">
        <f>'На 10 тыс'!L10</f>
        <v>272737.47619047621</v>
      </c>
      <c r="Z352" s="302">
        <f>'На 10 тыс'!K10</f>
        <v>149757.12</v>
      </c>
      <c r="AA352" s="314">
        <f t="shared" si="25"/>
        <v>0.82119872624738122</v>
      </c>
      <c r="AB352" s="322">
        <f>'На 10 тыс'!O10</f>
        <v>243.52595773629832</v>
      </c>
      <c r="AC352" s="303">
        <f>'На 10 тыс'!N10</f>
        <v>159.18738041583401</v>
      </c>
      <c r="AD352" s="310">
        <f t="shared" si="26"/>
        <v>0.52980693004780022</v>
      </c>
      <c r="AE352" s="320">
        <f>'На 10 тыс'!R10</f>
        <v>1</v>
      </c>
      <c r="AF352" s="299">
        <f>'На 10 тыс'!Q10</f>
        <v>1</v>
      </c>
      <c r="AG352" s="314">
        <f t="shared" si="27"/>
        <v>0</v>
      </c>
      <c r="AH352" s="311">
        <f>AE352/VLOOKUP($O352,НаселГлавы!$A$1:$B$29,2,FALSE)*10000</f>
        <v>0.34843205574912894</v>
      </c>
      <c r="AI352" s="308">
        <f>AF352/VLOOKUP($O352,НаселГлавы!$A$1:$B$29,2,FALSE)*10000</f>
        <v>0.34843205574912894</v>
      </c>
      <c r="AJ352" s="310">
        <f t="shared" si="28"/>
        <v>0</v>
      </c>
      <c r="AK352" s="313">
        <f>Grig1!L19</f>
        <v>3</v>
      </c>
      <c r="AL352" s="304">
        <f>Grig1!K19</f>
        <v>3</v>
      </c>
      <c r="AM352" s="314">
        <f t="shared" si="29"/>
        <v>0</v>
      </c>
      <c r="AN352" s="311">
        <f>AK352/VLOOKUP($O352,НаселГлавы!$A$1:$B$29,2,FALSE)*10000</f>
        <v>1.0452961672473868</v>
      </c>
      <c r="AO352" s="308">
        <f>AL352/VLOOKUP($O352,НаселГлавы!$A$1:$B$29,2,FALSE)*10000</f>
        <v>1.0452961672473868</v>
      </c>
      <c r="AP352" s="301">
        <f t="shared" si="30"/>
        <v>0</v>
      </c>
    </row>
    <row r="353" spans="1:42" x14ac:dyDescent="0.2">
      <c r="N353">
        <v>6</v>
      </c>
      <c r="O353" s="135" t="s">
        <v>173</v>
      </c>
      <c r="P353" s="326">
        <f>'На 10 тыс'!C11</f>
        <v>43</v>
      </c>
      <c r="Q353" s="299">
        <f>'На 10 тыс'!B11</f>
        <v>36</v>
      </c>
      <c r="R353" s="310">
        <f t="shared" si="22"/>
        <v>0.19444444444444442</v>
      </c>
      <c r="S353" s="320">
        <f>'На 10 тыс'!F11</f>
        <v>4440000</v>
      </c>
      <c r="T353" s="299">
        <f>'На 10 тыс'!E11</f>
        <v>3285000</v>
      </c>
      <c r="U353" s="314">
        <f t="shared" si="23"/>
        <v>0.35159817351598177</v>
      </c>
      <c r="V353" s="322">
        <f>'На 10 тыс'!I11</f>
        <v>12.045492744691579</v>
      </c>
      <c r="W353" s="299">
        <f>'На 10 тыс'!H11</f>
        <v>10.084598576951089</v>
      </c>
      <c r="X353" s="310">
        <f t="shared" si="24"/>
        <v>0.19444444444444442</v>
      </c>
      <c r="Y353" s="324">
        <f>'На 10 тыс'!L11</f>
        <v>103255.81395348837</v>
      </c>
      <c r="Z353" s="302">
        <f>'На 10 тыс'!K11</f>
        <v>91250</v>
      </c>
      <c r="AA353" s="314">
        <f t="shared" si="25"/>
        <v>0.131570563873845</v>
      </c>
      <c r="AB353" s="322">
        <f>'На 10 тыс'!O11</f>
        <v>124.37671578239677</v>
      </c>
      <c r="AC353" s="303">
        <f>'На 10 тыс'!N11</f>
        <v>92.021962014678692</v>
      </c>
      <c r="AD353" s="310">
        <f t="shared" si="26"/>
        <v>0.35159817351598177</v>
      </c>
      <c r="AE353" s="320">
        <f>'На 10 тыс'!R11</f>
        <v>5</v>
      </c>
      <c r="AF353" s="299">
        <f>'На 10 тыс'!Q11</f>
        <v>4</v>
      </c>
      <c r="AG353" s="314">
        <f t="shared" si="27"/>
        <v>0.25</v>
      </c>
      <c r="AH353" s="311">
        <f>AE353/VLOOKUP($O353,НаселГлавы!$A$1:$B$29,2,FALSE)*10000</f>
        <v>0.99800399201596801</v>
      </c>
      <c r="AI353" s="308">
        <f>AF353/VLOOKUP($O353,НаселГлавы!$A$1:$B$29,2,FALSE)*10000</f>
        <v>0.79840319361277445</v>
      </c>
      <c r="AJ353" s="310">
        <f t="shared" si="28"/>
        <v>0.25</v>
      </c>
      <c r="AK353" s="313">
        <f>Grig1!L22</f>
        <v>3</v>
      </c>
      <c r="AL353" s="304">
        <f>Grig1!K22</f>
        <v>2</v>
      </c>
      <c r="AM353" s="314">
        <f t="shared" si="29"/>
        <v>0.5</v>
      </c>
      <c r="AN353" s="311">
        <f>AK353/VLOOKUP($O353,НаселГлавы!$A$1:$B$29,2,FALSE)*10000</f>
        <v>0.59880239520958078</v>
      </c>
      <c r="AO353" s="308">
        <f>AL353/VLOOKUP($O353,НаселГлавы!$A$1:$B$29,2,FALSE)*10000</f>
        <v>0.39920159680638723</v>
      </c>
      <c r="AP353" s="301">
        <f t="shared" si="30"/>
        <v>0.49999999999999972</v>
      </c>
    </row>
    <row r="354" spans="1:42" x14ac:dyDescent="0.2">
      <c r="N354">
        <v>7</v>
      </c>
      <c r="O354" s="135" t="s">
        <v>175</v>
      </c>
      <c r="P354" s="326">
        <f>'На 10 тыс'!C13</f>
        <v>15</v>
      </c>
      <c r="Q354" s="299">
        <f>'На 10 тыс'!B13</f>
        <v>23</v>
      </c>
      <c r="R354" s="310">
        <f t="shared" si="22"/>
        <v>-0.34782608695652173</v>
      </c>
      <c r="S354" s="320">
        <f>'На 10 тыс'!F13</f>
        <v>3525000</v>
      </c>
      <c r="T354" s="299">
        <f>'На 10 тыс'!E13</f>
        <v>2788097</v>
      </c>
      <c r="U354" s="314">
        <f t="shared" si="23"/>
        <v>0.26430321470164059</v>
      </c>
      <c r="V354" s="322">
        <f>'На 10 тыс'!I13</f>
        <v>7.7829087324235982</v>
      </c>
      <c r="W354" s="299">
        <f>'На 10 тыс'!H13</f>
        <v>11.933793389716184</v>
      </c>
      <c r="X354" s="310">
        <f t="shared" si="24"/>
        <v>-0.34782608695652173</v>
      </c>
      <c r="Y354" s="324">
        <f>'На 10 тыс'!L13</f>
        <v>235000</v>
      </c>
      <c r="Z354" s="302">
        <f>'На 10 тыс'!K13</f>
        <v>121221.60869565218</v>
      </c>
      <c r="AA354" s="314">
        <f t="shared" si="25"/>
        <v>0.93859826254251544</v>
      </c>
      <c r="AB354" s="322">
        <f>'На 10 тыс'!O13</f>
        <v>182.89835521195454</v>
      </c>
      <c r="AC354" s="303">
        <f>'На 10 тыс'!N13</f>
        <v>144.66336325429356</v>
      </c>
      <c r="AD354" s="310">
        <f t="shared" si="26"/>
        <v>0.26430321470164075</v>
      </c>
      <c r="AE354" s="320">
        <f>'На 10 тыс'!R13</f>
        <v>2</v>
      </c>
      <c r="AF354" s="299">
        <f>'На 10 тыс'!Q13</f>
        <v>5</v>
      </c>
      <c r="AG354" s="314">
        <f t="shared" si="27"/>
        <v>-0.6</v>
      </c>
      <c r="AH354" s="311">
        <f>AE354/VLOOKUP($O354,НаселГлавы!$A$1:$B$29,2,FALSE)*10000</f>
        <v>0.73260073260073255</v>
      </c>
      <c r="AI354" s="308">
        <f>AF354/VLOOKUP($O354,НаселГлавы!$A$1:$B$29,2,FALSE)*10000</f>
        <v>1.8315018315018314</v>
      </c>
      <c r="AJ354" s="310">
        <f t="shared" si="28"/>
        <v>-0.6</v>
      </c>
      <c r="AK354" s="313">
        <f>Grig1!L24</f>
        <v>1</v>
      </c>
      <c r="AL354" s="304">
        <f>Grig1!K24</f>
        <v>3</v>
      </c>
      <c r="AM354" s="314">
        <f t="shared" si="29"/>
        <v>-0.66666666666666652</v>
      </c>
      <c r="AN354" s="311">
        <f>AK354/VLOOKUP($O354,НаселГлавы!$A$1:$B$29,2,FALSE)*10000</f>
        <v>0.36630036630036628</v>
      </c>
      <c r="AO354" s="308">
        <f>AL354/VLOOKUP($O354,НаселГлавы!$A$1:$B$29,2,FALSE)*10000</f>
        <v>1.098901098901099</v>
      </c>
      <c r="AP354" s="301">
        <f t="shared" si="30"/>
        <v>-0.66666666666666674</v>
      </c>
    </row>
    <row r="355" spans="1:42" x14ac:dyDescent="0.2">
      <c r="N355">
        <v>8</v>
      </c>
      <c r="O355" s="135" t="s">
        <v>177</v>
      </c>
      <c r="P355" s="326">
        <f>'На 10 тыс'!C14</f>
        <v>23</v>
      </c>
      <c r="Q355" s="299">
        <f>'На 10 тыс'!B14</f>
        <v>23</v>
      </c>
      <c r="R355" s="310">
        <f t="shared" si="22"/>
        <v>0</v>
      </c>
      <c r="S355" s="320">
        <f>'На 10 тыс'!F14</f>
        <v>3491326</v>
      </c>
      <c r="T355" s="299">
        <f>'На 10 тыс'!E14</f>
        <v>7835887</v>
      </c>
      <c r="U355" s="314">
        <f t="shared" si="23"/>
        <v>-0.55444405974716071</v>
      </c>
      <c r="V355" s="322">
        <f>'На 10 тыс'!I14</f>
        <v>9.1208311853114949</v>
      </c>
      <c r="W355" s="299">
        <f>'На 10 тыс'!H14</f>
        <v>9.1208311853114949</v>
      </c>
      <c r="X355" s="310">
        <f t="shared" si="24"/>
        <v>0</v>
      </c>
      <c r="Y355" s="324">
        <f>'На 10 тыс'!L14</f>
        <v>151796.78260869565</v>
      </c>
      <c r="Z355" s="302">
        <f>'На 10 тыс'!K14</f>
        <v>340690.73913043475</v>
      </c>
      <c r="AA355" s="314">
        <f t="shared" si="25"/>
        <v>-0.55444405974716071</v>
      </c>
      <c r="AB355" s="322">
        <f>'На 10 тыс'!O14</f>
        <v>138.45128286473411</v>
      </c>
      <c r="AC355" s="303">
        <f>'На 10 тыс'!N14</f>
        <v>310.73827180076933</v>
      </c>
      <c r="AD355" s="310">
        <f t="shared" si="26"/>
        <v>-0.55444405974716071</v>
      </c>
      <c r="AE355" s="320">
        <f>'На 10 тыс'!R14</f>
        <v>1</v>
      </c>
      <c r="AF355" s="299">
        <f>'На 10 тыс'!Q14</f>
        <v>2</v>
      </c>
      <c r="AG355" s="314">
        <f t="shared" si="27"/>
        <v>-0.5</v>
      </c>
      <c r="AH355" s="311">
        <f>AE355/VLOOKUP($O355,НаселГлавы!$A$1:$B$29,2,FALSE)*10000</f>
        <v>0.35971223021582732</v>
      </c>
      <c r="AI355" s="308">
        <f>AF355/VLOOKUP($O355,НаселГлавы!$A$1:$B$29,2,FALSE)*10000</f>
        <v>0.71942446043165464</v>
      </c>
      <c r="AJ355" s="310">
        <f t="shared" si="28"/>
        <v>-0.5</v>
      </c>
      <c r="AK355" s="313">
        <f>Grig1!L26</f>
        <v>1</v>
      </c>
      <c r="AL355" s="304">
        <f>Grig1!K26</f>
        <v>0</v>
      </c>
      <c r="AM355" s="314" t="str">
        <f t="shared" si="29"/>
        <v>--</v>
      </c>
      <c r="AN355" s="311">
        <f>AK355/VLOOKUP($O355,НаселГлавы!$A$1:$B$29,2,FALSE)*10000</f>
        <v>0.35971223021582732</v>
      </c>
      <c r="AO355" s="308">
        <f>AL355/VLOOKUP($O355,НаселГлавы!$A$1:$B$29,2,FALSE)*10000</f>
        <v>0</v>
      </c>
      <c r="AP355" s="301" t="str">
        <f t="shared" si="30"/>
        <v>--</v>
      </c>
    </row>
    <row r="356" spans="1:42" x14ac:dyDescent="0.2">
      <c r="N356">
        <v>9</v>
      </c>
      <c r="O356" s="135" t="s">
        <v>179</v>
      </c>
      <c r="P356" s="326">
        <f>'На 10 тыс'!C15</f>
        <v>9</v>
      </c>
      <c r="Q356" s="299">
        <f>'На 10 тыс'!B15</f>
        <v>12</v>
      </c>
      <c r="R356" s="310">
        <f t="shared" si="22"/>
        <v>-0.25</v>
      </c>
      <c r="S356" s="320">
        <f>'На 10 тыс'!F15</f>
        <v>834500</v>
      </c>
      <c r="T356" s="299">
        <f>'На 10 тыс'!E15</f>
        <v>1534000</v>
      </c>
      <c r="U356" s="314">
        <f t="shared" si="23"/>
        <v>-0.45599739243807041</v>
      </c>
      <c r="V356" s="322">
        <f>'На 10 тыс'!I15</f>
        <v>6.3029623923243925</v>
      </c>
      <c r="W356" s="299">
        <f>'На 10 тыс'!H15</f>
        <v>8.4039498564325221</v>
      </c>
      <c r="X356" s="310">
        <f t="shared" si="24"/>
        <v>-0.24999999999999986</v>
      </c>
      <c r="Y356" s="324">
        <f>'На 10 тыс'!L15</f>
        <v>92722.222222222219</v>
      </c>
      <c r="Z356" s="302">
        <f>'На 10 тыс'!K15</f>
        <v>127833.33333333333</v>
      </c>
      <c r="AA356" s="314">
        <f t="shared" si="25"/>
        <v>-0.27466318991742722</v>
      </c>
      <c r="AB356" s="322">
        <f>'На 10 тыс'!O15</f>
        <v>58.442467959941169</v>
      </c>
      <c r="AC356" s="303">
        <f>'На 10 тыс'!N15</f>
        <v>107.43049233139575</v>
      </c>
      <c r="AD356" s="310">
        <f t="shared" si="26"/>
        <v>-0.45599739243807041</v>
      </c>
      <c r="AE356" s="320">
        <f>'На 10 тыс'!R15</f>
        <v>0</v>
      </c>
      <c r="AF356" s="299">
        <f>'На 10 тыс'!Q15</f>
        <v>0</v>
      </c>
      <c r="AG356" s="314" t="str">
        <f t="shared" si="27"/>
        <v>--</v>
      </c>
      <c r="AH356" s="311">
        <f>AE356/VLOOKUP($O356,НаселГлавы!$A$1:$B$29,2,FALSE)*10000</f>
        <v>0</v>
      </c>
      <c r="AI356" s="308">
        <f>AF356/VLOOKUP($O356,НаселГлавы!$A$1:$B$29,2,FALSE)*10000</f>
        <v>0</v>
      </c>
      <c r="AJ356" s="310" t="str">
        <f t="shared" si="28"/>
        <v>--</v>
      </c>
      <c r="AK356" s="313">
        <f>Grig1!L28</f>
        <v>0</v>
      </c>
      <c r="AL356" s="304">
        <f>Grig1!K28</f>
        <v>0</v>
      </c>
      <c r="AM356" s="314" t="str">
        <f t="shared" si="29"/>
        <v>--</v>
      </c>
      <c r="AN356" s="311">
        <f>AK356/VLOOKUP($O356,НаселГлавы!$A$1:$B$29,2,FALSE)*10000</f>
        <v>0</v>
      </c>
      <c r="AO356" s="308">
        <f>AL356/VLOOKUP($O356,НаселГлавы!$A$1:$B$29,2,FALSE)*10000</f>
        <v>0</v>
      </c>
      <c r="AP356" s="301" t="str">
        <f t="shared" si="30"/>
        <v>--</v>
      </c>
    </row>
    <row r="357" spans="1:42" x14ac:dyDescent="0.2">
      <c r="N357">
        <v>10</v>
      </c>
      <c r="O357" s="135" t="s">
        <v>181</v>
      </c>
      <c r="P357" s="326">
        <f>'На 10 тыс'!C16</f>
        <v>22</v>
      </c>
      <c r="Q357" s="299">
        <f>'На 10 тыс'!B16</f>
        <v>15</v>
      </c>
      <c r="R357" s="310">
        <f t="shared" si="22"/>
        <v>0.46666666666666656</v>
      </c>
      <c r="S357" s="320">
        <f>'На 10 тыс'!F16</f>
        <v>3270000</v>
      </c>
      <c r="T357" s="299">
        <f>'На 10 тыс'!E16</f>
        <v>531000</v>
      </c>
      <c r="U357" s="314">
        <f t="shared" si="23"/>
        <v>5.1581920903954801</v>
      </c>
      <c r="V357" s="322">
        <f>'На 10 тыс'!I16</f>
        <v>15.250242617496188</v>
      </c>
      <c r="W357" s="299">
        <f>'На 10 тыс'!H16</f>
        <v>10.397892693747401</v>
      </c>
      <c r="X357" s="310">
        <f t="shared" si="24"/>
        <v>0.46666666666666656</v>
      </c>
      <c r="Y357" s="324">
        <f>'На 10 тыс'!L16</f>
        <v>148636.36363636365</v>
      </c>
      <c r="Z357" s="302">
        <f>'На 10 тыс'!K16</f>
        <v>35400</v>
      </c>
      <c r="AA357" s="314">
        <f t="shared" si="25"/>
        <v>3.1987673343605554</v>
      </c>
      <c r="AB357" s="322">
        <f>'На 10 тыс'!O16</f>
        <v>226.67406072369334</v>
      </c>
      <c r="AC357" s="303">
        <f>'На 10 тыс'!N16</f>
        <v>36.808540135865798</v>
      </c>
      <c r="AD357" s="310">
        <f t="shared" si="26"/>
        <v>5.1581920903954801</v>
      </c>
      <c r="AE357" s="320">
        <f>'На 10 тыс'!R16</f>
        <v>2</v>
      </c>
      <c r="AF357" s="299">
        <f>'На 10 тыс'!Q16</f>
        <v>1</v>
      </c>
      <c r="AG357" s="314">
        <f t="shared" si="27"/>
        <v>1</v>
      </c>
      <c r="AH357" s="311">
        <f>AE357/VLOOKUP($O357,НаселГлавы!$A$1:$B$29,2,FALSE)*10000</f>
        <v>0.85836909871244638</v>
      </c>
      <c r="AI357" s="308">
        <f>AF357/VLOOKUP($O357,НаселГлавы!$A$1:$B$29,2,FALSE)*10000</f>
        <v>0.42918454935622319</v>
      </c>
      <c r="AJ357" s="310">
        <f t="shared" si="28"/>
        <v>1</v>
      </c>
      <c r="AK357" s="313">
        <f>Grig1!L30</f>
        <v>0</v>
      </c>
      <c r="AL357" s="304">
        <f>Grig1!K30</f>
        <v>0</v>
      </c>
      <c r="AM357" s="314" t="str">
        <f t="shared" si="29"/>
        <v>--</v>
      </c>
      <c r="AN357" s="311">
        <f>AK357/VLOOKUP($O357,НаселГлавы!$A$1:$B$29,2,FALSE)*10000</f>
        <v>0</v>
      </c>
      <c r="AO357" s="308">
        <f>AL357/VLOOKUP($O357,НаселГлавы!$A$1:$B$29,2,FALSE)*10000</f>
        <v>0</v>
      </c>
      <c r="AP357" s="301" t="str">
        <f t="shared" si="30"/>
        <v>--</v>
      </c>
    </row>
    <row r="358" spans="1:42" x14ac:dyDescent="0.2">
      <c r="N358">
        <v>11</v>
      </c>
      <c r="O358" s="135" t="s">
        <v>183</v>
      </c>
      <c r="P358" s="326">
        <f>'На 10 тыс'!C17</f>
        <v>18</v>
      </c>
      <c r="Q358" s="299">
        <f>'На 10 тыс'!B17</f>
        <v>17</v>
      </c>
      <c r="R358" s="310">
        <f t="shared" si="22"/>
        <v>5.8823529411764636E-2</v>
      </c>
      <c r="S358" s="320">
        <f>'На 10 тыс'!F17</f>
        <v>2640000</v>
      </c>
      <c r="T358" s="299">
        <f>'На 10 тыс'!E17</f>
        <v>2221000</v>
      </c>
      <c r="U358" s="314">
        <f t="shared" si="23"/>
        <v>0.18865375956776234</v>
      </c>
      <c r="V358" s="322">
        <f>'На 10 тыс'!I17</f>
        <v>8.0317701128909906</v>
      </c>
      <c r="W358" s="299">
        <f>'На 10 тыс'!H17</f>
        <v>7.5855606621748253</v>
      </c>
      <c r="X358" s="310">
        <f t="shared" si="24"/>
        <v>5.8823529411764497E-2</v>
      </c>
      <c r="Y358" s="324">
        <f>'На 10 тыс'!L17</f>
        <v>146666.66666666666</v>
      </c>
      <c r="Z358" s="302">
        <f>'На 10 тыс'!K17</f>
        <v>130647.05882352941</v>
      </c>
      <c r="AA358" s="314">
        <f t="shared" si="25"/>
        <v>0.12261743959177536</v>
      </c>
      <c r="AB358" s="322">
        <f>'На 10 тыс'!O17</f>
        <v>117.79929498906787</v>
      </c>
      <c r="AC358" s="303">
        <f>'На 10 тыс'!N17</f>
        <v>99.103119004060503</v>
      </c>
      <c r="AD358" s="310">
        <f t="shared" si="26"/>
        <v>0.18865375956776234</v>
      </c>
      <c r="AE358" s="320">
        <f>'На 10 тыс'!R17</f>
        <v>2</v>
      </c>
      <c r="AF358" s="299">
        <f>'На 10 тыс'!Q17</f>
        <v>4</v>
      </c>
      <c r="AG358" s="314">
        <f t="shared" si="27"/>
        <v>-0.5</v>
      </c>
      <c r="AH358" s="311">
        <f>AE358/VLOOKUP($O358,НаселГлавы!$A$1:$B$29,2,FALSE)*10000</f>
        <v>0.70921985815602839</v>
      </c>
      <c r="AI358" s="308">
        <f>AF358/VLOOKUP($O358,НаселГлавы!$A$1:$B$29,2,FALSE)*10000</f>
        <v>1.4184397163120568</v>
      </c>
      <c r="AJ358" s="310">
        <f t="shared" si="28"/>
        <v>-0.5</v>
      </c>
      <c r="AK358" s="313">
        <f>Grig1!L32</f>
        <v>0</v>
      </c>
      <c r="AL358" s="304">
        <f>Grig1!K32</f>
        <v>1</v>
      </c>
      <c r="AM358" s="314">
        <f t="shared" si="29"/>
        <v>-1</v>
      </c>
      <c r="AN358" s="311">
        <f>AK358/VLOOKUP($O358,НаселГлавы!$A$1:$B$29,2,FALSE)*10000</f>
        <v>0</v>
      </c>
      <c r="AO358" s="308">
        <f>AL358/VLOOKUP($O358,НаселГлавы!$A$1:$B$29,2,FALSE)*10000</f>
        <v>0.3546099290780142</v>
      </c>
      <c r="AP358" s="301">
        <f t="shared" si="30"/>
        <v>-1</v>
      </c>
    </row>
    <row r="359" spans="1:42" x14ac:dyDescent="0.2">
      <c r="N359">
        <v>12</v>
      </c>
      <c r="O359" s="135" t="s">
        <v>185</v>
      </c>
      <c r="P359" s="326">
        <f>'На 10 тыс'!C18</f>
        <v>34</v>
      </c>
      <c r="Q359" s="299">
        <f>'На 10 тыс'!B18</f>
        <v>33</v>
      </c>
      <c r="R359" s="310">
        <f t="shared" si="22"/>
        <v>3.0303030303030311E-2</v>
      </c>
      <c r="S359" s="320">
        <f>'На 10 тыс'!F18</f>
        <v>5243000</v>
      </c>
      <c r="T359" s="299">
        <f>'На 10 тыс'!E18</f>
        <v>3552400</v>
      </c>
      <c r="U359" s="314">
        <f t="shared" si="23"/>
        <v>0.47590361445783147</v>
      </c>
      <c r="V359" s="322">
        <f>'На 10 тыс'!I18</f>
        <v>10.300221151807083</v>
      </c>
      <c r="W359" s="299">
        <f>'На 10 тыс'!H18</f>
        <v>9.9972734708715798</v>
      </c>
      <c r="X359" s="310">
        <f t="shared" si="24"/>
        <v>3.0303030303030453E-2</v>
      </c>
      <c r="Y359" s="324">
        <f>'На 10 тыс'!L18</f>
        <v>154205.88235294117</v>
      </c>
      <c r="Z359" s="302">
        <f>'На 10 тыс'!K18</f>
        <v>107648.48484848485</v>
      </c>
      <c r="AA359" s="314">
        <f t="shared" si="25"/>
        <v>0.43249468462083629</v>
      </c>
      <c r="AB359" s="322">
        <f>'На 10 тыс'!O18</f>
        <v>158.83546911448394</v>
      </c>
      <c r="AC359" s="303">
        <f>'На 10 тыс'!N18</f>
        <v>107.61913417552789</v>
      </c>
      <c r="AD359" s="310">
        <f t="shared" si="26"/>
        <v>0.47590361445783147</v>
      </c>
      <c r="AE359" s="320">
        <f>'На 10 тыс'!R18</f>
        <v>4</v>
      </c>
      <c r="AF359" s="299">
        <f>'На 10 тыс'!Q18</f>
        <v>4</v>
      </c>
      <c r="AG359" s="314">
        <f t="shared" si="27"/>
        <v>0</v>
      </c>
      <c r="AH359" s="311">
        <f>AE359/VLOOKUP($O359,НаселГлавы!$A$1:$B$29,2,FALSE)*10000</f>
        <v>1.0610079575596818</v>
      </c>
      <c r="AI359" s="308">
        <f>AF359/VLOOKUP($O359,НаселГлавы!$A$1:$B$29,2,FALSE)*10000</f>
        <v>1.0610079575596818</v>
      </c>
      <c r="AJ359" s="310">
        <f t="shared" si="28"/>
        <v>0</v>
      </c>
      <c r="AK359" s="313">
        <f>Grig1!L34</f>
        <v>0</v>
      </c>
      <c r="AL359" s="304">
        <f>Grig1!K34</f>
        <v>4</v>
      </c>
      <c r="AM359" s="314">
        <f t="shared" si="29"/>
        <v>-1</v>
      </c>
      <c r="AN359" s="311">
        <f>AK359/VLOOKUP($O359,НаселГлавы!$A$1:$B$29,2,FALSE)*10000</f>
        <v>0</v>
      </c>
      <c r="AO359" s="308">
        <f>AL359/VLOOKUP($O359,НаселГлавы!$A$1:$B$29,2,FALSE)*10000</f>
        <v>1.0610079575596818</v>
      </c>
      <c r="AP359" s="301">
        <f t="shared" si="30"/>
        <v>-1</v>
      </c>
    </row>
    <row r="360" spans="1:42" x14ac:dyDescent="0.2">
      <c r="N360">
        <v>13</v>
      </c>
      <c r="O360" s="329" t="s">
        <v>188</v>
      </c>
      <c r="P360" s="326">
        <f>'На 10 тыс'!C19</f>
        <v>50</v>
      </c>
      <c r="Q360" s="299">
        <f>'На 10 тыс'!B19</f>
        <v>28</v>
      </c>
      <c r="R360" s="310">
        <f t="shared" si="22"/>
        <v>0.78571428571428581</v>
      </c>
      <c r="S360" s="320">
        <f>'На 10 тыс'!F19</f>
        <v>4944595</v>
      </c>
      <c r="T360" s="299">
        <f>'На 10 тыс'!E19</f>
        <v>4400546</v>
      </c>
      <c r="U360" s="314">
        <f t="shared" si="23"/>
        <v>0.12363215837307465</v>
      </c>
      <c r="V360" s="322">
        <f>'На 10 тыс'!I19</f>
        <v>3.9659876895742112</v>
      </c>
      <c r="W360" s="299">
        <f>'На 10 тыс'!H19</f>
        <v>2.2209531061615584</v>
      </c>
      <c r="X360" s="310">
        <f t="shared" si="24"/>
        <v>0.78571428571428559</v>
      </c>
      <c r="Y360" s="324">
        <f>'На 10 тыс'!L19</f>
        <v>98891.9</v>
      </c>
      <c r="Z360" s="302">
        <f>'На 10 тыс'!K19</f>
        <v>157162.35714285713</v>
      </c>
      <c r="AA360" s="314">
        <f t="shared" ref="AA360:AA368" si="31">IF(Z360=0,"--",(((Y360*100)/Z360)-100)/100)</f>
        <v>-0.37076599131107818</v>
      </c>
      <c r="AB360" s="322">
        <f>'На 10 тыс'!O19</f>
        <v>39.220405799860394</v>
      </c>
      <c r="AC360" s="303">
        <f>'На 10 тыс'!N19</f>
        <v>34.905022526810079</v>
      </c>
      <c r="AD360" s="310">
        <f t="shared" si="26"/>
        <v>0.12363215837307451</v>
      </c>
      <c r="AE360" s="320">
        <f>'На 10 тыс'!R19</f>
        <v>1</v>
      </c>
      <c r="AF360" s="299">
        <f>'На 10 тыс'!Q19</f>
        <v>1</v>
      </c>
      <c r="AG360" s="314">
        <f t="shared" si="27"/>
        <v>0</v>
      </c>
      <c r="AH360" s="311">
        <f>AE360/VLOOKUP($O360,НаселГлавы!$A$1:$B$29,2,FALSE)*10000</f>
        <v>7.8308535630383716E-2</v>
      </c>
      <c r="AI360" s="308">
        <f>AF360/VLOOKUP($O360,НаселГлавы!$A$1:$B$29,2,FALSE)*10000</f>
        <v>7.8308535630383716E-2</v>
      </c>
      <c r="AJ360" s="310">
        <f t="shared" si="28"/>
        <v>0</v>
      </c>
      <c r="AK360" s="313">
        <f>Grig1!L37</f>
        <v>11</v>
      </c>
      <c r="AL360" s="304">
        <f>Grig1!K37</f>
        <v>3</v>
      </c>
      <c r="AM360" s="314">
        <f t="shared" si="29"/>
        <v>2.666666666666667</v>
      </c>
      <c r="AN360" s="311">
        <f>AK360/VLOOKUP($O360,НаселГлавы!$A$1:$B$29,2,FALSE)*10000</f>
        <v>0.86139389193422089</v>
      </c>
      <c r="AO360" s="308">
        <f>AL360/VLOOKUP($O360,НаселГлавы!$A$1:$B$29,2,FALSE)*10000</f>
        <v>0.23492560689115113</v>
      </c>
      <c r="AP360" s="301">
        <f t="shared" si="30"/>
        <v>2.666666666666667</v>
      </c>
    </row>
    <row r="361" spans="1:42" x14ac:dyDescent="0.2">
      <c r="N361">
        <v>14</v>
      </c>
      <c r="O361" s="135" t="s">
        <v>189</v>
      </c>
      <c r="P361" s="326">
        <f>'На 10 тыс'!C20</f>
        <v>14</v>
      </c>
      <c r="Q361" s="299">
        <f>'На 10 тыс'!B20</f>
        <v>13</v>
      </c>
      <c r="R361" s="310">
        <f t="shared" si="22"/>
        <v>7.6923076923076927E-2</v>
      </c>
      <c r="S361" s="320">
        <f>'На 10 тыс'!F20</f>
        <v>4295500</v>
      </c>
      <c r="T361" s="299">
        <f>'На 10 тыс'!E20</f>
        <v>1065700</v>
      </c>
      <c r="U361" s="314">
        <f t="shared" si="23"/>
        <v>3.0306840574270435</v>
      </c>
      <c r="V361" s="322">
        <f>'На 10 тыс'!I20</f>
        <v>11.105822624147232</v>
      </c>
      <c r="W361" s="299">
        <f>'На 10 тыс'!H20</f>
        <v>10.312549579565287</v>
      </c>
      <c r="X361" s="310">
        <f t="shared" si="24"/>
        <v>7.6923076923076789E-2</v>
      </c>
      <c r="Y361" s="324">
        <f>'На 10 тыс'!L20</f>
        <v>306821.42857142858</v>
      </c>
      <c r="Z361" s="302">
        <f>'На 10 тыс'!K20</f>
        <v>81976.923076923078</v>
      </c>
      <c r="AA361" s="314">
        <f t="shared" si="31"/>
        <v>2.7427780533251114</v>
      </c>
      <c r="AB361" s="322">
        <f>'На 10 тыс'!O20</f>
        <v>340.7504363001745</v>
      </c>
      <c r="AC361" s="303">
        <f>'На 10 тыс'!N20</f>
        <v>84.539108361097888</v>
      </c>
      <c r="AD361" s="310">
        <f t="shared" si="26"/>
        <v>3.0306840574270426</v>
      </c>
      <c r="AE361" s="320">
        <f>'На 10 тыс'!R20</f>
        <v>1</v>
      </c>
      <c r="AF361" s="299">
        <f>'На 10 тыс'!Q20</f>
        <v>0</v>
      </c>
      <c r="AG361" s="314" t="str">
        <f t="shared" si="27"/>
        <v>--</v>
      </c>
      <c r="AH361" s="311">
        <f>AE361/VLOOKUP($O361,НаселГлавы!$A$1:$B$29,2,FALSE)*10000</f>
        <v>0.52356020942408377</v>
      </c>
      <c r="AI361" s="308">
        <f>AF361/VLOOKUP($O361,НаселГлавы!$A$1:$B$29,2,FALSE)*10000</f>
        <v>0</v>
      </c>
      <c r="AJ361" s="310" t="str">
        <f t="shared" si="28"/>
        <v>--</v>
      </c>
      <c r="AK361" s="313">
        <f>Grig1!L38</f>
        <v>2</v>
      </c>
      <c r="AL361" s="304">
        <f>Grig1!K38</f>
        <v>1</v>
      </c>
      <c r="AM361" s="314">
        <f t="shared" si="29"/>
        <v>1</v>
      </c>
      <c r="AN361" s="311">
        <f>AK361/VLOOKUP($O361,НаселГлавы!$A$1:$B$29,2,FALSE)*10000</f>
        <v>1.0471204188481675</v>
      </c>
      <c r="AO361" s="308">
        <f>AL361/VLOOKUP($O361,НаселГлавы!$A$1:$B$29,2,FALSE)*10000</f>
        <v>0.52356020942408377</v>
      </c>
      <c r="AP361" s="301">
        <f t="shared" si="30"/>
        <v>1</v>
      </c>
    </row>
    <row r="362" spans="1:42" x14ac:dyDescent="0.2">
      <c r="N362">
        <v>15</v>
      </c>
      <c r="O362" s="135" t="s">
        <v>191</v>
      </c>
      <c r="P362" s="326">
        <f>'На 10 тыс'!C21</f>
        <v>24</v>
      </c>
      <c r="Q362" s="299">
        <f>'На 10 тыс'!B21</f>
        <v>20</v>
      </c>
      <c r="R362" s="310">
        <f t="shared" si="22"/>
        <v>0.2</v>
      </c>
      <c r="S362" s="320">
        <f>'На 10 тыс'!F21</f>
        <v>4055000</v>
      </c>
      <c r="T362" s="299">
        <f>'На 10 тыс'!E21</f>
        <v>2736242</v>
      </c>
      <c r="U362" s="314">
        <f t="shared" si="23"/>
        <v>0.48195956351813918</v>
      </c>
      <c r="V362" s="322">
        <f>'На 10 тыс'!I21</f>
        <v>10.438413361169101</v>
      </c>
      <c r="W362" s="299">
        <f>'На 10 тыс'!H21</f>
        <v>8.6986778009742522</v>
      </c>
      <c r="X362" s="310">
        <f t="shared" si="24"/>
        <v>0.19999999999999971</v>
      </c>
      <c r="Y362" s="324">
        <f>'На 10 тыс'!L21</f>
        <v>168958.33333333334</v>
      </c>
      <c r="Z362" s="302">
        <f>'На 10 тыс'!K21</f>
        <v>136812.1</v>
      </c>
      <c r="AA362" s="314">
        <f t="shared" si="31"/>
        <v>0.23496630293178269</v>
      </c>
      <c r="AB362" s="322">
        <f>'На 10 тыс'!O21</f>
        <v>176.36569241475297</v>
      </c>
      <c r="AC362" s="303">
        <f>'На 10 тыс'!N21</f>
        <v>119.00843771746695</v>
      </c>
      <c r="AD362" s="310">
        <f t="shared" si="26"/>
        <v>0.48195956351813918</v>
      </c>
      <c r="AE362" s="320">
        <f>'На 10 тыс'!R21</f>
        <v>3</v>
      </c>
      <c r="AF362" s="299">
        <f>'На 10 тыс'!Q21</f>
        <v>1</v>
      </c>
      <c r="AG362" s="314">
        <f t="shared" si="27"/>
        <v>2</v>
      </c>
      <c r="AH362" s="311">
        <f>AE362/VLOOKUP($O362,НаселГлавы!$A$1:$B$29,2,FALSE)*10000</f>
        <v>1.0309278350515465</v>
      </c>
      <c r="AI362" s="308">
        <f>AF362/VLOOKUP($O362,НаселГлавы!$A$1:$B$29,2,FALSE)*10000</f>
        <v>0.34364261168384874</v>
      </c>
      <c r="AJ362" s="310">
        <f t="shared" si="28"/>
        <v>2.0000000000000013</v>
      </c>
      <c r="AK362" s="313">
        <f>Grig1!L40</f>
        <v>2</v>
      </c>
      <c r="AL362" s="304">
        <f>Grig1!K40</f>
        <v>1</v>
      </c>
      <c r="AM362" s="314">
        <f t="shared" si="29"/>
        <v>1</v>
      </c>
      <c r="AN362" s="311">
        <f>AK362/VLOOKUP($O362,НаселГлавы!$A$1:$B$29,2,FALSE)*10000</f>
        <v>0.68728522336769748</v>
      </c>
      <c r="AO362" s="308">
        <f>AL362/VLOOKUP($O362,НаселГлавы!$A$1:$B$29,2,FALSE)*10000</f>
        <v>0.34364261168384874</v>
      </c>
      <c r="AP362" s="301">
        <f t="shared" si="30"/>
        <v>0.99999999999999967</v>
      </c>
    </row>
    <row r="363" spans="1:42" x14ac:dyDescent="0.2">
      <c r="N363">
        <v>16</v>
      </c>
      <c r="O363" s="135" t="s">
        <v>193</v>
      </c>
      <c r="P363" s="326">
        <f>'На 10 тыс'!C22</f>
        <v>27</v>
      </c>
      <c r="Q363" s="299">
        <f>'На 10 тыс'!B22</f>
        <v>39</v>
      </c>
      <c r="R363" s="310">
        <f t="shared" si="22"/>
        <v>-0.30769230769230771</v>
      </c>
      <c r="S363" s="320">
        <f>'На 10 тыс'!F22</f>
        <v>4650100</v>
      </c>
      <c r="T363" s="299">
        <f>'На 10 тыс'!E22</f>
        <v>4217000</v>
      </c>
      <c r="U363" s="314">
        <f t="shared" si="23"/>
        <v>0.10270334360920089</v>
      </c>
      <c r="V363" s="322">
        <f>'На 10 тыс'!I22</f>
        <v>7.4952113927213162</v>
      </c>
      <c r="W363" s="299">
        <f>'На 10 тыс'!H22</f>
        <v>10.826416456153012</v>
      </c>
      <c r="X363" s="310">
        <f t="shared" si="24"/>
        <v>-0.3076923076923076</v>
      </c>
      <c r="Y363" s="324">
        <f>'На 10 тыс'!L22</f>
        <v>172225.92592592593</v>
      </c>
      <c r="Z363" s="302">
        <f>'На 10 тыс'!K22</f>
        <v>108128.20512820513</v>
      </c>
      <c r="AA363" s="314">
        <f t="shared" si="31"/>
        <v>0.59279371854662344</v>
      </c>
      <c r="AB363" s="322">
        <f>'На 10 тыс'!O22</f>
        <v>129.08697221219776</v>
      </c>
      <c r="AC363" s="303">
        <f>'На 10 тыс'!N22</f>
        <v>117.06409793742887</v>
      </c>
      <c r="AD363" s="310">
        <f t="shared" si="26"/>
        <v>0.10270334360920075</v>
      </c>
      <c r="AE363" s="320">
        <f>'На 10 тыс'!R22</f>
        <v>2</v>
      </c>
      <c r="AF363" s="299">
        <f>'На 10 тыс'!Q22</f>
        <v>1</v>
      </c>
      <c r="AG363" s="314">
        <f t="shared" si="27"/>
        <v>1</v>
      </c>
      <c r="AH363" s="311">
        <f>AE363/VLOOKUP($O363,НаселГлавы!$A$1:$B$29,2,FALSE)*10000</f>
        <v>0.5376344086021505</v>
      </c>
      <c r="AI363" s="308">
        <f>AF363/VLOOKUP($O363,НаселГлавы!$A$1:$B$29,2,FALSE)*10000</f>
        <v>0.26881720430107525</v>
      </c>
      <c r="AJ363" s="310">
        <f t="shared" si="28"/>
        <v>1</v>
      </c>
      <c r="AK363" s="313">
        <f>Grig1!L42</f>
        <v>7</v>
      </c>
      <c r="AL363" s="304">
        <f>Grig1!K42</f>
        <v>4</v>
      </c>
      <c r="AM363" s="314">
        <f t="shared" si="29"/>
        <v>0.75</v>
      </c>
      <c r="AN363" s="311">
        <f>AK363/VLOOKUP($O363,НаселГлавы!$A$1:$B$29,2,FALSE)*10000</f>
        <v>1.881720430107527</v>
      </c>
      <c r="AO363" s="308">
        <f>AL363/VLOOKUP($O363,НаселГлавы!$A$1:$B$29,2,FALSE)*10000</f>
        <v>1.075268817204301</v>
      </c>
      <c r="AP363" s="301">
        <f t="shared" si="30"/>
        <v>0.75000000000000033</v>
      </c>
    </row>
    <row r="364" spans="1:42" x14ac:dyDescent="0.2">
      <c r="N364">
        <v>17</v>
      </c>
      <c r="O364" s="135" t="s">
        <v>195</v>
      </c>
      <c r="P364" s="326">
        <f>'На 10 тыс'!C23</f>
        <v>55</v>
      </c>
      <c r="Q364" s="299">
        <f>'На 10 тыс'!B23</f>
        <v>57</v>
      </c>
      <c r="R364" s="310">
        <f t="shared" si="22"/>
        <v>-3.5087719298245619E-2</v>
      </c>
      <c r="S364" s="320">
        <f>'На 10 тыс'!F23</f>
        <v>7905161</v>
      </c>
      <c r="T364" s="299">
        <f>'На 10 тыс'!E23</f>
        <v>14510418</v>
      </c>
      <c r="U364" s="314">
        <f t="shared" si="23"/>
        <v>-0.45520790648484422</v>
      </c>
      <c r="V364" s="322">
        <f>'На 10 тыс'!I23</f>
        <v>8.8364769769608955</v>
      </c>
      <c r="W364" s="299">
        <f>'На 10 тыс'!H23</f>
        <v>9.1578034124867447</v>
      </c>
      <c r="X364" s="310">
        <f t="shared" si="24"/>
        <v>-3.5087719298245335E-2</v>
      </c>
      <c r="Y364" s="324">
        <f>'На 10 тыс'!L23</f>
        <v>143730.20000000001</v>
      </c>
      <c r="Z364" s="302">
        <f>'На 10 тыс'!K23</f>
        <v>254568.73684210525</v>
      </c>
      <c r="AA364" s="314">
        <f t="shared" si="31"/>
        <v>-0.43539728490247476</v>
      </c>
      <c r="AB364" s="322">
        <f>'На 10 тыс'!O23</f>
        <v>127.00686031939847</v>
      </c>
      <c r="AC364" s="303">
        <f>'На 10 тыс'!N23</f>
        <v>233.12904469650718</v>
      </c>
      <c r="AD364" s="310">
        <f t="shared" si="26"/>
        <v>-0.45520790648484422</v>
      </c>
      <c r="AE364" s="320">
        <f>'На 10 тыс'!R23</f>
        <v>3</v>
      </c>
      <c r="AF364" s="299">
        <f>'На 10 тыс'!Q23</f>
        <v>6</v>
      </c>
      <c r="AG364" s="314">
        <f t="shared" si="27"/>
        <v>-0.5</v>
      </c>
      <c r="AH364" s="311">
        <f>AE364/VLOOKUP($O364,НаселГлавы!$A$1:$B$29,2,FALSE)*10000</f>
        <v>0.51813471502590669</v>
      </c>
      <c r="AI364" s="308">
        <f>AF364/VLOOKUP($O364,НаселГлавы!$A$1:$B$29,2,FALSE)*10000</f>
        <v>1.0362694300518134</v>
      </c>
      <c r="AJ364" s="310">
        <f t="shared" si="28"/>
        <v>-0.5</v>
      </c>
      <c r="AK364" s="313">
        <f>Grig1!L44</f>
        <v>2</v>
      </c>
      <c r="AL364" s="304">
        <f>Grig1!K44</f>
        <v>4</v>
      </c>
      <c r="AM364" s="314">
        <f t="shared" si="29"/>
        <v>-0.5</v>
      </c>
      <c r="AN364" s="311">
        <f>AK364/VLOOKUP($O364,НаселГлавы!$A$1:$B$29,2,FALSE)*10000</f>
        <v>0.34542314335060453</v>
      </c>
      <c r="AO364" s="308">
        <f>AL364/VLOOKUP($O364,НаселГлавы!$A$1:$B$29,2,FALSE)*10000</f>
        <v>0.69084628670120907</v>
      </c>
      <c r="AP364" s="301">
        <f t="shared" si="30"/>
        <v>-0.5</v>
      </c>
    </row>
    <row r="365" spans="1:42" x14ac:dyDescent="0.2">
      <c r="N365">
        <v>18</v>
      </c>
      <c r="O365" s="135" t="s">
        <v>197</v>
      </c>
      <c r="P365" s="326">
        <f>'На 10 тыс'!C24</f>
        <v>16</v>
      </c>
      <c r="Q365" s="299">
        <f>'На 10 тыс'!B24</f>
        <v>9</v>
      </c>
      <c r="R365" s="310">
        <f t="shared" si="22"/>
        <v>0.77777777777777768</v>
      </c>
      <c r="S365" s="320">
        <f>'На 10 тыс'!F24</f>
        <v>2231136</v>
      </c>
      <c r="T365" s="299">
        <f>'На 10 тыс'!E24</f>
        <v>906000</v>
      </c>
      <c r="U365" s="314">
        <f t="shared" si="23"/>
        <v>1.4626225165562914</v>
      </c>
      <c r="V365" s="322">
        <f>'На 10 тыс'!I24</f>
        <v>12.729731880022277</v>
      </c>
      <c r="W365" s="299">
        <f>'На 10 тыс'!H24</f>
        <v>7.1604741825125311</v>
      </c>
      <c r="X365" s="310">
        <f t="shared" si="24"/>
        <v>0.77777777777777768</v>
      </c>
      <c r="Y365" s="324">
        <f>'На 10 тыс'!L24</f>
        <v>139446</v>
      </c>
      <c r="Z365" s="302">
        <f>'На 10 тыс'!K24</f>
        <v>100666.66666666667</v>
      </c>
      <c r="AA365" s="314">
        <f t="shared" si="31"/>
        <v>0.38522516556291381</v>
      </c>
      <c r="AB365" s="322">
        <f>'На 10 тыс'!O24</f>
        <v>177.51101917415863</v>
      </c>
      <c r="AC365" s="303">
        <f>'На 10 тыс'!N24</f>
        <v>72.08210677062614</v>
      </c>
      <c r="AD365" s="310">
        <f t="shared" si="26"/>
        <v>1.4626225165562914</v>
      </c>
      <c r="AE365" s="320">
        <f>'На 10 тыс'!R24</f>
        <v>2</v>
      </c>
      <c r="AF365" s="299">
        <f>'На 10 тыс'!Q24</f>
        <v>1</v>
      </c>
      <c r="AG365" s="314">
        <f t="shared" si="27"/>
        <v>1</v>
      </c>
      <c r="AH365" s="311">
        <f>AE365/VLOOKUP($O365,НаселГлавы!$A$1:$B$29,2,FALSE)*10000</f>
        <v>1.1560693641618496</v>
      </c>
      <c r="AI365" s="308">
        <f>AF365/VLOOKUP($O365,НаселГлавы!$A$1:$B$29,2,FALSE)*10000</f>
        <v>0.57803468208092479</v>
      </c>
      <c r="AJ365" s="310">
        <f t="shared" si="28"/>
        <v>1</v>
      </c>
      <c r="AK365" s="313">
        <f>Grig1!L46</f>
        <v>1</v>
      </c>
      <c r="AL365" s="304">
        <f>Grig1!K46</f>
        <v>1</v>
      </c>
      <c r="AM365" s="314">
        <f t="shared" si="29"/>
        <v>0</v>
      </c>
      <c r="AN365" s="311">
        <f>AK365/VLOOKUP($O365,НаселГлавы!$A$1:$B$29,2,FALSE)*10000</f>
        <v>0.57803468208092479</v>
      </c>
      <c r="AO365" s="308">
        <f>AL365/VLOOKUP($O365,НаселГлавы!$A$1:$B$29,2,FALSE)*10000</f>
        <v>0.57803468208092479</v>
      </c>
      <c r="AP365" s="301">
        <f t="shared" si="30"/>
        <v>0</v>
      </c>
    </row>
    <row r="366" spans="1:42" x14ac:dyDescent="0.2">
      <c r="N366">
        <v>19</v>
      </c>
      <c r="O366" s="135" t="s">
        <v>199</v>
      </c>
      <c r="P366" s="326">
        <f>'На 10 тыс'!C25</f>
        <v>14</v>
      </c>
      <c r="Q366" s="299">
        <f>'На 10 тыс'!B25</f>
        <v>16</v>
      </c>
      <c r="R366" s="310">
        <f t="shared" si="22"/>
        <v>-0.125</v>
      </c>
      <c r="S366" s="320">
        <f>'На 10 тыс'!F25</f>
        <v>2034500</v>
      </c>
      <c r="T366" s="299">
        <f>'На 10 тыс'!E25</f>
        <v>2000000</v>
      </c>
      <c r="U366" s="314">
        <f t="shared" si="23"/>
        <v>1.7249999999999942E-2</v>
      </c>
      <c r="V366" s="322">
        <f>'На 10 тыс'!I25</f>
        <v>15.339103758080421</v>
      </c>
      <c r="W366" s="299">
        <f>'На 10 тыс'!H25</f>
        <v>17.530404294949054</v>
      </c>
      <c r="X366" s="310">
        <f t="shared" si="24"/>
        <v>-0.12500000000000014</v>
      </c>
      <c r="Y366" s="324">
        <f>'На 10 тыс'!L25</f>
        <v>145321.42857142858</v>
      </c>
      <c r="Z366" s="302">
        <f>'На 10 тыс'!K25</f>
        <v>125000</v>
      </c>
      <c r="AA366" s="314">
        <f t="shared" si="31"/>
        <v>0.16257142857142867</v>
      </c>
      <c r="AB366" s="322">
        <f>'На 10 тыс'!O25</f>
        <v>222.91004711296154</v>
      </c>
      <c r="AC366" s="303">
        <f>'На 10 тыс'!N25</f>
        <v>219.13005368686316</v>
      </c>
      <c r="AD366" s="310">
        <f t="shared" si="26"/>
        <v>1.7249999999999942E-2</v>
      </c>
      <c r="AE366" s="320">
        <f>'На 10 тыс'!R25</f>
        <v>3</v>
      </c>
      <c r="AF366" s="299">
        <f>'На 10 тыс'!Q25</f>
        <v>0</v>
      </c>
      <c r="AG366" s="314" t="str">
        <f t="shared" si="27"/>
        <v>--</v>
      </c>
      <c r="AH366" s="311">
        <f>AE366/VLOOKUP($O366,НаселГлавы!$A$1:$B$29,2,FALSE)*10000</f>
        <v>1.4084507042253522</v>
      </c>
      <c r="AI366" s="308">
        <f>AF366/VLOOKUP($O366,НаселГлавы!$A$1:$B$29,2,FALSE)*10000</f>
        <v>0</v>
      </c>
      <c r="AJ366" s="310" t="str">
        <f t="shared" si="28"/>
        <v>--</v>
      </c>
      <c r="AK366" s="313">
        <f>Grig1!L48</f>
        <v>2</v>
      </c>
      <c r="AL366" s="304">
        <f>Grig1!K48</f>
        <v>0</v>
      </c>
      <c r="AM366" s="314" t="str">
        <f t="shared" si="29"/>
        <v>--</v>
      </c>
      <c r="AN366" s="311">
        <f>AK366/VLOOKUP($O366,НаселГлавы!$A$1:$B$29,2,FALSE)*10000</f>
        <v>0.93896713615023475</v>
      </c>
      <c r="AO366" s="308">
        <f>AL366/VLOOKUP($O366,НаселГлавы!$A$1:$B$29,2,FALSE)*10000</f>
        <v>0</v>
      </c>
      <c r="AP366" s="301" t="str">
        <f t="shared" si="30"/>
        <v>--</v>
      </c>
    </row>
    <row r="367" spans="1:42" x14ac:dyDescent="0.2">
      <c r="N367">
        <v>20</v>
      </c>
      <c r="O367" s="135" t="s">
        <v>201</v>
      </c>
      <c r="P367" s="326">
        <f>'На 10 тыс'!C27</f>
        <v>25</v>
      </c>
      <c r="Q367" s="299">
        <f>'На 10 тыс'!B27</f>
        <v>29</v>
      </c>
      <c r="R367" s="310">
        <f t="shared" si="22"/>
        <v>-0.13793103448275856</v>
      </c>
      <c r="S367" s="320">
        <f>'На 10 тыс'!F27</f>
        <v>3005000</v>
      </c>
      <c r="T367" s="299">
        <f>'На 10 тыс'!E27</f>
        <v>6138347</v>
      </c>
      <c r="U367" s="314">
        <f t="shared" si="23"/>
        <v>-0.51045452464645613</v>
      </c>
      <c r="V367" s="322">
        <f>'На 10 тыс'!I27</f>
        <v>9.5914061001342787</v>
      </c>
      <c r="W367" s="299">
        <f>'На 10 тыс'!H27</f>
        <v>11.126031076155764</v>
      </c>
      <c r="X367" s="310">
        <f t="shared" si="24"/>
        <v>-0.13793103448275856</v>
      </c>
      <c r="Y367" s="324">
        <f>'На 10 тыс'!L27</f>
        <v>120200</v>
      </c>
      <c r="Z367" s="302">
        <f>'На 10 тыс'!K27</f>
        <v>211667.13793103449</v>
      </c>
      <c r="AA367" s="314">
        <f t="shared" si="31"/>
        <v>-0.43212724858988916</v>
      </c>
      <c r="AB367" s="322">
        <f>'На 10 тыс'!O27</f>
        <v>115.28870132361403</v>
      </c>
      <c r="AC367" s="303">
        <f>'На 10 тыс'!N27</f>
        <v>235.50151544216382</v>
      </c>
      <c r="AD367" s="310">
        <f t="shared" si="26"/>
        <v>-0.51045452464645613</v>
      </c>
      <c r="AE367" s="320">
        <f>'На 10 тыс'!R27</f>
        <v>4</v>
      </c>
      <c r="AF367" s="299">
        <f>'На 10 тыс'!Q27</f>
        <v>1</v>
      </c>
      <c r="AG367" s="314">
        <f t="shared" si="27"/>
        <v>3</v>
      </c>
      <c r="AH367" s="311">
        <f>AE367/VLOOKUP($O367,НаселГлавы!$A$1:$B$29,2,FALSE)*10000</f>
        <v>1.1019283746556474</v>
      </c>
      <c r="AI367" s="308">
        <f>AF367/VLOOKUP($O367,НаселГлавы!$A$1:$B$29,2,FALSE)*10000</f>
        <v>0.27548209366391185</v>
      </c>
      <c r="AJ367" s="310">
        <f t="shared" si="28"/>
        <v>3</v>
      </c>
      <c r="AK367" s="313">
        <f>Grig1!L50</f>
        <v>3</v>
      </c>
      <c r="AL367" s="304">
        <f>Grig1!K50</f>
        <v>1</v>
      </c>
      <c r="AM367" s="314">
        <f t="shared" si="29"/>
        <v>2</v>
      </c>
      <c r="AN367" s="311">
        <f>AK367/VLOOKUP($O367,НаселГлавы!$A$1:$B$29,2,FALSE)*10000</f>
        <v>0.82644628099173556</v>
      </c>
      <c r="AO367" s="308">
        <f>AL367/VLOOKUP($O367,НаселГлавы!$A$1:$B$29,2,FALSE)*10000</f>
        <v>0.27548209366391185</v>
      </c>
      <c r="AP367" s="301">
        <f t="shared" si="30"/>
        <v>2</v>
      </c>
    </row>
    <row r="368" spans="1:42" x14ac:dyDescent="0.2">
      <c r="A368" t="s">
        <v>244</v>
      </c>
      <c r="N368">
        <v>21</v>
      </c>
      <c r="O368" s="135" t="s">
        <v>203</v>
      </c>
      <c r="P368" s="326">
        <f>'На 10 тыс'!C28</f>
        <v>15</v>
      </c>
      <c r="Q368" s="299">
        <f>'На 10 тыс'!B28</f>
        <v>14</v>
      </c>
      <c r="R368" s="310">
        <f t="shared" si="22"/>
        <v>7.1428571428571383E-2</v>
      </c>
      <c r="S368" s="320">
        <f>'На 10 тыс'!F28</f>
        <v>1374528</v>
      </c>
      <c r="T368" s="299">
        <f>'На 10 тыс'!E28</f>
        <v>784000</v>
      </c>
      <c r="U368" s="314">
        <f t="shared" si="23"/>
        <v>0.75322448979591827</v>
      </c>
      <c r="V368" s="322">
        <f>'На 10 тыс'!I28</f>
        <v>8.6560101563852498</v>
      </c>
      <c r="W368" s="299">
        <f>'На 10 тыс'!H28</f>
        <v>8.0789428126262326</v>
      </c>
      <c r="X368" s="310">
        <f t="shared" si="24"/>
        <v>7.1428571428571536E-2</v>
      </c>
      <c r="Y368" s="324">
        <f>'На 10 тыс'!L28</f>
        <v>91635.199999999997</v>
      </c>
      <c r="Z368" s="302">
        <f>'На 10 тыс'!K28</f>
        <v>56000</v>
      </c>
      <c r="AA368" s="314">
        <f t="shared" si="31"/>
        <v>0.6363428571428571</v>
      </c>
      <c r="AB368" s="322">
        <f>'На 10 тыс'!O28</f>
        <v>79.319522188239361</v>
      </c>
      <c r="AC368" s="303">
        <f>'На 10 тыс'!N28</f>
        <v>45.242079750706907</v>
      </c>
      <c r="AD368" s="310">
        <f t="shared" si="26"/>
        <v>0.75322448979591827</v>
      </c>
      <c r="AE368" s="320">
        <f>'На 10 тыс'!R28</f>
        <v>5</v>
      </c>
      <c r="AF368" s="299">
        <f>'На 10 тыс'!Q28</f>
        <v>2</v>
      </c>
      <c r="AG368" s="314">
        <f t="shared" si="27"/>
        <v>1.5</v>
      </c>
      <c r="AH368" s="311">
        <f>AE368/VLOOKUP($O368,НаселГлавы!$A$1:$B$29,2,FALSE)*10000</f>
        <v>1.893939393939394</v>
      </c>
      <c r="AI368" s="308">
        <f>AF368/VLOOKUP($O368,НаселГлавы!$A$1:$B$29,2,FALSE)*10000</f>
        <v>0.75757575757575757</v>
      </c>
      <c r="AJ368" s="310">
        <f t="shared" si="28"/>
        <v>1.5000000000000002</v>
      </c>
      <c r="AK368" s="313">
        <f>Grig1!L52</f>
        <v>0</v>
      </c>
      <c r="AL368" s="304">
        <f>Grig1!K52</f>
        <v>2</v>
      </c>
      <c r="AM368" s="314">
        <f t="shared" si="29"/>
        <v>-1</v>
      </c>
      <c r="AN368" s="311">
        <f>AK368/VLOOKUP($O368,НаселГлавы!$A$1:$B$29,2,FALSE)*10000</f>
        <v>0</v>
      </c>
      <c r="AO368" s="308">
        <f>AL368/VLOOKUP($O368,НаселГлавы!$A$1:$B$29,2,FALSE)*10000</f>
        <v>0.75757575757575757</v>
      </c>
      <c r="AP368" s="301">
        <f t="shared" si="30"/>
        <v>-1</v>
      </c>
    </row>
    <row r="369" spans="14:42" x14ac:dyDescent="0.2">
      <c r="N369">
        <v>22</v>
      </c>
      <c r="O369" s="135" t="s">
        <v>205</v>
      </c>
      <c r="P369" s="326">
        <f>'На 10 тыс'!C29</f>
        <v>11</v>
      </c>
      <c r="Q369" s="299">
        <f>'На 10 тыс'!B29</f>
        <v>8</v>
      </c>
      <c r="R369" s="310">
        <f t="shared" si="22"/>
        <v>0.375</v>
      </c>
      <c r="S369" s="320">
        <f>'На 10 тыс'!F29</f>
        <v>5335325</v>
      </c>
      <c r="T369" s="299">
        <f>'На 10 тыс'!E29</f>
        <v>938800</v>
      </c>
      <c r="U369" s="314">
        <f t="shared" si="23"/>
        <v>4.6831327226246273</v>
      </c>
      <c r="V369" s="322">
        <f>'На 10 тыс'!I29</f>
        <v>7.4234039681468484</v>
      </c>
      <c r="W369" s="299">
        <f>'На 10 тыс'!H29</f>
        <v>5.3988392495613446</v>
      </c>
      <c r="X369" s="310">
        <f t="shared" si="24"/>
        <v>0.375</v>
      </c>
      <c r="Y369" s="324">
        <f>'На 10 тыс'!L29</f>
        <v>485029.54545454547</v>
      </c>
      <c r="Z369" s="302">
        <f>'На 10 тыс'!K29</f>
        <v>117350</v>
      </c>
      <c r="AA369" s="314">
        <f>IF(Z369=0,"--",(((Y369*100)/Z369)-100)/100)</f>
        <v>3.1331874346360928</v>
      </c>
      <c r="AB369" s="322">
        <f>'На 10 тыс'!O29</f>
        <v>360.05702523957348</v>
      </c>
      <c r="AC369" s="303">
        <f>'На 10 тыс'!N29</f>
        <v>63.355378593602374</v>
      </c>
      <c r="AD369" s="310">
        <f t="shared" si="26"/>
        <v>4.6831327226246273</v>
      </c>
      <c r="AE369" s="320">
        <f>'На 10 тыс'!R29</f>
        <v>1</v>
      </c>
      <c r="AF369" s="299">
        <f>'На 10 тыс'!Q29</f>
        <v>3</v>
      </c>
      <c r="AG369" s="314">
        <f t="shared" si="27"/>
        <v>-0.66666666666666652</v>
      </c>
      <c r="AH369" s="311">
        <f>AE369/VLOOKUP($O369,НаселГлавы!$A$1:$B$29,2,FALSE)*10000</f>
        <v>0.51546391752577325</v>
      </c>
      <c r="AI369" s="308">
        <f>AF369/VLOOKUP($O369,НаселГлавы!$A$1:$B$29,2,FALSE)*10000</f>
        <v>1.5463917525773194</v>
      </c>
      <c r="AJ369" s="310">
        <f t="shared" si="28"/>
        <v>-0.66666666666666652</v>
      </c>
      <c r="AK369" s="313">
        <f>Grig1!L54</f>
        <v>0</v>
      </c>
      <c r="AL369" s="304">
        <f>Grig1!K54</f>
        <v>0</v>
      </c>
      <c r="AM369" s="314" t="str">
        <f t="shared" si="29"/>
        <v>--</v>
      </c>
      <c r="AN369" s="311">
        <f>AK369/VLOOKUP($O369,НаселГлавы!$A$1:$B$29,2,FALSE)*10000</f>
        <v>0</v>
      </c>
      <c r="AO369" s="308">
        <f>AL369/VLOOKUP($O369,НаселГлавы!$A$1:$B$29,2,FALSE)*10000</f>
        <v>0</v>
      </c>
      <c r="AP369" s="301" t="str">
        <f t="shared" si="30"/>
        <v>--</v>
      </c>
    </row>
    <row r="370" spans="14:42" x14ac:dyDescent="0.2">
      <c r="N370">
        <v>23</v>
      </c>
      <c r="O370" s="135" t="s">
        <v>158</v>
      </c>
      <c r="P370" s="326" t="e">
        <f>'На 10 тыс'!#REF!</f>
        <v>#REF!</v>
      </c>
      <c r="Q370" s="299" t="e">
        <f>'На 10 тыс'!#REF!</f>
        <v>#REF!</v>
      </c>
      <c r="R370" s="310" t="e">
        <f t="shared" si="22"/>
        <v>#REF!</v>
      </c>
      <c r="S370" s="320" t="e">
        <f>'На 10 тыс'!#REF!</f>
        <v>#REF!</v>
      </c>
      <c r="T370" s="299" t="e">
        <f>'На 10 тыс'!#REF!</f>
        <v>#REF!</v>
      </c>
      <c r="U370" s="314" t="e">
        <f t="shared" si="23"/>
        <v>#REF!</v>
      </c>
      <c r="V370" s="322" t="e">
        <f>'На 10 тыс'!#REF!</f>
        <v>#REF!</v>
      </c>
      <c r="W370" s="299" t="e">
        <f>'На 10 тыс'!#REF!</f>
        <v>#REF!</v>
      </c>
      <c r="X370" s="310" t="e">
        <f t="shared" si="24"/>
        <v>#REF!</v>
      </c>
      <c r="Y370" s="324" t="e">
        <f>'На 10 тыс'!#REF!</f>
        <v>#REF!</v>
      </c>
      <c r="Z370" s="302" t="e">
        <f>'На 10 тыс'!#REF!</f>
        <v>#REF!</v>
      </c>
      <c r="AA370" s="314" t="e">
        <f>IF(Z370=0,"--",(((Y370*100)/Z370)-100)/100)</f>
        <v>#REF!</v>
      </c>
      <c r="AB370" s="322" t="e">
        <f>'На 10 тыс'!#REF!</f>
        <v>#REF!</v>
      </c>
      <c r="AC370" s="303" t="e">
        <f>'На 10 тыс'!#REF!</f>
        <v>#REF!</v>
      </c>
      <c r="AD370" s="310" t="e">
        <f t="shared" si="26"/>
        <v>#REF!</v>
      </c>
      <c r="AE370" s="320" t="e">
        <f>'На 10 тыс'!#REF!</f>
        <v>#REF!</v>
      </c>
      <c r="AF370" s="299" t="e">
        <f>'На 10 тыс'!#REF!</f>
        <v>#REF!</v>
      </c>
      <c r="AG370" s="314" t="e">
        <f t="shared" si="27"/>
        <v>#REF!</v>
      </c>
      <c r="AH370" s="311" t="e">
        <f>AE370/VLOOKUP($O370,НаселГлавы!$A$1:$B$29,2,FALSE)*10000</f>
        <v>#REF!</v>
      </c>
      <c r="AI370" s="308" t="e">
        <f>AF370/VLOOKUP($O370,НаселГлавы!$A$1:$B$29,2,FALSE)*10000</f>
        <v>#REF!</v>
      </c>
      <c r="AJ370" s="310" t="e">
        <f t="shared" si="28"/>
        <v>#REF!</v>
      </c>
      <c r="AK370" s="313">
        <f>Grig1!L7</f>
        <v>4</v>
      </c>
      <c r="AL370" s="304">
        <f>Grig1!K7</f>
        <v>7</v>
      </c>
      <c r="AM370" s="314">
        <f t="shared" si="29"/>
        <v>-0.42857142857142855</v>
      </c>
      <c r="AN370" s="311">
        <f>AK370/VLOOKUP($O370,НаселГлавы!$A$1:$B$29,2,FALSE)*10000</f>
        <v>0.31007751937984496</v>
      </c>
      <c r="AO370" s="308">
        <f>AL370/VLOOKUP($O370,НаселГлавы!$A$1:$B$29,2,FALSE)*10000</f>
        <v>0.54263565891472865</v>
      </c>
      <c r="AP370" s="301">
        <f t="shared" si="30"/>
        <v>-0.42857142857142855</v>
      </c>
    </row>
    <row r="371" spans="14:42" x14ac:dyDescent="0.2">
      <c r="N371">
        <v>24</v>
      </c>
      <c r="O371" s="135" t="s">
        <v>159</v>
      </c>
      <c r="P371" s="326" t="e">
        <f>'На 10 тыс'!#REF!</f>
        <v>#REF!</v>
      </c>
      <c r="Q371" s="299" t="e">
        <f>'На 10 тыс'!#REF!</f>
        <v>#REF!</v>
      </c>
      <c r="R371" s="310" t="e">
        <f t="shared" si="22"/>
        <v>#REF!</v>
      </c>
      <c r="S371" s="320" t="e">
        <f>'На 10 тыс'!#REF!</f>
        <v>#REF!</v>
      </c>
      <c r="T371" s="299" t="e">
        <f>'На 10 тыс'!#REF!</f>
        <v>#REF!</v>
      </c>
      <c r="U371" s="314" t="e">
        <f t="shared" si="23"/>
        <v>#REF!</v>
      </c>
      <c r="V371" s="322" t="e">
        <f>'На 10 тыс'!#REF!</f>
        <v>#REF!</v>
      </c>
      <c r="W371" s="299" t="e">
        <f>'На 10 тыс'!#REF!</f>
        <v>#REF!</v>
      </c>
      <c r="X371" s="310" t="e">
        <f t="shared" si="24"/>
        <v>#REF!</v>
      </c>
      <c r="Y371" s="324" t="e">
        <f>'На 10 тыс'!#REF!</f>
        <v>#REF!</v>
      </c>
      <c r="Z371" s="302" t="e">
        <f>'На 10 тыс'!#REF!</f>
        <v>#REF!</v>
      </c>
      <c r="AA371" s="314" t="e">
        <f>IF(Z371=0,"--",(((Y371*100)/Z371)-100)/100)</f>
        <v>#REF!</v>
      </c>
      <c r="AB371" s="322" t="e">
        <f>'На 10 тыс'!#REF!</f>
        <v>#REF!</v>
      </c>
      <c r="AC371" s="303" t="e">
        <f>'На 10 тыс'!#REF!</f>
        <v>#REF!</v>
      </c>
      <c r="AD371" s="310" t="e">
        <f t="shared" si="26"/>
        <v>#REF!</v>
      </c>
      <c r="AE371" s="320" t="e">
        <f>'На 10 тыс'!#REF!</f>
        <v>#REF!</v>
      </c>
      <c r="AF371" s="299" t="e">
        <f>'На 10 тыс'!#REF!</f>
        <v>#REF!</v>
      </c>
      <c r="AG371" s="314" t="e">
        <f t="shared" si="27"/>
        <v>#REF!</v>
      </c>
      <c r="AH371" s="311" t="e">
        <f>AE371/VLOOKUP($O371,НаселГлавы!$A$1:$B$29,2,FALSE)*10000</f>
        <v>#REF!</v>
      </c>
      <c r="AI371" s="308" t="e">
        <f>AF371/VLOOKUP($O371,НаселГлавы!$A$1:$B$29,2,FALSE)*10000</f>
        <v>#REF!</v>
      </c>
      <c r="AJ371" s="310" t="e">
        <f t="shared" si="28"/>
        <v>#REF!</v>
      </c>
      <c r="AK371" s="313">
        <f>Grig1!L8</f>
        <v>6</v>
      </c>
      <c r="AL371" s="304">
        <f>Grig1!K8</f>
        <v>6</v>
      </c>
      <c r="AM371" s="314">
        <f t="shared" si="29"/>
        <v>0</v>
      </c>
      <c r="AN371" s="311">
        <f>AK371/VLOOKUP($O371,НаселГлавы!$A$1:$B$29,2,FALSE)*10000</f>
        <v>0.37151702786377711</v>
      </c>
      <c r="AO371" s="308">
        <f>AL371/VLOOKUP($O371,НаселГлавы!$A$1:$B$29,2,FALSE)*10000</f>
        <v>0.37151702786377711</v>
      </c>
      <c r="AP371" s="301">
        <f t="shared" si="30"/>
        <v>0</v>
      </c>
    </row>
    <row r="372" spans="14:42" x14ac:dyDescent="0.2">
      <c r="N372">
        <v>25</v>
      </c>
      <c r="O372" s="135" t="s">
        <v>160</v>
      </c>
      <c r="P372" s="326" t="e">
        <f>'На 10 тыс'!#REF!</f>
        <v>#REF!</v>
      </c>
      <c r="Q372" s="299" t="e">
        <f>'На 10 тыс'!#REF!</f>
        <v>#REF!</v>
      </c>
      <c r="R372" s="310" t="e">
        <f t="shared" si="22"/>
        <v>#REF!</v>
      </c>
      <c r="S372" s="320" t="e">
        <f>'На 10 тыс'!#REF!</f>
        <v>#REF!</v>
      </c>
      <c r="T372" s="299" t="e">
        <f>'На 10 тыс'!#REF!</f>
        <v>#REF!</v>
      </c>
      <c r="U372" s="314" t="e">
        <f t="shared" si="23"/>
        <v>#REF!</v>
      </c>
      <c r="V372" s="322" t="e">
        <f>'На 10 тыс'!#REF!</f>
        <v>#REF!</v>
      </c>
      <c r="W372" s="299" t="e">
        <f>'На 10 тыс'!#REF!</f>
        <v>#REF!</v>
      </c>
      <c r="X372" s="310" t="e">
        <f t="shared" si="24"/>
        <v>#REF!</v>
      </c>
      <c r="Y372" s="324" t="e">
        <f>'На 10 тыс'!#REF!</f>
        <v>#REF!</v>
      </c>
      <c r="Z372" s="302" t="e">
        <f>'На 10 тыс'!#REF!</f>
        <v>#REF!</v>
      </c>
      <c r="AA372" s="314" t="e">
        <f>IF(Z372=0,"--",(((Y372*100)/Z372)-100)/100)</f>
        <v>#REF!</v>
      </c>
      <c r="AB372" s="322" t="e">
        <f>'На 10 тыс'!#REF!</f>
        <v>#REF!</v>
      </c>
      <c r="AC372" s="303" t="e">
        <f>'На 10 тыс'!#REF!</f>
        <v>#REF!</v>
      </c>
      <c r="AD372" s="310" t="e">
        <f t="shared" si="26"/>
        <v>#REF!</v>
      </c>
      <c r="AE372" s="320" t="e">
        <f>'На 10 тыс'!#REF!</f>
        <v>#REF!</v>
      </c>
      <c r="AF372" s="299" t="e">
        <f>'На 10 тыс'!#REF!</f>
        <v>#REF!</v>
      </c>
      <c r="AG372" s="314" t="e">
        <f t="shared" si="27"/>
        <v>#REF!</v>
      </c>
      <c r="AH372" s="311" t="e">
        <f>AE372/VLOOKUP($O372,НаселГлавы!$A$1:$B$29,2,FALSE)*10000</f>
        <v>#REF!</v>
      </c>
      <c r="AI372" s="308" t="e">
        <f>AF372/VLOOKUP($O372,НаселГлавы!$A$1:$B$29,2,FALSE)*10000</f>
        <v>#REF!</v>
      </c>
      <c r="AJ372" s="310" t="e">
        <f t="shared" si="28"/>
        <v>#REF!</v>
      </c>
      <c r="AK372" s="313">
        <f>Grig1!L9</f>
        <v>11</v>
      </c>
      <c r="AL372" s="304">
        <f>Grig1!K9</f>
        <v>5</v>
      </c>
      <c r="AM372" s="314">
        <f t="shared" si="29"/>
        <v>1.2</v>
      </c>
      <c r="AN372" s="311">
        <f>AK372/VLOOKUP($O372,НаселГлавы!$A$1:$B$29,2,FALSE)*10000</f>
        <v>0.68280571073867169</v>
      </c>
      <c r="AO372" s="308">
        <f>AL372/VLOOKUP($O372,НаселГлавы!$A$1:$B$29,2,FALSE)*10000</f>
        <v>0.31036623215394166</v>
      </c>
      <c r="AP372" s="301">
        <f t="shared" si="30"/>
        <v>1.2</v>
      </c>
    </row>
    <row r="373" spans="14:42" x14ac:dyDescent="0.2">
      <c r="O373" s="330" t="s">
        <v>208</v>
      </c>
      <c r="P373" s="326" t="e">
        <f>SUM(P348:P372)</f>
        <v>#REF!</v>
      </c>
      <c r="Q373" s="299" t="e">
        <f>SUM(Q348:Q372)</f>
        <v>#REF!</v>
      </c>
      <c r="R373" s="310" t="e">
        <f t="shared" si="22"/>
        <v>#REF!</v>
      </c>
      <c r="S373" s="324" t="e">
        <f>SUM(S348:S372)</f>
        <v>#REF!</v>
      </c>
      <c r="T373" s="302" t="e">
        <f>SUM(T348:T372)</f>
        <v>#REF!</v>
      </c>
      <c r="U373" s="314" t="e">
        <f t="shared" si="23"/>
        <v>#REF!</v>
      </c>
      <c r="V373" s="322">
        <f>'На 10 тыс'!I31</f>
        <v>6.2951961503823641</v>
      </c>
      <c r="W373" s="299">
        <f>'На 10 тыс'!H31</f>
        <v>6.0524507975398567</v>
      </c>
      <c r="X373" s="310">
        <f t="shared" si="24"/>
        <v>4.0106951871657796E-2</v>
      </c>
      <c r="Y373" s="324">
        <f>'На 10 тыс'!L31</f>
        <v>153568.83033419022</v>
      </c>
      <c r="Z373" s="302">
        <f>'На 10 тыс'!K31</f>
        <v>139266.40240641712</v>
      </c>
      <c r="AA373" s="314">
        <f>IF(Z373=0,"--",(((Y373*100)/Z373)-100)/100)</f>
        <v>0.1026983370047482</v>
      </c>
      <c r="AB373" s="322">
        <f>'На 10 тыс'!O31</f>
        <v>96.674590953851677</v>
      </c>
      <c r="AC373" s="303">
        <f>'На 10 тыс'!N31</f>
        <v>84.29030483152259</v>
      </c>
      <c r="AD373" s="310">
        <f t="shared" si="26"/>
        <v>0.14692420613595472</v>
      </c>
      <c r="AE373" s="320">
        <f>'На 10 тыс'!R31</f>
        <v>59</v>
      </c>
      <c r="AF373" s="299">
        <f>'На 10 тыс'!Q31</f>
        <v>57</v>
      </c>
      <c r="AG373" s="314">
        <f t="shared" si="27"/>
        <v>3.5087719298245619E-2</v>
      </c>
      <c r="AH373" s="311">
        <f>AE373/VLOOKUP($O373,НаселГлавы!$A$1:$B$29,2,FALSE)*10000</f>
        <v>0.43353663017121019</v>
      </c>
      <c r="AI373" s="308">
        <f>AF373/VLOOKUP($O373,НаселГлавы!$A$1:$B$29,2,FALSE)*10000</f>
        <v>0.41884047321625395</v>
      </c>
      <c r="AJ373" s="310">
        <f t="shared" si="28"/>
        <v>3.5087719298245619E-2</v>
      </c>
      <c r="AK373" s="315">
        <f>AK348+AK349+AK350+AK351+AK352+AK353+AK354+AK355+AK356+AK357+AK358+AK359+AK360+AK361+AK362+AK363+AK364+AK365+AK366+AK367+AK368+AK369+AK370+AK371+AK372</f>
        <v>62</v>
      </c>
      <c r="AL373" s="305">
        <f>AL348+AL349+AL350+AL351+AL352+AL353+AL354+AL355+AL356+AL357+AL358+AL359+AL360+AL361+AL362+AL363+AL364+AL365+AL366+AL367+AL368+AL369+AL370+AL371+AL372</f>
        <v>56</v>
      </c>
      <c r="AM373" s="314">
        <f t="shared" si="29"/>
        <v>0.10714285714285708</v>
      </c>
      <c r="AN373" s="311">
        <f>AK373/VLOOKUP($O373,НаселГлавы!$A$1:$B$29,2,FALSE)*10000</f>
        <v>0.45558086560364469</v>
      </c>
      <c r="AO373" s="308">
        <f>AL373/VLOOKUP($O373,НаселГлавы!$A$1:$B$29,2,FALSE)*10000</f>
        <v>0.4114923947387758</v>
      </c>
      <c r="AP373" s="301">
        <f t="shared" si="30"/>
        <v>0.10714285714285737</v>
      </c>
    </row>
    <row r="374" spans="14:42" x14ac:dyDescent="0.2">
      <c r="V374" s="306"/>
    </row>
    <row r="375" spans="14:42" ht="13.5" x14ac:dyDescent="0.25">
      <c r="O375" s="263" t="s">
        <v>7</v>
      </c>
      <c r="P375" s="264" t="s">
        <v>16</v>
      </c>
      <c r="Q375" s="265"/>
      <c r="R375" s="265"/>
    </row>
    <row r="376" spans="14:42" x14ac:dyDescent="0.2">
      <c r="O376" s="263"/>
      <c r="P376" s="266">
        <v>2015</v>
      </c>
      <c r="Q376" s="267">
        <v>2014</v>
      </c>
      <c r="R376" s="266" t="s">
        <v>11</v>
      </c>
    </row>
    <row r="377" spans="14:42" x14ac:dyDescent="0.2">
      <c r="O377" s="126" t="s">
        <v>158</v>
      </c>
      <c r="P377" s="277">
        <f>Grig1!O7</f>
        <v>32</v>
      </c>
      <c r="Q377" s="277">
        <f>Grig1!N7</f>
        <v>17</v>
      </c>
      <c r="R377" s="269" t="str">
        <f t="shared" ref="R377:R401" si="32">IF(Q377&lt;&gt;0,TEXT(((P377-Q377)/Q377)*100,"0,0"),"--")</f>
        <v>88,2</v>
      </c>
    </row>
    <row r="378" spans="14:42" x14ac:dyDescent="0.2">
      <c r="O378" s="126" t="s">
        <v>159</v>
      </c>
      <c r="P378" s="277">
        <f>Grig1!O8</f>
        <v>62</v>
      </c>
      <c r="Q378" s="277">
        <f>Grig1!N8</f>
        <v>44</v>
      </c>
      <c r="R378" s="269" t="str">
        <f t="shared" si="32"/>
        <v>40,9</v>
      </c>
    </row>
    <row r="379" spans="14:42" x14ac:dyDescent="0.2">
      <c r="O379" s="126" t="s">
        <v>160</v>
      </c>
      <c r="P379" s="277">
        <f>Grig1!O9</f>
        <v>67</v>
      </c>
      <c r="Q379" s="277">
        <f>Grig1!N9</f>
        <v>36</v>
      </c>
      <c r="R379" s="269" t="str">
        <f t="shared" si="32"/>
        <v>86,1</v>
      </c>
    </row>
    <row r="380" spans="14:42" x14ac:dyDescent="0.2">
      <c r="O380" s="126" t="s">
        <v>161</v>
      </c>
      <c r="P380" s="277">
        <f>Grig1!O10</f>
        <v>1</v>
      </c>
      <c r="Q380" s="277">
        <f>Grig1!N10</f>
        <v>3</v>
      </c>
      <c r="R380" s="269" t="str">
        <f t="shared" si="32"/>
        <v>-66,7</v>
      </c>
    </row>
    <row r="381" spans="14:42" x14ac:dyDescent="0.2">
      <c r="O381" s="126" t="s">
        <v>164</v>
      </c>
      <c r="P381" s="277">
        <f>Grig1!O13</f>
        <v>3</v>
      </c>
      <c r="Q381" s="277">
        <f>Grig1!N13</f>
        <v>1</v>
      </c>
      <c r="R381" s="269" t="str">
        <f t="shared" si="32"/>
        <v>200,0</v>
      </c>
    </row>
    <row r="382" spans="14:42" x14ac:dyDescent="0.2">
      <c r="O382" s="126" t="s">
        <v>166</v>
      </c>
      <c r="P382" s="277">
        <f>Grig1!O15</f>
        <v>2</v>
      </c>
      <c r="Q382" s="277">
        <f>Grig1!N15</f>
        <v>1</v>
      </c>
      <c r="R382" s="269" t="str">
        <f t="shared" si="32"/>
        <v>100,0</v>
      </c>
    </row>
    <row r="383" spans="14:42" x14ac:dyDescent="0.2">
      <c r="O383" s="126" t="s">
        <v>168</v>
      </c>
      <c r="P383" s="277">
        <f>Grig1!O17</f>
        <v>1</v>
      </c>
      <c r="Q383" s="277">
        <f>Grig1!N17</f>
        <v>5</v>
      </c>
      <c r="R383" s="269" t="str">
        <f t="shared" si="32"/>
        <v>-80,0</v>
      </c>
    </row>
    <row r="384" spans="14:42" x14ac:dyDescent="0.2">
      <c r="O384" s="126" t="s">
        <v>170</v>
      </c>
      <c r="P384" s="277">
        <f>Grig1!O19</f>
        <v>1</v>
      </c>
      <c r="Q384" s="277">
        <f>Grig1!N19</f>
        <v>3</v>
      </c>
      <c r="R384" s="269" t="str">
        <f t="shared" si="32"/>
        <v>-66,7</v>
      </c>
    </row>
    <row r="385" spans="15:18" x14ac:dyDescent="0.2">
      <c r="O385" s="126" t="s">
        <v>173</v>
      </c>
      <c r="P385" s="277">
        <f>Grig1!O22</f>
        <v>2</v>
      </c>
      <c r="Q385" s="277">
        <f>Grig1!N22</f>
        <v>3</v>
      </c>
      <c r="R385" s="269" t="str">
        <f t="shared" si="32"/>
        <v>-33,3</v>
      </c>
    </row>
    <row r="386" spans="15:18" x14ac:dyDescent="0.2">
      <c r="O386" s="126" t="s">
        <v>175</v>
      </c>
      <c r="P386" s="277">
        <f>Grig1!O24</f>
        <v>0</v>
      </c>
      <c r="Q386" s="277">
        <f>Grig1!N24</f>
        <v>2</v>
      </c>
      <c r="R386" s="269" t="str">
        <f t="shared" si="32"/>
        <v>-100,0</v>
      </c>
    </row>
    <row r="387" spans="15:18" x14ac:dyDescent="0.2">
      <c r="O387" s="126" t="s">
        <v>177</v>
      </c>
      <c r="P387" s="277">
        <f>Grig1!O26</f>
        <v>3</v>
      </c>
      <c r="Q387" s="277">
        <f>Grig1!N26</f>
        <v>1</v>
      </c>
      <c r="R387" s="269" t="str">
        <f t="shared" si="32"/>
        <v>200,0</v>
      </c>
    </row>
    <row r="388" spans="15:18" x14ac:dyDescent="0.2">
      <c r="O388" s="126" t="s">
        <v>179</v>
      </c>
      <c r="P388" s="277">
        <f>Grig1!O28</f>
        <v>0</v>
      </c>
      <c r="Q388" s="277">
        <f>Grig1!N28</f>
        <v>0</v>
      </c>
      <c r="R388" s="269" t="str">
        <f t="shared" si="32"/>
        <v>--</v>
      </c>
    </row>
    <row r="389" spans="15:18" x14ac:dyDescent="0.2">
      <c r="O389" s="126" t="s">
        <v>181</v>
      </c>
      <c r="P389" s="277">
        <f>Grig1!O30</f>
        <v>1</v>
      </c>
      <c r="Q389" s="277">
        <f>Grig1!N30</f>
        <v>0</v>
      </c>
      <c r="R389" s="269" t="str">
        <f t="shared" si="32"/>
        <v>--</v>
      </c>
    </row>
    <row r="390" spans="15:18" x14ac:dyDescent="0.2">
      <c r="O390" s="126" t="s">
        <v>183</v>
      </c>
      <c r="P390" s="277">
        <f>Grig1!O32</f>
        <v>8</v>
      </c>
      <c r="Q390" s="277">
        <f>Grig1!N32</f>
        <v>2</v>
      </c>
      <c r="R390" s="269" t="str">
        <f t="shared" si="32"/>
        <v>300,0</v>
      </c>
    </row>
    <row r="391" spans="15:18" x14ac:dyDescent="0.2">
      <c r="O391" s="126" t="s">
        <v>185</v>
      </c>
      <c r="P391" s="277">
        <f>Grig1!O34</f>
        <v>5</v>
      </c>
      <c r="Q391" s="277">
        <f>Grig1!N34</f>
        <v>1</v>
      </c>
      <c r="R391" s="269" t="str">
        <f t="shared" si="32"/>
        <v>400,0</v>
      </c>
    </row>
    <row r="392" spans="15:18" x14ac:dyDescent="0.2">
      <c r="O392" s="270" t="s">
        <v>188</v>
      </c>
      <c r="P392" s="277">
        <f>Grig1!O37</f>
        <v>67</v>
      </c>
      <c r="Q392" s="277">
        <f>Grig1!N37</f>
        <v>28</v>
      </c>
      <c r="R392" s="271" t="str">
        <f t="shared" si="32"/>
        <v>139,3</v>
      </c>
    </row>
    <row r="393" spans="15:18" x14ac:dyDescent="0.2">
      <c r="O393" s="126" t="s">
        <v>189</v>
      </c>
      <c r="P393" s="277">
        <f>Grig1!O38</f>
        <v>2</v>
      </c>
      <c r="Q393" s="277">
        <f>Grig1!N38</f>
        <v>2</v>
      </c>
      <c r="R393" s="269" t="str">
        <f t="shared" si="32"/>
        <v>0,0</v>
      </c>
    </row>
    <row r="394" spans="15:18" x14ac:dyDescent="0.2">
      <c r="O394" s="126" t="s">
        <v>191</v>
      </c>
      <c r="P394" s="277">
        <f>Grig1!O40</f>
        <v>3</v>
      </c>
      <c r="Q394" s="277">
        <f>Grig1!N40</f>
        <v>0</v>
      </c>
      <c r="R394" s="269" t="str">
        <f t="shared" si="32"/>
        <v>--</v>
      </c>
    </row>
    <row r="395" spans="15:18" x14ac:dyDescent="0.2">
      <c r="O395" s="126" t="s">
        <v>193</v>
      </c>
      <c r="P395" s="277">
        <f>Grig1!O42</f>
        <v>35</v>
      </c>
      <c r="Q395" s="277">
        <f>Grig1!N42</f>
        <v>11</v>
      </c>
      <c r="R395" s="269" t="str">
        <f t="shared" si="32"/>
        <v>218,2</v>
      </c>
    </row>
    <row r="396" spans="15:18" x14ac:dyDescent="0.2">
      <c r="O396" s="126" t="s">
        <v>195</v>
      </c>
      <c r="P396" s="277">
        <f>Grig1!O44</f>
        <v>2</v>
      </c>
      <c r="Q396" s="277">
        <f>Grig1!N44</f>
        <v>6</v>
      </c>
      <c r="R396" s="269" t="str">
        <f t="shared" si="32"/>
        <v>-66,7</v>
      </c>
    </row>
    <row r="397" spans="15:18" x14ac:dyDescent="0.2">
      <c r="O397" s="126" t="s">
        <v>197</v>
      </c>
      <c r="P397" s="277">
        <f>Grig1!O46</f>
        <v>2</v>
      </c>
      <c r="Q397" s="277">
        <f>Grig1!N46</f>
        <v>0</v>
      </c>
      <c r="R397" s="269" t="str">
        <f t="shared" si="32"/>
        <v>--</v>
      </c>
    </row>
    <row r="398" spans="15:18" x14ac:dyDescent="0.2">
      <c r="O398" s="126" t="s">
        <v>199</v>
      </c>
      <c r="P398" s="277">
        <f>Grig1!O48</f>
        <v>1</v>
      </c>
      <c r="Q398" s="277">
        <f>Grig1!N48</f>
        <v>1</v>
      </c>
      <c r="R398" s="269" t="str">
        <f t="shared" si="32"/>
        <v>0,0</v>
      </c>
    </row>
    <row r="399" spans="15:18" x14ac:dyDescent="0.2">
      <c r="O399" s="126" t="s">
        <v>201</v>
      </c>
      <c r="P399" s="277">
        <f>Grig1!O50</f>
        <v>4</v>
      </c>
      <c r="Q399" s="277">
        <f>Grig1!N50</f>
        <v>7</v>
      </c>
      <c r="R399" s="269" t="str">
        <f t="shared" si="32"/>
        <v>-42,9</v>
      </c>
    </row>
    <row r="400" spans="15:18" x14ac:dyDescent="0.2">
      <c r="O400" s="126" t="s">
        <v>203</v>
      </c>
      <c r="P400" s="277">
        <f>Grig1!O52</f>
        <v>0</v>
      </c>
      <c r="Q400" s="277">
        <f>Grig1!N52</f>
        <v>1</v>
      </c>
      <c r="R400" s="269" t="str">
        <f t="shared" si="32"/>
        <v>-100,0</v>
      </c>
    </row>
    <row r="401" spans="1:18" x14ac:dyDescent="0.2">
      <c r="O401" s="126" t="s">
        <v>205</v>
      </c>
      <c r="P401" s="277">
        <f>Grig1!O54</f>
        <v>0</v>
      </c>
      <c r="Q401" s="277">
        <f>Grig1!N54</f>
        <v>0</v>
      </c>
      <c r="R401" s="269" t="str">
        <f t="shared" si="32"/>
        <v>--</v>
      </c>
    </row>
    <row r="402" spans="1:18" x14ac:dyDescent="0.2">
      <c r="P402">
        <f>SUM(P377:P401)</f>
        <v>304</v>
      </c>
      <c r="Q402">
        <f>SUM(Q377:Q401)</f>
        <v>175</v>
      </c>
    </row>
    <row r="409" spans="1:18" ht="13.5" thickBot="1" x14ac:dyDescent="0.25"/>
    <row r="410" spans="1:18" ht="19.5" thickBot="1" x14ac:dyDescent="0.35">
      <c r="A410" s="605">
        <v>2001</v>
      </c>
      <c r="B410" s="605">
        <v>2002</v>
      </c>
      <c r="C410" s="605">
        <v>2003</v>
      </c>
      <c r="D410" s="605">
        <v>2004</v>
      </c>
      <c r="E410" s="605">
        <v>2005</v>
      </c>
      <c r="F410" s="605">
        <v>2006</v>
      </c>
      <c r="G410" s="607">
        <v>2007</v>
      </c>
      <c r="H410" s="606">
        <v>2008</v>
      </c>
      <c r="I410" s="606">
        <v>2009</v>
      </c>
      <c r="J410" s="606">
        <v>2010</v>
      </c>
      <c r="K410" s="606">
        <v>2011</v>
      </c>
      <c r="L410" s="606">
        <v>2012</v>
      </c>
      <c r="M410" s="511">
        <v>2013</v>
      </c>
    </row>
    <row r="411" spans="1:18" ht="18.75" x14ac:dyDescent="0.3">
      <c r="A411" s="514">
        <v>1978</v>
      </c>
      <c r="B411" s="514">
        <v>2057</v>
      </c>
      <c r="C411" s="514">
        <v>1809</v>
      </c>
      <c r="D411" s="514">
        <v>1682</v>
      </c>
      <c r="E411" s="514">
        <v>1645</v>
      </c>
      <c r="F411" s="514">
        <v>1517</v>
      </c>
      <c r="G411" s="607">
        <v>1479</v>
      </c>
      <c r="H411" s="588">
        <v>1384</v>
      </c>
      <c r="I411" s="588">
        <v>1380</v>
      </c>
      <c r="J411" s="603">
        <v>1301</v>
      </c>
      <c r="K411" s="603">
        <v>1128</v>
      </c>
      <c r="L411" s="603">
        <v>1100</v>
      </c>
      <c r="M411" s="512">
        <v>1053</v>
      </c>
      <c r="O411">
        <f>SUM(H411:L411)</f>
        <v>6293</v>
      </c>
      <c r="Q411" t="s">
        <v>510</v>
      </c>
    </row>
    <row r="412" spans="1:18" ht="18.75" x14ac:dyDescent="0.3">
      <c r="A412" s="514">
        <v>128</v>
      </c>
      <c r="B412" s="514">
        <v>127</v>
      </c>
      <c r="C412" s="514">
        <v>151</v>
      </c>
      <c r="D412" s="514">
        <v>145</v>
      </c>
      <c r="E412" s="514">
        <v>139</v>
      </c>
      <c r="F412" s="514">
        <v>136</v>
      </c>
      <c r="G412" s="607">
        <v>121</v>
      </c>
      <c r="H412" s="588">
        <v>120</v>
      </c>
      <c r="I412" s="588">
        <v>111</v>
      </c>
      <c r="J412" s="588">
        <v>110</v>
      </c>
      <c r="K412" s="588">
        <v>106</v>
      </c>
      <c r="L412" s="603">
        <v>98</v>
      </c>
      <c r="M412" s="513">
        <v>95</v>
      </c>
      <c r="O412">
        <f>SUM(H412:L412)</f>
        <v>545</v>
      </c>
      <c r="Q412" t="s">
        <v>511</v>
      </c>
    </row>
    <row r="413" spans="1:18" ht="18.75" x14ac:dyDescent="0.3">
      <c r="A413" s="608"/>
      <c r="B413" s="608"/>
      <c r="C413" s="608"/>
      <c r="D413" s="608"/>
      <c r="E413" s="608">
        <v>90</v>
      </c>
      <c r="F413" s="608">
        <v>64</v>
      </c>
      <c r="G413" s="608">
        <v>77</v>
      </c>
      <c r="H413" s="604">
        <v>85</v>
      </c>
      <c r="I413" s="604">
        <v>80</v>
      </c>
      <c r="J413" s="604">
        <v>86</v>
      </c>
      <c r="K413" s="604">
        <v>102</v>
      </c>
      <c r="L413" s="603">
        <v>118</v>
      </c>
      <c r="M413" s="514">
        <v>100</v>
      </c>
      <c r="O413">
        <f>SUM(H413:L413)</f>
        <v>471</v>
      </c>
      <c r="Q413" t="s">
        <v>512</v>
      </c>
    </row>
    <row r="414" spans="1:18" ht="18.75" x14ac:dyDescent="0.3">
      <c r="A414" s="609"/>
      <c r="B414" s="609"/>
      <c r="C414" s="609"/>
      <c r="D414" s="609"/>
      <c r="E414" s="604">
        <v>33788</v>
      </c>
      <c r="F414" s="604">
        <v>29351</v>
      </c>
      <c r="G414" s="604">
        <v>92177</v>
      </c>
      <c r="H414" s="604">
        <v>52590</v>
      </c>
      <c r="I414" s="604">
        <v>60277</v>
      </c>
      <c r="J414" s="604">
        <v>84703</v>
      </c>
      <c r="K414" s="604">
        <v>64948</v>
      </c>
      <c r="L414" s="604">
        <v>138104</v>
      </c>
      <c r="M414" s="513">
        <v>10144</v>
      </c>
      <c r="O414">
        <f>SUM(H414:L414)</f>
        <v>400622</v>
      </c>
      <c r="Q414" t="s">
        <v>513</v>
      </c>
    </row>
    <row r="415" spans="1:18" ht="18.75" x14ac:dyDescent="0.3">
      <c r="A415" s="609"/>
      <c r="B415" s="609"/>
      <c r="C415" s="609"/>
      <c r="D415" s="609"/>
      <c r="E415" s="609"/>
      <c r="F415" s="609"/>
      <c r="G415" s="609"/>
      <c r="H415" s="604">
        <v>976</v>
      </c>
      <c r="I415" s="604">
        <v>870</v>
      </c>
      <c r="J415" s="604">
        <v>933</v>
      </c>
      <c r="K415" s="604">
        <v>411</v>
      </c>
      <c r="L415" s="604">
        <v>373</v>
      </c>
      <c r="M415" s="588">
        <v>359</v>
      </c>
      <c r="O415">
        <f>SUM(H415:M415)</f>
        <v>3922</v>
      </c>
      <c r="Q415" t="s">
        <v>514</v>
      </c>
    </row>
    <row r="416" spans="1:18" x14ac:dyDescent="0.2">
      <c r="A416" s="333"/>
      <c r="B416" s="333"/>
      <c r="C416" s="333"/>
      <c r="D416" s="333"/>
      <c r="E416" s="333"/>
      <c r="F416" s="333"/>
      <c r="G416" s="333"/>
      <c r="H416" s="333"/>
    </row>
    <row r="438" spans="1:6" x14ac:dyDescent="0.2">
      <c r="B438" s="262" t="s">
        <v>395</v>
      </c>
      <c r="C438" s="262" t="s">
        <v>396</v>
      </c>
      <c r="D438" s="262" t="s">
        <v>397</v>
      </c>
      <c r="E438" s="262" t="s">
        <v>398</v>
      </c>
      <c r="F438" s="262" t="s">
        <v>394</v>
      </c>
    </row>
    <row r="439" spans="1:6" x14ac:dyDescent="0.2">
      <c r="A439" t="s">
        <v>392</v>
      </c>
      <c r="B439" s="262">
        <v>141</v>
      </c>
      <c r="C439" s="262">
        <v>149</v>
      </c>
      <c r="D439" s="262">
        <v>90</v>
      </c>
      <c r="E439" s="262">
        <v>130</v>
      </c>
      <c r="F439" s="262">
        <v>116</v>
      </c>
    </row>
    <row r="440" spans="1:6" x14ac:dyDescent="0.2">
      <c r="A440" t="s">
        <v>393</v>
      </c>
      <c r="B440" s="262">
        <v>18</v>
      </c>
      <c r="C440" s="262">
        <v>18</v>
      </c>
      <c r="D440" s="262">
        <v>9</v>
      </c>
      <c r="E440" s="262">
        <v>17</v>
      </c>
      <c r="F440" s="262">
        <v>18</v>
      </c>
    </row>
  </sheetData>
  <mergeCells count="3">
    <mergeCell ref="AH346:AJ346"/>
    <mergeCell ref="AK346:AM346"/>
    <mergeCell ref="AN346:AP346"/>
  </mergeCells>
  <phoneticPr fontId="59" type="noConversion"/>
  <printOptions horizontalCentered="1"/>
  <pageMargins left="0.19685039370078741" right="0.19685039370078741" top="0.19685039370078741" bottom="0.19685039370078741" header="0" footer="0"/>
  <pageSetup paperSize="9" scale="84" orientation="portrait" r:id="rId1"/>
  <headerFooter alignWithMargins="0"/>
  <rowBreaks count="3" manualBreakCount="3">
    <brk id="30" max="12" man="1"/>
    <brk id="66" max="12" man="1"/>
    <brk id="114" max="12" man="1"/>
  </rowBreaks>
  <colBreaks count="1" manualBreakCount="1">
    <brk id="1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indexed="16"/>
  </sheetPr>
  <dimension ref="A1:N36"/>
  <sheetViews>
    <sheetView topLeftCell="B16" workbookViewId="0">
      <selection activeCell="K35" sqref="K35"/>
    </sheetView>
  </sheetViews>
  <sheetFormatPr defaultRowHeight="12.75" x14ac:dyDescent="0.2"/>
  <cols>
    <col min="1" max="1" width="3" style="251" bestFit="1" customWidth="1"/>
    <col min="2" max="2" width="61.7109375" customWidth="1"/>
    <col min="11" max="11" width="8.85546875" customWidth="1"/>
    <col min="12" max="12" width="10.140625" customWidth="1"/>
    <col min="13" max="13" width="10.7109375" customWidth="1"/>
  </cols>
  <sheetData>
    <row r="1" spans="1:4" x14ac:dyDescent="0.2">
      <c r="A1" s="693" t="s">
        <v>236</v>
      </c>
      <c r="B1" s="693"/>
      <c r="C1" s="693"/>
      <c r="D1" s="693"/>
    </row>
    <row r="2" spans="1:4" x14ac:dyDescent="0.2">
      <c r="A2" s="693" t="s">
        <v>102</v>
      </c>
      <c r="B2" s="693"/>
      <c r="C2" s="693"/>
      <c r="D2" s="693"/>
    </row>
    <row r="3" spans="1:4" ht="13.5" thickBot="1" x14ac:dyDescent="0.25"/>
    <row r="4" spans="1:4" ht="14.25" thickTop="1" thickBot="1" x14ac:dyDescent="0.25">
      <c r="A4" s="256" t="s">
        <v>226</v>
      </c>
      <c r="B4" s="252" t="s">
        <v>227</v>
      </c>
      <c r="C4" s="694" t="s">
        <v>228</v>
      </c>
      <c r="D4" s="695"/>
    </row>
    <row r="5" spans="1:4" x14ac:dyDescent="0.2">
      <c r="A5" s="257">
        <v>1</v>
      </c>
      <c r="B5" s="253" t="s">
        <v>229</v>
      </c>
      <c r="C5" s="690">
        <f>Grig1!C58</f>
        <v>778</v>
      </c>
      <c r="D5" s="691"/>
    </row>
    <row r="6" spans="1:4" x14ac:dyDescent="0.2">
      <c r="A6" s="258">
        <v>2</v>
      </c>
      <c r="B6" s="254" t="s">
        <v>230</v>
      </c>
      <c r="C6" s="698">
        <f>Grig1!I58</f>
        <v>59</v>
      </c>
      <c r="D6" s="699"/>
    </row>
    <row r="7" spans="1:4" x14ac:dyDescent="0.2">
      <c r="A7" s="258">
        <v>3</v>
      </c>
      <c r="B7" s="254" t="s">
        <v>231</v>
      </c>
      <c r="C7" s="698">
        <v>0</v>
      </c>
      <c r="D7" s="699"/>
    </row>
    <row r="8" spans="1:4" x14ac:dyDescent="0.2">
      <c r="A8" s="258">
        <v>4</v>
      </c>
      <c r="B8" s="254" t="s">
        <v>232</v>
      </c>
      <c r="C8" s="698">
        <f>Grig1!L58</f>
        <v>72</v>
      </c>
      <c r="D8" s="699"/>
    </row>
    <row r="9" spans="1:4" x14ac:dyDescent="0.2">
      <c r="A9" s="258">
        <v>5</v>
      </c>
      <c r="B9" s="254" t="s">
        <v>233</v>
      </c>
      <c r="C9" s="698">
        <f>Grig1!O58</f>
        <v>339</v>
      </c>
      <c r="D9" s="699"/>
    </row>
    <row r="10" spans="1:4" ht="13.5" thickBot="1" x14ac:dyDescent="0.25">
      <c r="A10" s="259">
        <v>6</v>
      </c>
      <c r="B10" s="255" t="s">
        <v>234</v>
      </c>
      <c r="C10" s="696">
        <f>Posled2!C66/1000</f>
        <v>536340</v>
      </c>
      <c r="D10" s="697"/>
    </row>
    <row r="11" spans="1:4" ht="13.5" thickTop="1" x14ac:dyDescent="0.2"/>
    <row r="12" spans="1:4" x14ac:dyDescent="0.2">
      <c r="A12" s="692" t="s">
        <v>529</v>
      </c>
      <c r="B12" s="692"/>
    </row>
    <row r="13" spans="1:4" x14ac:dyDescent="0.2">
      <c r="A13" s="692" t="s">
        <v>528</v>
      </c>
      <c r="B13" s="692"/>
    </row>
    <row r="18" spans="2:14" ht="18.75" x14ac:dyDescent="0.3">
      <c r="B18" s="445"/>
      <c r="C18" s="445" t="s">
        <v>500</v>
      </c>
      <c r="D18" s="445"/>
    </row>
    <row r="19" spans="2:14" ht="18.75" x14ac:dyDescent="0.3">
      <c r="B19" s="445"/>
      <c r="C19" s="445"/>
      <c r="D19" s="445"/>
    </row>
    <row r="20" spans="2:14" ht="18.75" x14ac:dyDescent="0.3">
      <c r="B20" s="686" t="s">
        <v>501</v>
      </c>
      <c r="C20" s="686"/>
      <c r="D20" s="686"/>
    </row>
    <row r="21" spans="2:14" x14ac:dyDescent="0.2">
      <c r="B21" s="687"/>
      <c r="C21" s="687"/>
      <c r="D21" s="687"/>
    </row>
    <row r="22" spans="2:14" x14ac:dyDescent="0.2">
      <c r="B22" s="486"/>
      <c r="C22" s="486"/>
      <c r="D22" s="486"/>
    </row>
    <row r="23" spans="2:14" ht="63" x14ac:dyDescent="0.2">
      <c r="B23" s="487" t="s">
        <v>502</v>
      </c>
      <c r="C23" s="488" t="s">
        <v>503</v>
      </c>
      <c r="D23" s="488" t="s">
        <v>504</v>
      </c>
    </row>
    <row r="24" spans="2:14" ht="15.75" x14ac:dyDescent="0.25">
      <c r="B24" s="489" t="s">
        <v>505</v>
      </c>
      <c r="C24" s="490">
        <f>'2017-2018'!$B$53</f>
        <v>748</v>
      </c>
      <c r="D24" s="490">
        <f>'2017-2018'!$T$53</f>
        <v>778</v>
      </c>
    </row>
    <row r="25" spans="2:14" ht="15.75" x14ac:dyDescent="0.25">
      <c r="B25" s="491" t="s">
        <v>506</v>
      </c>
      <c r="C25" s="490"/>
      <c r="D25" s="490"/>
    </row>
    <row r="26" spans="2:14" ht="15.75" x14ac:dyDescent="0.25">
      <c r="B26" s="492" t="s">
        <v>507</v>
      </c>
      <c r="C26" s="490">
        <f>'2017-2018'!B54</f>
        <v>291</v>
      </c>
      <c r="D26" s="490">
        <f>'2017-2018'!T54</f>
        <v>342</v>
      </c>
    </row>
    <row r="27" spans="2:14" ht="15.75" x14ac:dyDescent="0.25">
      <c r="B27" s="492" t="s">
        <v>111</v>
      </c>
      <c r="C27" s="490">
        <f>'2017-2018'!B55</f>
        <v>457</v>
      </c>
      <c r="D27" s="490">
        <f>'2017-2018'!T55</f>
        <v>436</v>
      </c>
    </row>
    <row r="28" spans="2:14" ht="15.75" x14ac:dyDescent="0.25">
      <c r="B28" s="492" t="s">
        <v>508</v>
      </c>
      <c r="C28" s="490">
        <f>'2017-2018'!$D$53</f>
        <v>57</v>
      </c>
      <c r="D28" s="490">
        <f>'2017-2018'!$V$53</f>
        <v>59</v>
      </c>
    </row>
    <row r="29" spans="2:14" ht="15.75" x14ac:dyDescent="0.25">
      <c r="B29" s="492" t="s">
        <v>509</v>
      </c>
      <c r="C29" s="490">
        <f>'2017-2018'!$E$53</f>
        <v>62</v>
      </c>
      <c r="D29" s="490">
        <f>'2017-2018'!$W$53</f>
        <v>72</v>
      </c>
    </row>
    <row r="32" spans="2:14" x14ac:dyDescent="0.2">
      <c r="B32" s="688" t="s">
        <v>520</v>
      </c>
      <c r="C32" s="688"/>
      <c r="D32" s="688"/>
      <c r="E32" s="688"/>
      <c r="F32" s="688"/>
      <c r="G32" s="688"/>
      <c r="H32" s="688"/>
      <c r="I32" s="688"/>
      <c r="J32" s="688"/>
      <c r="K32" s="688"/>
      <c r="L32" s="688"/>
      <c r="M32" s="689" t="s">
        <v>515</v>
      </c>
      <c r="N32" s="689"/>
    </row>
    <row r="34" spans="2:14" x14ac:dyDescent="0.2">
      <c r="B34" s="493" t="s">
        <v>516</v>
      </c>
      <c r="C34" s="683" t="s">
        <v>8</v>
      </c>
      <c r="D34" s="684"/>
      <c r="E34" s="685"/>
      <c r="F34" s="683" t="s">
        <v>470</v>
      </c>
      <c r="G34" s="684"/>
      <c r="H34" s="685"/>
      <c r="I34" s="683" t="s">
        <v>471</v>
      </c>
      <c r="J34" s="684"/>
      <c r="K34" s="685"/>
      <c r="L34" s="683" t="s">
        <v>517</v>
      </c>
      <c r="M34" s="684"/>
      <c r="N34" s="685"/>
    </row>
    <row r="35" spans="2:14" x14ac:dyDescent="0.2">
      <c r="B35" s="494" t="s">
        <v>518</v>
      </c>
      <c r="C35" s="495">
        <v>2017</v>
      </c>
      <c r="D35" s="495">
        <v>2018</v>
      </c>
      <c r="E35" s="496" t="s">
        <v>519</v>
      </c>
      <c r="F35" s="495">
        <f>C35</f>
        <v>2017</v>
      </c>
      <c r="G35" s="495">
        <f>D35</f>
        <v>2018</v>
      </c>
      <c r="H35" s="496" t="s">
        <v>519</v>
      </c>
      <c r="I35" s="495">
        <f>F35</f>
        <v>2017</v>
      </c>
      <c r="J35" s="495">
        <f>G35</f>
        <v>2018</v>
      </c>
      <c r="K35" s="496" t="s">
        <v>519</v>
      </c>
      <c r="L35" s="495">
        <f>I35</f>
        <v>2017</v>
      </c>
      <c r="M35" s="495">
        <f>J35</f>
        <v>2018</v>
      </c>
      <c r="N35" s="496" t="s">
        <v>519</v>
      </c>
    </row>
    <row r="36" spans="2:14" x14ac:dyDescent="0.2">
      <c r="B36" s="497"/>
      <c r="C36" s="617">
        <f>Grig1!$B$58</f>
        <v>748</v>
      </c>
      <c r="D36" s="498">
        <f>Grig1!$C$58</f>
        <v>778</v>
      </c>
      <c r="E36" s="499">
        <f>Grig1!$D$58</f>
        <v>4.0106951871657754</v>
      </c>
      <c r="F36" s="498">
        <f>Grig1!H58</f>
        <v>57</v>
      </c>
      <c r="G36" s="498">
        <f>Grig1!I58</f>
        <v>59</v>
      </c>
      <c r="H36" s="499">
        <f>Grig1!J58</f>
        <v>3.5087719298245612</v>
      </c>
      <c r="I36" s="498">
        <f>Grig1!K58</f>
        <v>62</v>
      </c>
      <c r="J36" s="498">
        <f>Grig1!L58</f>
        <v>72</v>
      </c>
      <c r="K36" s="499">
        <f>Grig1!M58</f>
        <v>16.129032258064516</v>
      </c>
      <c r="L36" s="500">
        <f>Grig1!E58/1000</f>
        <v>104171.269</v>
      </c>
      <c r="M36" s="500">
        <f>Grig1!F58/1000</f>
        <v>119476.55</v>
      </c>
      <c r="N36" s="501">
        <f>Grig1!G58</f>
        <v>14.692420613595484</v>
      </c>
    </row>
  </sheetData>
  <mergeCells count="19">
    <mergeCell ref="C5:D5"/>
    <mergeCell ref="A13:B13"/>
    <mergeCell ref="A12:B12"/>
    <mergeCell ref="A1:D1"/>
    <mergeCell ref="A2:D2"/>
    <mergeCell ref="C4:D4"/>
    <mergeCell ref="C10:D10"/>
    <mergeCell ref="C9:D9"/>
    <mergeCell ref="C8:D8"/>
    <mergeCell ref="C7:D7"/>
    <mergeCell ref="C6:D6"/>
    <mergeCell ref="C34:E34"/>
    <mergeCell ref="F34:H34"/>
    <mergeCell ref="I34:K34"/>
    <mergeCell ref="L34:N34"/>
    <mergeCell ref="B20:D20"/>
    <mergeCell ref="B21:D21"/>
    <mergeCell ref="B32:L32"/>
    <mergeCell ref="M32:N32"/>
  </mergeCells>
  <phoneticPr fontId="5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100"/>
  <sheetViews>
    <sheetView workbookViewId="0">
      <pane xSplit="1" ySplit="19" topLeftCell="B20" activePane="bottomRight" state="frozen"/>
      <selection pane="topRight" activeCell="B1" sqref="B1"/>
      <selection pane="bottomLeft" activeCell="A20" sqref="A20"/>
      <selection pane="bottomRight" sqref="A1:XFD1048576"/>
    </sheetView>
  </sheetViews>
  <sheetFormatPr defaultRowHeight="12.75" x14ac:dyDescent="0.2"/>
  <cols>
    <col min="1" max="1" width="45.7109375" customWidth="1"/>
  </cols>
  <sheetData>
    <row r="1" spans="1:37" x14ac:dyDescent="0.2">
      <c r="A1" s="626"/>
      <c r="B1" s="626">
        <v>2017</v>
      </c>
      <c r="C1" s="626">
        <v>2017</v>
      </c>
      <c r="D1" s="626">
        <v>2017</v>
      </c>
      <c r="E1" s="626">
        <v>2017</v>
      </c>
      <c r="F1" s="626">
        <v>2017</v>
      </c>
      <c r="G1" s="626">
        <v>2017</v>
      </c>
      <c r="H1" s="626">
        <v>2017</v>
      </c>
      <c r="I1" s="626">
        <v>2017</v>
      </c>
      <c r="J1" s="626">
        <v>2017</v>
      </c>
      <c r="K1" s="626">
        <v>2017</v>
      </c>
      <c r="L1" s="626">
        <v>2017</v>
      </c>
      <c r="M1" s="626">
        <v>2017</v>
      </c>
      <c r="N1" s="626">
        <v>2017</v>
      </c>
      <c r="O1" s="626">
        <v>2017</v>
      </c>
      <c r="P1" s="626">
        <v>2017</v>
      </c>
      <c r="Q1">
        <v>2017</v>
      </c>
      <c r="R1">
        <v>2017</v>
      </c>
      <c r="S1">
        <v>2017</v>
      </c>
      <c r="T1">
        <v>2018</v>
      </c>
      <c r="U1">
        <v>2018</v>
      </c>
      <c r="V1">
        <v>2018</v>
      </c>
      <c r="W1">
        <v>2018</v>
      </c>
      <c r="X1">
        <v>2018</v>
      </c>
      <c r="Y1">
        <v>2018</v>
      </c>
      <c r="Z1">
        <v>2018</v>
      </c>
      <c r="AA1">
        <v>2018</v>
      </c>
      <c r="AB1">
        <v>2018</v>
      </c>
      <c r="AC1">
        <v>2018</v>
      </c>
      <c r="AD1">
        <v>2018</v>
      </c>
      <c r="AE1">
        <v>2018</v>
      </c>
      <c r="AF1">
        <v>2018</v>
      </c>
      <c r="AG1">
        <v>2018</v>
      </c>
      <c r="AH1">
        <v>2018</v>
      </c>
      <c r="AI1">
        <v>2018</v>
      </c>
      <c r="AJ1">
        <v>2018</v>
      </c>
      <c r="AK1">
        <v>2018</v>
      </c>
    </row>
    <row r="2" spans="1:37" x14ac:dyDescent="0.2">
      <c r="A2" s="626"/>
      <c r="B2" s="626" t="s">
        <v>463</v>
      </c>
      <c r="C2" s="626" t="s">
        <v>267</v>
      </c>
      <c r="D2" s="626" t="s">
        <v>535</v>
      </c>
      <c r="E2" s="626" t="s">
        <v>269</v>
      </c>
      <c r="F2" s="626" t="s">
        <v>268</v>
      </c>
      <c r="G2" s="626" t="s">
        <v>322</v>
      </c>
      <c r="H2" s="626" t="s">
        <v>323</v>
      </c>
      <c r="I2" s="626" t="s">
        <v>324</v>
      </c>
      <c r="J2" s="626" t="s">
        <v>325</v>
      </c>
      <c r="K2" s="626" t="s">
        <v>326</v>
      </c>
      <c r="L2" s="626" t="s">
        <v>327</v>
      </c>
      <c r="M2" s="626" t="s">
        <v>328</v>
      </c>
      <c r="N2" s="626" t="s">
        <v>329</v>
      </c>
      <c r="O2" s="626" t="s">
        <v>330</v>
      </c>
      <c r="P2" s="626" t="s">
        <v>331</v>
      </c>
      <c r="Q2" t="s">
        <v>332</v>
      </c>
      <c r="R2" t="s">
        <v>333</v>
      </c>
      <c r="S2" t="s">
        <v>334</v>
      </c>
      <c r="T2" t="s">
        <v>463</v>
      </c>
      <c r="U2" t="s">
        <v>267</v>
      </c>
      <c r="V2" t="s">
        <v>535</v>
      </c>
      <c r="W2" t="s">
        <v>269</v>
      </c>
      <c r="X2" t="s">
        <v>268</v>
      </c>
      <c r="Y2" t="s">
        <v>322</v>
      </c>
      <c r="Z2" t="s">
        <v>323</v>
      </c>
      <c r="AA2" t="s">
        <v>324</v>
      </c>
      <c r="AB2" t="s">
        <v>325</v>
      </c>
      <c r="AC2" t="s">
        <v>326</v>
      </c>
      <c r="AD2" t="s">
        <v>327</v>
      </c>
      <c r="AE2" t="s">
        <v>328</v>
      </c>
      <c r="AF2" t="s">
        <v>329</v>
      </c>
      <c r="AG2" t="s">
        <v>330</v>
      </c>
      <c r="AH2" t="s">
        <v>331</v>
      </c>
      <c r="AI2" t="s">
        <v>332</v>
      </c>
      <c r="AJ2" t="s">
        <v>333</v>
      </c>
      <c r="AK2" t="s">
        <v>334</v>
      </c>
    </row>
    <row r="3" spans="1:37" x14ac:dyDescent="0.2">
      <c r="A3" t="s">
        <v>270</v>
      </c>
      <c r="B3">
        <v>54</v>
      </c>
      <c r="C3">
        <v>6870800</v>
      </c>
      <c r="D3">
        <v>4</v>
      </c>
      <c r="E3">
        <v>4</v>
      </c>
      <c r="F3">
        <v>5</v>
      </c>
      <c r="G3">
        <v>26750000</v>
      </c>
      <c r="H3">
        <v>3</v>
      </c>
      <c r="I3">
        <v>0</v>
      </c>
      <c r="J3">
        <v>0</v>
      </c>
      <c r="K3">
        <v>32</v>
      </c>
      <c r="L3">
        <v>3183</v>
      </c>
      <c r="M3">
        <v>10</v>
      </c>
      <c r="N3">
        <v>0</v>
      </c>
      <c r="O3">
        <v>0</v>
      </c>
      <c r="P3">
        <v>0</v>
      </c>
      <c r="Q3">
        <v>1</v>
      </c>
      <c r="R3">
        <v>1</v>
      </c>
      <c r="S3">
        <v>3</v>
      </c>
      <c r="T3">
        <v>52</v>
      </c>
      <c r="U3">
        <v>10701200</v>
      </c>
      <c r="V3">
        <v>4</v>
      </c>
      <c r="W3">
        <v>2</v>
      </c>
      <c r="X3">
        <v>3</v>
      </c>
      <c r="Y3">
        <v>28020000</v>
      </c>
      <c r="Z3">
        <v>1</v>
      </c>
      <c r="AA3">
        <v>3</v>
      </c>
      <c r="AB3">
        <v>0</v>
      </c>
      <c r="AC3">
        <v>43</v>
      </c>
      <c r="AD3">
        <v>4050</v>
      </c>
      <c r="AE3">
        <v>3</v>
      </c>
      <c r="AF3">
        <v>2</v>
      </c>
      <c r="AG3">
        <v>15</v>
      </c>
      <c r="AH3">
        <v>0</v>
      </c>
      <c r="AI3">
        <v>9</v>
      </c>
      <c r="AJ3">
        <v>4</v>
      </c>
      <c r="AK3">
        <v>7</v>
      </c>
    </row>
    <row r="4" spans="1:37" x14ac:dyDescent="0.2">
      <c r="A4" t="s">
        <v>271</v>
      </c>
      <c r="B4">
        <v>17</v>
      </c>
      <c r="C4">
        <v>3127600</v>
      </c>
      <c r="D4">
        <v>0</v>
      </c>
      <c r="E4">
        <v>2</v>
      </c>
      <c r="F4">
        <v>1</v>
      </c>
      <c r="G4">
        <v>14760000</v>
      </c>
      <c r="H4">
        <v>0</v>
      </c>
      <c r="I4">
        <v>0</v>
      </c>
      <c r="J4">
        <v>0</v>
      </c>
      <c r="K4">
        <v>11</v>
      </c>
      <c r="L4">
        <v>744</v>
      </c>
      <c r="M4">
        <v>0</v>
      </c>
      <c r="N4">
        <v>0</v>
      </c>
      <c r="O4">
        <v>13</v>
      </c>
      <c r="P4">
        <v>0</v>
      </c>
      <c r="Q4">
        <v>0</v>
      </c>
      <c r="R4">
        <v>0</v>
      </c>
      <c r="S4">
        <v>0</v>
      </c>
      <c r="T4">
        <v>16</v>
      </c>
      <c r="U4">
        <v>2861000</v>
      </c>
      <c r="V4">
        <v>1</v>
      </c>
      <c r="W4">
        <v>1</v>
      </c>
      <c r="X4">
        <v>3</v>
      </c>
      <c r="Y4">
        <v>16880000</v>
      </c>
      <c r="Z4">
        <v>0</v>
      </c>
      <c r="AA4">
        <v>0</v>
      </c>
      <c r="AB4">
        <v>0</v>
      </c>
      <c r="AC4">
        <v>15</v>
      </c>
      <c r="AD4">
        <v>1198</v>
      </c>
      <c r="AE4">
        <v>0</v>
      </c>
      <c r="AF4">
        <v>0</v>
      </c>
      <c r="AG4">
        <v>17</v>
      </c>
      <c r="AH4">
        <v>0</v>
      </c>
      <c r="AI4">
        <v>0</v>
      </c>
      <c r="AJ4">
        <v>2</v>
      </c>
      <c r="AK4">
        <v>0</v>
      </c>
    </row>
    <row r="5" spans="1:37" x14ac:dyDescent="0.2">
      <c r="A5" t="s">
        <v>272</v>
      </c>
      <c r="B5">
        <v>34</v>
      </c>
      <c r="C5">
        <v>4310000</v>
      </c>
      <c r="D5">
        <v>1</v>
      </c>
      <c r="E5">
        <v>2</v>
      </c>
      <c r="F5">
        <v>1</v>
      </c>
      <c r="G5">
        <v>23000000</v>
      </c>
      <c r="H5">
        <v>3</v>
      </c>
      <c r="I5">
        <v>2</v>
      </c>
      <c r="J5">
        <v>0</v>
      </c>
      <c r="K5">
        <v>25</v>
      </c>
      <c r="L5">
        <v>1374</v>
      </c>
      <c r="M5">
        <v>1</v>
      </c>
      <c r="N5">
        <v>0</v>
      </c>
      <c r="O5">
        <v>9</v>
      </c>
      <c r="P5">
        <v>0</v>
      </c>
      <c r="Q5">
        <v>0</v>
      </c>
      <c r="R5">
        <v>0</v>
      </c>
      <c r="S5">
        <v>0</v>
      </c>
      <c r="T5">
        <v>32</v>
      </c>
      <c r="U5">
        <v>3072000</v>
      </c>
      <c r="V5">
        <v>1</v>
      </c>
      <c r="W5">
        <v>1</v>
      </c>
      <c r="X5">
        <v>2</v>
      </c>
      <c r="Y5">
        <v>28950000</v>
      </c>
      <c r="Z5">
        <v>0</v>
      </c>
      <c r="AA5">
        <v>0</v>
      </c>
      <c r="AB5">
        <v>10</v>
      </c>
      <c r="AC5">
        <v>17</v>
      </c>
      <c r="AD5">
        <v>1302</v>
      </c>
      <c r="AE5">
        <v>2</v>
      </c>
      <c r="AF5">
        <v>0</v>
      </c>
      <c r="AG5">
        <v>3</v>
      </c>
      <c r="AH5">
        <v>0</v>
      </c>
      <c r="AI5">
        <v>0</v>
      </c>
      <c r="AJ5">
        <v>5</v>
      </c>
      <c r="AK5">
        <v>0</v>
      </c>
    </row>
    <row r="6" spans="1:37" x14ac:dyDescent="0.2">
      <c r="A6" t="s">
        <v>273</v>
      </c>
      <c r="B6">
        <v>37</v>
      </c>
      <c r="C6">
        <v>4361781</v>
      </c>
      <c r="D6">
        <v>3</v>
      </c>
      <c r="E6">
        <v>3</v>
      </c>
      <c r="F6">
        <v>5</v>
      </c>
      <c r="G6">
        <v>13290000</v>
      </c>
      <c r="H6">
        <v>4</v>
      </c>
      <c r="I6">
        <v>4</v>
      </c>
      <c r="J6">
        <v>10</v>
      </c>
      <c r="K6">
        <v>31</v>
      </c>
      <c r="L6">
        <v>1405</v>
      </c>
      <c r="M6">
        <v>2</v>
      </c>
      <c r="N6">
        <v>0</v>
      </c>
      <c r="O6">
        <v>19</v>
      </c>
      <c r="P6">
        <v>0</v>
      </c>
      <c r="Q6">
        <v>0</v>
      </c>
      <c r="R6">
        <v>0</v>
      </c>
      <c r="S6">
        <v>0</v>
      </c>
      <c r="T6">
        <v>30</v>
      </c>
      <c r="U6">
        <v>5429780</v>
      </c>
      <c r="V6">
        <v>3</v>
      </c>
      <c r="W6">
        <v>0</v>
      </c>
      <c r="X6">
        <v>1</v>
      </c>
      <c r="Y6">
        <v>24160000</v>
      </c>
      <c r="Z6">
        <v>1</v>
      </c>
      <c r="AA6">
        <v>2</v>
      </c>
      <c r="AB6">
        <v>0</v>
      </c>
      <c r="AC6">
        <v>15</v>
      </c>
      <c r="AD6">
        <v>705</v>
      </c>
      <c r="AE6">
        <v>0</v>
      </c>
      <c r="AF6">
        <v>0</v>
      </c>
      <c r="AG6">
        <v>2</v>
      </c>
      <c r="AH6">
        <v>1</v>
      </c>
      <c r="AI6">
        <v>1</v>
      </c>
      <c r="AJ6">
        <v>2129</v>
      </c>
      <c r="AK6">
        <v>10</v>
      </c>
    </row>
    <row r="7" spans="1:37" x14ac:dyDescent="0.2">
      <c r="A7" t="s">
        <v>274</v>
      </c>
      <c r="B7">
        <v>25</v>
      </c>
      <c r="C7">
        <v>3743928</v>
      </c>
      <c r="D7">
        <v>1</v>
      </c>
      <c r="E7">
        <v>3</v>
      </c>
      <c r="F7">
        <v>3</v>
      </c>
      <c r="G7">
        <v>16425000</v>
      </c>
      <c r="H7">
        <v>0</v>
      </c>
      <c r="I7">
        <v>0</v>
      </c>
      <c r="J7">
        <v>0</v>
      </c>
      <c r="K7">
        <v>17</v>
      </c>
      <c r="L7">
        <v>841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21</v>
      </c>
      <c r="U7">
        <v>5727487</v>
      </c>
      <c r="V7">
        <v>1</v>
      </c>
      <c r="W7">
        <v>3</v>
      </c>
      <c r="X7">
        <v>1</v>
      </c>
      <c r="Y7">
        <v>18230000</v>
      </c>
      <c r="Z7">
        <v>4</v>
      </c>
      <c r="AA7">
        <v>114</v>
      </c>
      <c r="AB7">
        <v>0</v>
      </c>
      <c r="AC7">
        <v>21</v>
      </c>
      <c r="AD7">
        <v>474</v>
      </c>
      <c r="AE7">
        <v>0</v>
      </c>
      <c r="AF7">
        <v>0</v>
      </c>
      <c r="AG7">
        <v>0</v>
      </c>
      <c r="AH7">
        <v>0</v>
      </c>
      <c r="AI7">
        <v>2</v>
      </c>
      <c r="AJ7">
        <v>0</v>
      </c>
      <c r="AK7">
        <v>0</v>
      </c>
    </row>
    <row r="8" spans="1:37" x14ac:dyDescent="0.2">
      <c r="A8" t="s">
        <v>275</v>
      </c>
      <c r="B8">
        <v>48</v>
      </c>
      <c r="C8">
        <v>4780500</v>
      </c>
      <c r="D8">
        <v>5</v>
      </c>
      <c r="E8">
        <v>2</v>
      </c>
      <c r="F8">
        <v>3</v>
      </c>
      <c r="G8">
        <v>17250000</v>
      </c>
      <c r="H8">
        <v>2</v>
      </c>
      <c r="I8">
        <v>30</v>
      </c>
      <c r="J8">
        <v>0</v>
      </c>
      <c r="K8">
        <v>20</v>
      </c>
      <c r="L8">
        <v>1473</v>
      </c>
      <c r="M8">
        <v>6</v>
      </c>
      <c r="N8">
        <v>0</v>
      </c>
      <c r="O8">
        <v>12</v>
      </c>
      <c r="P8">
        <v>0</v>
      </c>
      <c r="Q8">
        <v>0</v>
      </c>
      <c r="R8">
        <v>0</v>
      </c>
      <c r="S8">
        <v>0</v>
      </c>
      <c r="T8">
        <v>74</v>
      </c>
      <c r="U8">
        <v>8360000</v>
      </c>
      <c r="V8">
        <v>6</v>
      </c>
      <c r="W8">
        <v>10</v>
      </c>
      <c r="X8">
        <v>25</v>
      </c>
      <c r="Y8">
        <v>34630000</v>
      </c>
      <c r="Z8">
        <v>1</v>
      </c>
      <c r="AA8">
        <v>2</v>
      </c>
      <c r="AB8">
        <v>9</v>
      </c>
      <c r="AC8">
        <v>42</v>
      </c>
      <c r="AD8">
        <v>1375</v>
      </c>
      <c r="AE8">
        <v>5</v>
      </c>
      <c r="AF8">
        <v>10</v>
      </c>
      <c r="AG8">
        <v>11</v>
      </c>
      <c r="AH8">
        <v>0</v>
      </c>
      <c r="AI8">
        <v>0</v>
      </c>
      <c r="AJ8">
        <v>0</v>
      </c>
      <c r="AK8">
        <v>0</v>
      </c>
    </row>
    <row r="9" spans="1:37" x14ac:dyDescent="0.2">
      <c r="A9" t="s">
        <v>276</v>
      </c>
      <c r="B9">
        <v>23</v>
      </c>
      <c r="C9">
        <v>2788097</v>
      </c>
      <c r="D9">
        <v>5</v>
      </c>
      <c r="E9">
        <v>3</v>
      </c>
      <c r="F9">
        <v>2</v>
      </c>
      <c r="G9">
        <v>32350000</v>
      </c>
      <c r="H9">
        <v>0</v>
      </c>
      <c r="I9">
        <v>6</v>
      </c>
      <c r="J9">
        <v>0</v>
      </c>
      <c r="K9">
        <v>13</v>
      </c>
      <c r="L9">
        <v>1121</v>
      </c>
      <c r="M9">
        <v>2</v>
      </c>
      <c r="N9">
        <v>0</v>
      </c>
      <c r="O9">
        <v>0</v>
      </c>
      <c r="P9">
        <v>0</v>
      </c>
      <c r="Q9">
        <v>4</v>
      </c>
      <c r="R9">
        <v>8</v>
      </c>
      <c r="S9">
        <v>0</v>
      </c>
      <c r="T9">
        <v>15</v>
      </c>
      <c r="U9">
        <v>3525000</v>
      </c>
      <c r="V9">
        <v>2</v>
      </c>
      <c r="W9">
        <v>1</v>
      </c>
      <c r="X9">
        <v>0</v>
      </c>
      <c r="Y9">
        <v>24340000</v>
      </c>
      <c r="Z9">
        <v>0</v>
      </c>
      <c r="AA9">
        <v>1</v>
      </c>
      <c r="AB9">
        <v>14</v>
      </c>
      <c r="AC9">
        <v>12</v>
      </c>
      <c r="AD9">
        <v>705</v>
      </c>
      <c r="AE9">
        <v>1</v>
      </c>
      <c r="AF9">
        <v>0</v>
      </c>
      <c r="AG9">
        <v>2</v>
      </c>
      <c r="AH9">
        <v>0</v>
      </c>
      <c r="AI9">
        <v>0</v>
      </c>
      <c r="AJ9">
        <v>0</v>
      </c>
      <c r="AK9">
        <v>0</v>
      </c>
    </row>
    <row r="10" spans="1:37" x14ac:dyDescent="0.2">
      <c r="A10" t="s">
        <v>277</v>
      </c>
      <c r="B10">
        <v>23</v>
      </c>
      <c r="C10">
        <v>7835887</v>
      </c>
      <c r="D10">
        <v>2</v>
      </c>
      <c r="E10">
        <v>0</v>
      </c>
      <c r="F10">
        <v>1</v>
      </c>
      <c r="G10">
        <v>11600000</v>
      </c>
      <c r="H10">
        <v>1</v>
      </c>
      <c r="I10">
        <v>0</v>
      </c>
      <c r="J10">
        <v>0</v>
      </c>
      <c r="K10">
        <v>9</v>
      </c>
      <c r="L10">
        <v>404</v>
      </c>
      <c r="M10">
        <v>1</v>
      </c>
      <c r="N10">
        <v>0</v>
      </c>
      <c r="O10">
        <v>10</v>
      </c>
      <c r="P10">
        <v>0</v>
      </c>
      <c r="Q10">
        <v>0</v>
      </c>
      <c r="R10">
        <v>0</v>
      </c>
      <c r="S10">
        <v>0</v>
      </c>
      <c r="T10">
        <v>23</v>
      </c>
      <c r="U10">
        <v>3491326</v>
      </c>
      <c r="V10">
        <v>1</v>
      </c>
      <c r="W10">
        <v>1</v>
      </c>
      <c r="X10">
        <v>3</v>
      </c>
      <c r="Y10">
        <v>10320000</v>
      </c>
      <c r="Z10">
        <v>1</v>
      </c>
      <c r="AA10">
        <v>0</v>
      </c>
      <c r="AB10">
        <v>0</v>
      </c>
      <c r="AC10">
        <v>11</v>
      </c>
      <c r="AD10">
        <v>2154</v>
      </c>
      <c r="AE10">
        <v>1</v>
      </c>
      <c r="AF10">
        <v>0</v>
      </c>
      <c r="AG10">
        <v>5</v>
      </c>
      <c r="AH10">
        <v>0</v>
      </c>
      <c r="AI10">
        <v>0</v>
      </c>
      <c r="AJ10">
        <v>0</v>
      </c>
      <c r="AK10">
        <v>0</v>
      </c>
    </row>
    <row r="11" spans="1:37" x14ac:dyDescent="0.2">
      <c r="A11" t="s">
        <v>278</v>
      </c>
      <c r="B11">
        <v>12</v>
      </c>
      <c r="C11">
        <v>1534000</v>
      </c>
      <c r="D11">
        <v>0</v>
      </c>
      <c r="E11">
        <v>0</v>
      </c>
      <c r="F11">
        <v>0</v>
      </c>
      <c r="G11">
        <v>3050000</v>
      </c>
      <c r="H11">
        <v>2</v>
      </c>
      <c r="I11">
        <v>0</v>
      </c>
      <c r="J11">
        <v>0</v>
      </c>
      <c r="K11">
        <v>6</v>
      </c>
      <c r="L11">
        <v>176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9</v>
      </c>
      <c r="U11">
        <v>834500</v>
      </c>
      <c r="V11">
        <v>0</v>
      </c>
      <c r="W11">
        <v>0</v>
      </c>
      <c r="X11">
        <v>0</v>
      </c>
      <c r="Y11">
        <v>3750000</v>
      </c>
      <c r="Z11">
        <v>2</v>
      </c>
      <c r="AA11">
        <v>1</v>
      </c>
      <c r="AB11">
        <v>3</v>
      </c>
      <c r="AC11">
        <v>4</v>
      </c>
      <c r="AD11">
        <v>223</v>
      </c>
      <c r="AE11">
        <v>0</v>
      </c>
      <c r="AF11">
        <v>0</v>
      </c>
      <c r="AG11">
        <v>10</v>
      </c>
      <c r="AH11">
        <v>0</v>
      </c>
      <c r="AI11">
        <v>0</v>
      </c>
      <c r="AJ11">
        <v>0</v>
      </c>
      <c r="AK11">
        <v>0</v>
      </c>
    </row>
    <row r="12" spans="1:37" x14ac:dyDescent="0.2">
      <c r="A12" t="s">
        <v>279</v>
      </c>
      <c r="B12">
        <v>15</v>
      </c>
      <c r="C12">
        <v>531000</v>
      </c>
      <c r="D12">
        <v>1</v>
      </c>
      <c r="E12">
        <v>0</v>
      </c>
      <c r="F12">
        <v>0</v>
      </c>
      <c r="G12">
        <v>5350000</v>
      </c>
      <c r="H12">
        <v>0</v>
      </c>
      <c r="I12">
        <v>0</v>
      </c>
      <c r="J12">
        <v>0</v>
      </c>
      <c r="K12">
        <v>10</v>
      </c>
      <c r="L12">
        <v>946</v>
      </c>
      <c r="M12">
        <v>0</v>
      </c>
      <c r="N12">
        <v>0</v>
      </c>
      <c r="O12">
        <v>71</v>
      </c>
      <c r="P12">
        <v>0</v>
      </c>
      <c r="Q12">
        <v>0</v>
      </c>
      <c r="R12">
        <v>0</v>
      </c>
      <c r="S12">
        <v>0</v>
      </c>
      <c r="T12">
        <v>22</v>
      </c>
      <c r="U12">
        <v>3270000</v>
      </c>
      <c r="V12">
        <v>2</v>
      </c>
      <c r="W12">
        <v>0</v>
      </c>
      <c r="X12">
        <v>1</v>
      </c>
      <c r="Y12">
        <v>13050000</v>
      </c>
      <c r="Z12">
        <v>0</v>
      </c>
      <c r="AA12">
        <v>0</v>
      </c>
      <c r="AB12">
        <v>0</v>
      </c>
      <c r="AC12">
        <v>31</v>
      </c>
      <c r="AD12">
        <v>1314</v>
      </c>
      <c r="AE12">
        <v>0</v>
      </c>
      <c r="AF12">
        <v>3</v>
      </c>
      <c r="AG12">
        <v>4</v>
      </c>
      <c r="AH12">
        <v>0</v>
      </c>
      <c r="AI12">
        <v>0</v>
      </c>
      <c r="AJ12">
        <v>0</v>
      </c>
      <c r="AK12">
        <v>0</v>
      </c>
    </row>
    <row r="13" spans="1:37" x14ac:dyDescent="0.2">
      <c r="A13" t="s">
        <v>280</v>
      </c>
      <c r="B13">
        <v>17</v>
      </c>
      <c r="C13">
        <v>2221000</v>
      </c>
      <c r="D13">
        <v>4</v>
      </c>
      <c r="E13">
        <v>1</v>
      </c>
      <c r="F13">
        <v>2</v>
      </c>
      <c r="G13">
        <v>10800000</v>
      </c>
      <c r="H13">
        <v>2</v>
      </c>
      <c r="I13">
        <v>3</v>
      </c>
      <c r="J13">
        <v>3</v>
      </c>
      <c r="K13">
        <v>14</v>
      </c>
      <c r="L13">
        <v>572</v>
      </c>
      <c r="M13">
        <v>2</v>
      </c>
      <c r="N13">
        <v>0</v>
      </c>
      <c r="O13">
        <v>1</v>
      </c>
      <c r="P13">
        <v>0</v>
      </c>
      <c r="Q13">
        <v>0</v>
      </c>
      <c r="R13">
        <v>40</v>
      </c>
      <c r="S13">
        <v>14</v>
      </c>
      <c r="T13">
        <v>18</v>
      </c>
      <c r="U13">
        <v>2640000</v>
      </c>
      <c r="V13">
        <v>2</v>
      </c>
      <c r="W13">
        <v>0</v>
      </c>
      <c r="X13">
        <v>8</v>
      </c>
      <c r="Y13">
        <v>26500000</v>
      </c>
      <c r="Z13">
        <v>3</v>
      </c>
      <c r="AA13">
        <v>3</v>
      </c>
      <c r="AB13">
        <v>0</v>
      </c>
      <c r="AC13">
        <v>17</v>
      </c>
      <c r="AD13">
        <v>525</v>
      </c>
      <c r="AE13">
        <v>4</v>
      </c>
      <c r="AF13">
        <v>0</v>
      </c>
      <c r="AG13">
        <v>0</v>
      </c>
      <c r="AH13">
        <v>0</v>
      </c>
      <c r="AI13">
        <v>0</v>
      </c>
      <c r="AJ13">
        <v>5</v>
      </c>
      <c r="AK13">
        <v>0</v>
      </c>
    </row>
    <row r="14" spans="1:37" x14ac:dyDescent="0.2">
      <c r="A14" t="s">
        <v>281</v>
      </c>
      <c r="B14">
        <v>33</v>
      </c>
      <c r="C14">
        <v>3552400</v>
      </c>
      <c r="D14">
        <v>4</v>
      </c>
      <c r="E14">
        <v>4</v>
      </c>
      <c r="F14">
        <v>1</v>
      </c>
      <c r="G14">
        <v>38550000</v>
      </c>
      <c r="H14">
        <v>2</v>
      </c>
      <c r="I14">
        <v>2</v>
      </c>
      <c r="J14">
        <v>0</v>
      </c>
      <c r="K14">
        <v>23</v>
      </c>
      <c r="L14">
        <v>1022</v>
      </c>
      <c r="M14">
        <v>0</v>
      </c>
      <c r="N14">
        <v>8</v>
      </c>
      <c r="O14">
        <v>37</v>
      </c>
      <c r="P14">
        <v>0</v>
      </c>
      <c r="Q14">
        <v>11</v>
      </c>
      <c r="R14">
        <v>21</v>
      </c>
      <c r="S14">
        <v>0</v>
      </c>
      <c r="T14">
        <v>34</v>
      </c>
      <c r="U14">
        <v>5243000</v>
      </c>
      <c r="V14">
        <v>4</v>
      </c>
      <c r="W14">
        <v>0</v>
      </c>
      <c r="X14">
        <v>5</v>
      </c>
      <c r="Y14">
        <v>39700000</v>
      </c>
      <c r="Z14">
        <v>2</v>
      </c>
      <c r="AA14">
        <v>1</v>
      </c>
      <c r="AB14">
        <v>0</v>
      </c>
      <c r="AC14">
        <v>42</v>
      </c>
      <c r="AD14">
        <v>1809</v>
      </c>
      <c r="AE14">
        <v>1</v>
      </c>
      <c r="AF14">
        <v>0</v>
      </c>
      <c r="AG14">
        <v>58</v>
      </c>
      <c r="AH14">
        <v>0</v>
      </c>
      <c r="AI14">
        <v>1</v>
      </c>
      <c r="AJ14">
        <v>1</v>
      </c>
      <c r="AK14">
        <v>620</v>
      </c>
    </row>
    <row r="15" spans="1:37" x14ac:dyDescent="0.2">
      <c r="A15" t="s">
        <v>282</v>
      </c>
      <c r="B15">
        <v>13</v>
      </c>
      <c r="C15">
        <v>1065700</v>
      </c>
      <c r="D15">
        <v>0</v>
      </c>
      <c r="E15">
        <v>1</v>
      </c>
      <c r="F15">
        <v>2</v>
      </c>
      <c r="G15">
        <v>4400000</v>
      </c>
      <c r="H15">
        <v>1</v>
      </c>
      <c r="I15">
        <v>0</v>
      </c>
      <c r="J15">
        <v>0</v>
      </c>
      <c r="K15">
        <v>8</v>
      </c>
      <c r="L15">
        <v>725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14</v>
      </c>
      <c r="U15">
        <v>4295500</v>
      </c>
      <c r="V15">
        <v>1</v>
      </c>
      <c r="W15">
        <v>2</v>
      </c>
      <c r="X15">
        <v>2</v>
      </c>
      <c r="Y15">
        <v>7300000</v>
      </c>
      <c r="Z15">
        <v>3</v>
      </c>
      <c r="AA15">
        <v>0</v>
      </c>
      <c r="AB15">
        <v>0</v>
      </c>
      <c r="AC15">
        <v>11</v>
      </c>
      <c r="AD15">
        <v>1002</v>
      </c>
      <c r="AE15">
        <v>0</v>
      </c>
      <c r="AF15">
        <v>0</v>
      </c>
      <c r="AG15">
        <v>1</v>
      </c>
      <c r="AH15">
        <v>0</v>
      </c>
      <c r="AI15">
        <v>0</v>
      </c>
      <c r="AJ15">
        <v>0</v>
      </c>
      <c r="AK15">
        <v>0</v>
      </c>
    </row>
    <row r="16" spans="1:37" x14ac:dyDescent="0.2">
      <c r="A16" t="s">
        <v>283</v>
      </c>
      <c r="B16">
        <v>20</v>
      </c>
      <c r="C16">
        <v>2736242</v>
      </c>
      <c r="D16">
        <v>1</v>
      </c>
      <c r="E16">
        <v>1</v>
      </c>
      <c r="F16">
        <v>0</v>
      </c>
      <c r="G16">
        <v>9350000</v>
      </c>
      <c r="H16">
        <v>0</v>
      </c>
      <c r="I16">
        <v>0</v>
      </c>
      <c r="J16">
        <v>0</v>
      </c>
      <c r="K16">
        <v>10</v>
      </c>
      <c r="L16">
        <v>597</v>
      </c>
      <c r="M16">
        <v>1</v>
      </c>
      <c r="N16">
        <v>0</v>
      </c>
      <c r="O16">
        <v>0</v>
      </c>
      <c r="P16">
        <v>2</v>
      </c>
      <c r="Q16">
        <v>4</v>
      </c>
      <c r="R16">
        <v>14</v>
      </c>
      <c r="S16">
        <v>0</v>
      </c>
      <c r="T16">
        <v>24</v>
      </c>
      <c r="U16">
        <v>4055000</v>
      </c>
      <c r="V16">
        <v>3</v>
      </c>
      <c r="W16">
        <v>2</v>
      </c>
      <c r="X16">
        <v>3</v>
      </c>
      <c r="Y16">
        <v>10970000</v>
      </c>
      <c r="Z16">
        <v>4</v>
      </c>
      <c r="AA16">
        <v>0</v>
      </c>
      <c r="AB16">
        <v>0</v>
      </c>
      <c r="AC16">
        <v>15</v>
      </c>
      <c r="AD16">
        <v>532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0</v>
      </c>
    </row>
    <row r="17" spans="1:37" x14ac:dyDescent="0.2">
      <c r="A17" t="s">
        <v>284</v>
      </c>
      <c r="B17">
        <v>39</v>
      </c>
      <c r="C17">
        <v>4217000</v>
      </c>
      <c r="D17">
        <v>1</v>
      </c>
      <c r="E17">
        <v>4</v>
      </c>
      <c r="F17">
        <v>11</v>
      </c>
      <c r="G17">
        <v>19850000</v>
      </c>
      <c r="H17">
        <v>3</v>
      </c>
      <c r="I17">
        <v>0</v>
      </c>
      <c r="J17">
        <v>0</v>
      </c>
      <c r="K17">
        <v>12</v>
      </c>
      <c r="L17">
        <v>349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27</v>
      </c>
      <c r="U17">
        <v>4650100</v>
      </c>
      <c r="V17">
        <v>2</v>
      </c>
      <c r="W17">
        <v>7</v>
      </c>
      <c r="X17">
        <v>35</v>
      </c>
      <c r="Y17">
        <v>18310000</v>
      </c>
      <c r="Z17">
        <v>1</v>
      </c>
      <c r="AA17">
        <v>0</v>
      </c>
      <c r="AB17">
        <v>0</v>
      </c>
      <c r="AC17">
        <v>10</v>
      </c>
      <c r="AD17">
        <v>263</v>
      </c>
      <c r="AE17">
        <v>1</v>
      </c>
      <c r="AF17">
        <v>0</v>
      </c>
      <c r="AG17">
        <v>7</v>
      </c>
      <c r="AH17">
        <v>0</v>
      </c>
      <c r="AI17">
        <v>0</v>
      </c>
      <c r="AJ17">
        <v>0</v>
      </c>
      <c r="AK17">
        <v>0</v>
      </c>
    </row>
    <row r="18" spans="1:37" x14ac:dyDescent="0.2">
      <c r="A18" t="s">
        <v>285</v>
      </c>
      <c r="B18">
        <v>57</v>
      </c>
      <c r="C18">
        <v>14510418</v>
      </c>
      <c r="D18">
        <v>6</v>
      </c>
      <c r="E18">
        <v>4</v>
      </c>
      <c r="F18">
        <v>6</v>
      </c>
      <c r="G18">
        <v>40270000</v>
      </c>
      <c r="H18">
        <v>12</v>
      </c>
      <c r="I18">
        <v>3</v>
      </c>
      <c r="J18">
        <v>2</v>
      </c>
      <c r="K18">
        <v>42</v>
      </c>
      <c r="L18">
        <v>2263</v>
      </c>
      <c r="M18">
        <v>3</v>
      </c>
      <c r="N18">
        <v>1</v>
      </c>
      <c r="O18">
        <v>26</v>
      </c>
      <c r="P18">
        <v>1</v>
      </c>
      <c r="Q18">
        <v>0</v>
      </c>
      <c r="R18">
        <v>12</v>
      </c>
      <c r="S18">
        <v>39</v>
      </c>
      <c r="T18">
        <v>55</v>
      </c>
      <c r="U18">
        <v>7905161</v>
      </c>
      <c r="V18">
        <v>3</v>
      </c>
      <c r="W18">
        <v>2</v>
      </c>
      <c r="X18">
        <v>2</v>
      </c>
      <c r="Y18">
        <v>35810000</v>
      </c>
      <c r="Z18">
        <v>2</v>
      </c>
      <c r="AA18">
        <v>8</v>
      </c>
      <c r="AB18">
        <v>0</v>
      </c>
      <c r="AC18">
        <v>26</v>
      </c>
      <c r="AD18">
        <v>2556</v>
      </c>
      <c r="AE18">
        <v>4</v>
      </c>
      <c r="AF18">
        <v>0</v>
      </c>
      <c r="AG18">
        <v>10</v>
      </c>
      <c r="AH18">
        <v>0</v>
      </c>
      <c r="AI18">
        <v>1</v>
      </c>
      <c r="AJ18">
        <v>6</v>
      </c>
      <c r="AK18">
        <v>25</v>
      </c>
    </row>
    <row r="19" spans="1:37" x14ac:dyDescent="0.2">
      <c r="A19" t="s">
        <v>286</v>
      </c>
      <c r="B19">
        <v>9</v>
      </c>
      <c r="C19">
        <v>906000</v>
      </c>
      <c r="D19">
        <v>1</v>
      </c>
      <c r="E19">
        <v>1</v>
      </c>
      <c r="F19">
        <v>0</v>
      </c>
      <c r="G19">
        <v>2030000</v>
      </c>
      <c r="H19">
        <v>0</v>
      </c>
      <c r="I19">
        <v>1</v>
      </c>
      <c r="J19">
        <v>0</v>
      </c>
      <c r="K19">
        <v>4</v>
      </c>
      <c r="L19">
        <v>269</v>
      </c>
      <c r="M19">
        <v>0</v>
      </c>
      <c r="N19">
        <v>0</v>
      </c>
      <c r="O19">
        <v>28</v>
      </c>
      <c r="P19">
        <v>0</v>
      </c>
      <c r="Q19">
        <v>0</v>
      </c>
      <c r="R19">
        <v>0</v>
      </c>
      <c r="S19">
        <v>0</v>
      </c>
      <c r="T19">
        <v>16</v>
      </c>
      <c r="U19">
        <v>2231136</v>
      </c>
      <c r="V19">
        <v>2</v>
      </c>
      <c r="W19">
        <v>1</v>
      </c>
      <c r="X19">
        <v>2</v>
      </c>
      <c r="Y19">
        <v>8400000</v>
      </c>
      <c r="Z19">
        <v>4</v>
      </c>
      <c r="AA19">
        <v>0</v>
      </c>
      <c r="AB19">
        <v>0</v>
      </c>
      <c r="AC19">
        <v>16</v>
      </c>
      <c r="AD19">
        <v>1461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0</v>
      </c>
      <c r="AK19">
        <v>0</v>
      </c>
    </row>
    <row r="20" spans="1:37" x14ac:dyDescent="0.2">
      <c r="A20" t="s">
        <v>287</v>
      </c>
      <c r="B20">
        <v>40</v>
      </c>
      <c r="C20">
        <v>6400750</v>
      </c>
      <c r="D20">
        <v>2</v>
      </c>
      <c r="E20">
        <v>3</v>
      </c>
      <c r="F20">
        <v>24</v>
      </c>
      <c r="G20">
        <v>34270000</v>
      </c>
      <c r="H20">
        <v>1</v>
      </c>
      <c r="I20">
        <v>0</v>
      </c>
      <c r="J20">
        <v>0</v>
      </c>
      <c r="K20">
        <v>32</v>
      </c>
      <c r="L20">
        <v>1045</v>
      </c>
      <c r="M20">
        <v>1</v>
      </c>
      <c r="N20">
        <v>0</v>
      </c>
      <c r="O20">
        <v>5</v>
      </c>
      <c r="P20">
        <v>0</v>
      </c>
      <c r="Q20">
        <v>0</v>
      </c>
      <c r="R20">
        <v>6</v>
      </c>
      <c r="S20">
        <v>6</v>
      </c>
      <c r="T20">
        <v>33</v>
      </c>
      <c r="U20">
        <v>4501500</v>
      </c>
      <c r="V20">
        <v>3</v>
      </c>
      <c r="W20">
        <v>4</v>
      </c>
      <c r="X20">
        <v>11</v>
      </c>
      <c r="Y20">
        <v>27350000</v>
      </c>
      <c r="Z20">
        <v>3</v>
      </c>
      <c r="AA20">
        <v>0</v>
      </c>
      <c r="AB20">
        <v>0</v>
      </c>
      <c r="AC20">
        <v>18</v>
      </c>
      <c r="AD20">
        <v>766</v>
      </c>
      <c r="AE20">
        <v>3</v>
      </c>
      <c r="AF20">
        <v>0</v>
      </c>
      <c r="AG20">
        <v>3</v>
      </c>
      <c r="AH20">
        <v>0</v>
      </c>
      <c r="AI20">
        <v>0</v>
      </c>
      <c r="AJ20">
        <v>0</v>
      </c>
      <c r="AK20">
        <v>0</v>
      </c>
    </row>
    <row r="21" spans="1:37" x14ac:dyDescent="0.2">
      <c r="A21" t="s">
        <v>288</v>
      </c>
      <c r="B21">
        <v>29</v>
      </c>
      <c r="C21">
        <v>6138347</v>
      </c>
      <c r="D21">
        <v>1</v>
      </c>
      <c r="E21">
        <v>1</v>
      </c>
      <c r="F21">
        <v>7</v>
      </c>
      <c r="G21">
        <v>12100000</v>
      </c>
      <c r="H21">
        <v>1</v>
      </c>
      <c r="I21">
        <v>3</v>
      </c>
      <c r="J21">
        <v>4</v>
      </c>
      <c r="K21">
        <v>28</v>
      </c>
      <c r="L21">
        <v>1367</v>
      </c>
      <c r="M21">
        <v>3</v>
      </c>
      <c r="N21">
        <v>0</v>
      </c>
      <c r="O21">
        <v>3</v>
      </c>
      <c r="P21">
        <v>0</v>
      </c>
      <c r="Q21">
        <v>0</v>
      </c>
      <c r="R21">
        <v>0</v>
      </c>
      <c r="S21">
        <v>0</v>
      </c>
      <c r="T21">
        <v>25</v>
      </c>
      <c r="U21">
        <v>3005000</v>
      </c>
      <c r="V21">
        <v>4</v>
      </c>
      <c r="W21">
        <v>3</v>
      </c>
      <c r="X21">
        <v>4</v>
      </c>
      <c r="Y21">
        <v>14700000</v>
      </c>
      <c r="Z21">
        <v>0</v>
      </c>
      <c r="AA21">
        <v>0</v>
      </c>
      <c r="AB21">
        <v>0</v>
      </c>
      <c r="AC21">
        <v>18</v>
      </c>
      <c r="AD21">
        <v>1437</v>
      </c>
      <c r="AE21">
        <v>1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</row>
    <row r="22" spans="1:37" x14ac:dyDescent="0.2">
      <c r="A22" t="s">
        <v>289</v>
      </c>
      <c r="B22">
        <v>14</v>
      </c>
      <c r="C22">
        <v>784000</v>
      </c>
      <c r="D22">
        <v>2</v>
      </c>
      <c r="E22">
        <v>2</v>
      </c>
      <c r="F22">
        <v>1</v>
      </c>
      <c r="G22">
        <v>9200000</v>
      </c>
      <c r="H22">
        <v>0</v>
      </c>
      <c r="I22">
        <v>2</v>
      </c>
      <c r="J22">
        <v>0</v>
      </c>
      <c r="K22">
        <v>2</v>
      </c>
      <c r="L22">
        <v>126</v>
      </c>
      <c r="M22">
        <v>0</v>
      </c>
      <c r="N22">
        <v>0</v>
      </c>
      <c r="O22">
        <v>4</v>
      </c>
      <c r="P22">
        <v>0</v>
      </c>
      <c r="Q22">
        <v>0</v>
      </c>
      <c r="R22">
        <v>0</v>
      </c>
      <c r="S22">
        <v>0</v>
      </c>
      <c r="T22">
        <v>15</v>
      </c>
      <c r="U22">
        <v>1374528</v>
      </c>
      <c r="V22">
        <v>5</v>
      </c>
      <c r="W22">
        <v>0</v>
      </c>
      <c r="X22">
        <v>0</v>
      </c>
      <c r="Y22">
        <v>11600000</v>
      </c>
      <c r="Z22">
        <v>1</v>
      </c>
      <c r="AA22">
        <v>0</v>
      </c>
      <c r="AB22">
        <v>0</v>
      </c>
      <c r="AC22">
        <v>4</v>
      </c>
      <c r="AD22">
        <v>387</v>
      </c>
      <c r="AE22">
        <v>0</v>
      </c>
      <c r="AF22">
        <v>0</v>
      </c>
      <c r="AG22">
        <v>1</v>
      </c>
      <c r="AH22">
        <v>0</v>
      </c>
      <c r="AI22">
        <v>0</v>
      </c>
      <c r="AJ22">
        <v>29</v>
      </c>
      <c r="AK22">
        <v>0</v>
      </c>
    </row>
    <row r="23" spans="1:37" x14ac:dyDescent="0.2">
      <c r="A23" t="s">
        <v>290</v>
      </c>
      <c r="B23">
        <v>8</v>
      </c>
      <c r="C23">
        <v>938800</v>
      </c>
      <c r="D23">
        <v>3</v>
      </c>
      <c r="E23">
        <v>0</v>
      </c>
      <c r="F23">
        <v>0</v>
      </c>
      <c r="G23">
        <v>6050000</v>
      </c>
      <c r="H23">
        <v>0</v>
      </c>
      <c r="I23">
        <v>0</v>
      </c>
      <c r="J23">
        <v>0</v>
      </c>
      <c r="K23">
        <v>8</v>
      </c>
      <c r="L23">
        <v>193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11</v>
      </c>
      <c r="U23">
        <v>5335325</v>
      </c>
      <c r="V23">
        <v>1</v>
      </c>
      <c r="W23">
        <v>0</v>
      </c>
      <c r="X23">
        <v>0</v>
      </c>
      <c r="Y23">
        <v>5100000</v>
      </c>
      <c r="Z23">
        <v>2</v>
      </c>
      <c r="AA23">
        <v>0</v>
      </c>
      <c r="AB23">
        <v>8</v>
      </c>
      <c r="AC23">
        <v>4</v>
      </c>
      <c r="AD23">
        <v>1167</v>
      </c>
      <c r="AE23">
        <v>0</v>
      </c>
      <c r="AF23">
        <v>0</v>
      </c>
      <c r="AG23">
        <v>238</v>
      </c>
      <c r="AH23">
        <v>0</v>
      </c>
      <c r="AI23">
        <v>0</v>
      </c>
      <c r="AJ23">
        <v>0</v>
      </c>
      <c r="AK23">
        <v>0</v>
      </c>
    </row>
    <row r="24" spans="1:37" x14ac:dyDescent="0.2">
      <c r="A24" t="s">
        <v>291</v>
      </c>
      <c r="B24">
        <v>46</v>
      </c>
      <c r="C24">
        <v>4673581</v>
      </c>
      <c r="D24">
        <v>5</v>
      </c>
      <c r="E24">
        <v>7</v>
      </c>
      <c r="F24">
        <v>17</v>
      </c>
      <c r="G24">
        <v>29550000</v>
      </c>
      <c r="H24">
        <v>9</v>
      </c>
      <c r="I24">
        <v>0</v>
      </c>
      <c r="J24">
        <v>0</v>
      </c>
      <c r="K24">
        <v>12</v>
      </c>
      <c r="L24">
        <v>463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42</v>
      </c>
      <c r="U24">
        <v>6700000</v>
      </c>
      <c r="V24">
        <v>0</v>
      </c>
      <c r="W24">
        <v>4</v>
      </c>
      <c r="X24">
        <v>32</v>
      </c>
      <c r="Y24">
        <v>33680000</v>
      </c>
      <c r="Z24">
        <v>2</v>
      </c>
      <c r="AA24">
        <v>0</v>
      </c>
      <c r="AB24">
        <v>0</v>
      </c>
      <c r="AC24">
        <v>9</v>
      </c>
      <c r="AD24">
        <v>829</v>
      </c>
      <c r="AE24">
        <v>4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</row>
    <row r="25" spans="1:37" x14ac:dyDescent="0.2">
      <c r="A25" t="s">
        <v>292</v>
      </c>
      <c r="B25">
        <v>51</v>
      </c>
      <c r="C25">
        <v>5700892</v>
      </c>
      <c r="D25">
        <v>1</v>
      </c>
      <c r="E25">
        <v>5</v>
      </c>
      <c r="F25">
        <v>36</v>
      </c>
      <c r="G25">
        <v>40020000</v>
      </c>
      <c r="H25">
        <v>4</v>
      </c>
      <c r="I25">
        <v>0</v>
      </c>
      <c r="J25">
        <v>0</v>
      </c>
      <c r="K25">
        <v>6</v>
      </c>
      <c r="L25">
        <v>215</v>
      </c>
      <c r="M25">
        <v>8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62</v>
      </c>
      <c r="U25">
        <v>9449912</v>
      </c>
      <c r="V25">
        <v>5</v>
      </c>
      <c r="W25">
        <v>11</v>
      </c>
      <c r="X25">
        <v>67</v>
      </c>
      <c r="Y25">
        <v>46010000</v>
      </c>
      <c r="Z25">
        <v>12</v>
      </c>
      <c r="AA25">
        <v>0</v>
      </c>
      <c r="AB25">
        <v>0</v>
      </c>
      <c r="AC25">
        <v>20</v>
      </c>
      <c r="AD25">
        <v>633</v>
      </c>
      <c r="AE25">
        <v>2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</row>
    <row r="26" spans="1:37" x14ac:dyDescent="0.2">
      <c r="A26" t="s">
        <v>293</v>
      </c>
      <c r="B26">
        <v>56</v>
      </c>
      <c r="C26">
        <v>6042000</v>
      </c>
      <c r="D26">
        <v>3</v>
      </c>
      <c r="E26">
        <v>6</v>
      </c>
      <c r="F26">
        <v>44</v>
      </c>
      <c r="G26">
        <v>41700000</v>
      </c>
      <c r="H26">
        <v>16</v>
      </c>
      <c r="I26">
        <v>0</v>
      </c>
      <c r="J26">
        <v>20</v>
      </c>
      <c r="K26">
        <v>15</v>
      </c>
      <c r="L26">
        <v>492</v>
      </c>
      <c r="M26">
        <v>5</v>
      </c>
      <c r="N26">
        <v>0</v>
      </c>
      <c r="O26">
        <v>3</v>
      </c>
      <c r="P26">
        <v>0</v>
      </c>
      <c r="Q26">
        <v>0</v>
      </c>
      <c r="R26">
        <v>0</v>
      </c>
      <c r="S26">
        <v>0</v>
      </c>
      <c r="T26">
        <v>58</v>
      </c>
      <c r="U26">
        <v>5873500</v>
      </c>
      <c r="V26">
        <v>2</v>
      </c>
      <c r="W26">
        <v>6</v>
      </c>
      <c r="X26">
        <v>62</v>
      </c>
      <c r="Y26">
        <v>30280000</v>
      </c>
      <c r="Z26">
        <v>7</v>
      </c>
      <c r="AA26">
        <v>0</v>
      </c>
      <c r="AB26">
        <v>0</v>
      </c>
      <c r="AC26">
        <v>15</v>
      </c>
      <c r="AD26">
        <v>368</v>
      </c>
      <c r="AE26">
        <v>4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</row>
    <row r="27" spans="1:37" x14ac:dyDescent="0.2">
      <c r="A27" t="s">
        <v>188</v>
      </c>
      <c r="B27">
        <v>28</v>
      </c>
      <c r="C27">
        <v>4400546</v>
      </c>
      <c r="D27">
        <v>1</v>
      </c>
      <c r="E27">
        <v>3</v>
      </c>
      <c r="F27">
        <v>28</v>
      </c>
      <c r="G27">
        <v>15770000</v>
      </c>
      <c r="H27">
        <v>7</v>
      </c>
      <c r="I27">
        <v>0</v>
      </c>
      <c r="J27">
        <v>0</v>
      </c>
      <c r="K27">
        <v>3</v>
      </c>
      <c r="L27">
        <v>128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50</v>
      </c>
      <c r="U27">
        <v>4944595</v>
      </c>
      <c r="V27">
        <v>1</v>
      </c>
      <c r="W27">
        <v>11</v>
      </c>
      <c r="X27">
        <v>67</v>
      </c>
      <c r="Y27">
        <v>18300000</v>
      </c>
      <c r="Z27">
        <v>33</v>
      </c>
      <c r="AA27">
        <v>0</v>
      </c>
      <c r="AB27">
        <v>0</v>
      </c>
      <c r="AC27">
        <v>16</v>
      </c>
      <c r="AD27">
        <v>347</v>
      </c>
      <c r="AE27">
        <v>8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</row>
    <row r="28" spans="1:37" x14ac:dyDescent="0.2">
      <c r="A28" t="s">
        <v>294</v>
      </c>
      <c r="B28">
        <v>748</v>
      </c>
      <c r="C28">
        <v>104171269</v>
      </c>
      <c r="D28">
        <v>57</v>
      </c>
      <c r="E28">
        <v>62</v>
      </c>
      <c r="F28">
        <v>200</v>
      </c>
      <c r="G28">
        <v>477735000</v>
      </c>
      <c r="H28">
        <v>73</v>
      </c>
      <c r="I28">
        <v>56</v>
      </c>
      <c r="J28">
        <v>39</v>
      </c>
      <c r="K28">
        <v>393</v>
      </c>
      <c r="L28">
        <v>21493</v>
      </c>
      <c r="M28">
        <v>48</v>
      </c>
      <c r="N28">
        <v>9</v>
      </c>
      <c r="O28">
        <v>242</v>
      </c>
      <c r="P28">
        <v>3</v>
      </c>
      <c r="Q28">
        <v>20</v>
      </c>
      <c r="R28">
        <v>102</v>
      </c>
      <c r="S28">
        <v>62</v>
      </c>
      <c r="T28">
        <v>778</v>
      </c>
      <c r="U28">
        <v>119476550</v>
      </c>
      <c r="V28">
        <v>59</v>
      </c>
      <c r="W28">
        <v>72</v>
      </c>
      <c r="X28">
        <v>339</v>
      </c>
      <c r="Y28">
        <v>536340000</v>
      </c>
      <c r="Z28">
        <v>89</v>
      </c>
      <c r="AA28">
        <v>135</v>
      </c>
      <c r="AB28">
        <v>44</v>
      </c>
      <c r="AC28">
        <v>452</v>
      </c>
      <c r="AD28">
        <v>27582</v>
      </c>
      <c r="AE28">
        <v>44</v>
      </c>
      <c r="AF28">
        <v>15</v>
      </c>
      <c r="AG28">
        <v>387</v>
      </c>
      <c r="AH28">
        <v>1</v>
      </c>
      <c r="AI28">
        <v>16</v>
      </c>
      <c r="AJ28">
        <v>2182</v>
      </c>
      <c r="AK28">
        <v>662</v>
      </c>
    </row>
    <row r="29" spans="1:37" x14ac:dyDescent="0.2">
      <c r="A29" t="s">
        <v>295</v>
      </c>
      <c r="B29">
        <v>27</v>
      </c>
      <c r="C29">
        <v>2844800</v>
      </c>
      <c r="D29">
        <v>2</v>
      </c>
      <c r="E29">
        <v>3</v>
      </c>
      <c r="F29">
        <v>2</v>
      </c>
      <c r="G29">
        <v>15750000</v>
      </c>
      <c r="H29">
        <v>2</v>
      </c>
      <c r="I29">
        <v>0</v>
      </c>
      <c r="J29">
        <v>0</v>
      </c>
      <c r="K29">
        <v>9</v>
      </c>
      <c r="L29">
        <v>825</v>
      </c>
      <c r="M29">
        <v>4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28</v>
      </c>
      <c r="U29">
        <v>5765600</v>
      </c>
      <c r="V29">
        <v>2</v>
      </c>
      <c r="W29">
        <v>1</v>
      </c>
      <c r="X29">
        <v>2</v>
      </c>
      <c r="Y29">
        <v>21480000</v>
      </c>
      <c r="Z29">
        <v>0</v>
      </c>
      <c r="AA29">
        <v>0</v>
      </c>
      <c r="AB29">
        <v>0</v>
      </c>
      <c r="AC29">
        <v>18</v>
      </c>
      <c r="AD29">
        <v>1820</v>
      </c>
      <c r="AE29">
        <v>1</v>
      </c>
      <c r="AF29">
        <v>2</v>
      </c>
      <c r="AG29">
        <v>0</v>
      </c>
      <c r="AH29">
        <v>0</v>
      </c>
      <c r="AI29">
        <v>5</v>
      </c>
      <c r="AJ29">
        <v>0</v>
      </c>
      <c r="AK29">
        <v>0</v>
      </c>
    </row>
    <row r="30" spans="1:37" x14ac:dyDescent="0.2">
      <c r="A30" t="s">
        <v>296</v>
      </c>
      <c r="B30">
        <v>12</v>
      </c>
      <c r="C30">
        <v>1495500</v>
      </c>
      <c r="D30">
        <v>1</v>
      </c>
      <c r="E30">
        <v>0</v>
      </c>
      <c r="F30">
        <v>0</v>
      </c>
      <c r="G30">
        <v>4850000</v>
      </c>
      <c r="H30">
        <v>1</v>
      </c>
      <c r="I30">
        <v>0</v>
      </c>
      <c r="J30">
        <v>0</v>
      </c>
      <c r="K30">
        <v>3</v>
      </c>
      <c r="L30">
        <v>39</v>
      </c>
      <c r="M30">
        <v>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31</v>
      </c>
      <c r="U30">
        <v>3920000</v>
      </c>
      <c r="V30">
        <v>1</v>
      </c>
      <c r="W30">
        <v>7</v>
      </c>
      <c r="X30">
        <v>23</v>
      </c>
      <c r="Y30">
        <v>16130000</v>
      </c>
      <c r="Z30">
        <v>1</v>
      </c>
      <c r="AA30">
        <v>0</v>
      </c>
      <c r="AB30">
        <v>0</v>
      </c>
      <c r="AC30">
        <v>11</v>
      </c>
      <c r="AD30">
        <v>439</v>
      </c>
      <c r="AE30">
        <v>3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</row>
    <row r="31" spans="1:37" x14ac:dyDescent="0.2">
      <c r="A31" t="s">
        <v>297</v>
      </c>
      <c r="B31">
        <v>24</v>
      </c>
      <c r="C31">
        <v>4400750</v>
      </c>
      <c r="D31">
        <v>2</v>
      </c>
      <c r="E31">
        <v>3</v>
      </c>
      <c r="F31">
        <v>23</v>
      </c>
      <c r="G31">
        <v>14070000</v>
      </c>
      <c r="H31">
        <v>1</v>
      </c>
      <c r="I31">
        <v>0</v>
      </c>
      <c r="J31">
        <v>0</v>
      </c>
      <c r="K31">
        <v>18</v>
      </c>
      <c r="L31">
        <v>663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19</v>
      </c>
      <c r="U31">
        <v>2467000</v>
      </c>
      <c r="V31">
        <v>0</v>
      </c>
      <c r="W31">
        <v>2</v>
      </c>
      <c r="X31">
        <v>10</v>
      </c>
      <c r="Y31">
        <v>16000000</v>
      </c>
      <c r="Z31">
        <v>3</v>
      </c>
      <c r="AA31">
        <v>0</v>
      </c>
      <c r="AB31">
        <v>0</v>
      </c>
      <c r="AC31">
        <v>8</v>
      </c>
      <c r="AD31">
        <v>365</v>
      </c>
      <c r="AE31">
        <v>2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</row>
    <row r="32" spans="1:37" x14ac:dyDescent="0.2">
      <c r="A32" t="s">
        <v>298</v>
      </c>
      <c r="B32">
        <v>6</v>
      </c>
      <c r="C32">
        <v>398097</v>
      </c>
      <c r="D32">
        <v>0</v>
      </c>
      <c r="E32">
        <v>1</v>
      </c>
      <c r="F32">
        <v>0</v>
      </c>
      <c r="G32">
        <v>15800000</v>
      </c>
      <c r="H32">
        <v>0</v>
      </c>
      <c r="I32">
        <v>0</v>
      </c>
      <c r="J32">
        <v>0</v>
      </c>
      <c r="K32">
        <v>2</v>
      </c>
      <c r="L32">
        <v>621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5</v>
      </c>
      <c r="U32">
        <v>635000</v>
      </c>
      <c r="V32">
        <v>1</v>
      </c>
      <c r="W32">
        <v>0</v>
      </c>
      <c r="X32">
        <v>0</v>
      </c>
      <c r="Y32">
        <v>14640000</v>
      </c>
      <c r="Z32">
        <v>0</v>
      </c>
      <c r="AA32">
        <v>0</v>
      </c>
      <c r="AB32">
        <v>0</v>
      </c>
      <c r="AC32">
        <v>4</v>
      </c>
      <c r="AD32">
        <v>154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</row>
    <row r="33" spans="1:37" x14ac:dyDescent="0.2">
      <c r="A33" t="s">
        <v>299</v>
      </c>
      <c r="B33">
        <v>5</v>
      </c>
      <c r="C33">
        <v>1131500</v>
      </c>
      <c r="D33">
        <v>2</v>
      </c>
      <c r="E33">
        <v>0</v>
      </c>
      <c r="F33">
        <v>1</v>
      </c>
      <c r="G33">
        <v>3500000</v>
      </c>
      <c r="H33">
        <v>2</v>
      </c>
      <c r="I33">
        <v>0</v>
      </c>
      <c r="J33">
        <v>0</v>
      </c>
      <c r="K33">
        <v>4</v>
      </c>
      <c r="L33">
        <v>235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10</v>
      </c>
      <c r="T33">
        <v>6</v>
      </c>
      <c r="U33">
        <v>1060000</v>
      </c>
      <c r="V33">
        <v>0</v>
      </c>
      <c r="W33">
        <v>0</v>
      </c>
      <c r="X33">
        <v>6</v>
      </c>
      <c r="Y33">
        <v>5900000</v>
      </c>
      <c r="Z33">
        <v>1</v>
      </c>
      <c r="AA33">
        <v>0</v>
      </c>
      <c r="AB33">
        <v>0</v>
      </c>
      <c r="AC33">
        <v>5</v>
      </c>
      <c r="AD33">
        <v>149</v>
      </c>
      <c r="AE33">
        <v>1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</row>
    <row r="34" spans="1:37" x14ac:dyDescent="0.2">
      <c r="A34" t="s">
        <v>300</v>
      </c>
      <c r="B34">
        <v>5</v>
      </c>
      <c r="C34">
        <v>400000</v>
      </c>
      <c r="D34">
        <v>0</v>
      </c>
      <c r="E34">
        <v>1</v>
      </c>
      <c r="F34">
        <v>9</v>
      </c>
      <c r="G34">
        <v>4900000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8</v>
      </c>
      <c r="U34">
        <v>2150100</v>
      </c>
      <c r="V34">
        <v>1</v>
      </c>
      <c r="W34">
        <v>3</v>
      </c>
      <c r="X34">
        <v>30</v>
      </c>
      <c r="Y34">
        <v>4610000</v>
      </c>
      <c r="Z34">
        <v>0</v>
      </c>
      <c r="AA34">
        <v>0</v>
      </c>
      <c r="AB34">
        <v>0</v>
      </c>
      <c r="AC34">
        <v>1</v>
      </c>
      <c r="AD34">
        <v>32</v>
      </c>
      <c r="AE34">
        <v>1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</row>
    <row r="35" spans="1:37" x14ac:dyDescent="0.2">
      <c r="A35" t="s">
        <v>301</v>
      </c>
      <c r="B35">
        <v>5</v>
      </c>
      <c r="C35">
        <v>895250</v>
      </c>
      <c r="D35">
        <v>0</v>
      </c>
      <c r="E35">
        <v>0</v>
      </c>
      <c r="F35">
        <v>6</v>
      </c>
      <c r="G35">
        <v>4000000</v>
      </c>
      <c r="H35">
        <v>1</v>
      </c>
      <c r="I35">
        <v>0</v>
      </c>
      <c r="J35">
        <v>0</v>
      </c>
      <c r="K35">
        <v>1</v>
      </c>
      <c r="L35">
        <v>42</v>
      </c>
      <c r="M35">
        <v>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3</v>
      </c>
      <c r="U35">
        <v>108000</v>
      </c>
      <c r="V35">
        <v>1</v>
      </c>
      <c r="W35">
        <v>0</v>
      </c>
      <c r="X35">
        <v>0</v>
      </c>
      <c r="Y35">
        <v>1000000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</row>
    <row r="36" spans="1:37" x14ac:dyDescent="0.2">
      <c r="A36" t="s">
        <v>302</v>
      </c>
      <c r="B36">
        <v>5</v>
      </c>
      <c r="C36">
        <v>520000</v>
      </c>
      <c r="D36">
        <v>0</v>
      </c>
      <c r="E36">
        <v>0</v>
      </c>
      <c r="F36">
        <v>0</v>
      </c>
      <c r="G36">
        <v>1200000</v>
      </c>
      <c r="H36">
        <v>0</v>
      </c>
      <c r="I36">
        <v>0</v>
      </c>
      <c r="J36">
        <v>0</v>
      </c>
      <c r="K36">
        <v>2</v>
      </c>
      <c r="L36">
        <v>186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</v>
      </c>
      <c r="U36">
        <v>200000</v>
      </c>
      <c r="V36">
        <v>0</v>
      </c>
      <c r="W36">
        <v>0</v>
      </c>
      <c r="X36">
        <v>0</v>
      </c>
      <c r="Y36">
        <v>500000</v>
      </c>
      <c r="Z36">
        <v>0</v>
      </c>
      <c r="AA36">
        <v>0</v>
      </c>
      <c r="AB36">
        <v>0</v>
      </c>
      <c r="AC36">
        <v>0</v>
      </c>
      <c r="AD36">
        <v>3</v>
      </c>
      <c r="AE36">
        <v>1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</row>
    <row r="37" spans="1:37" x14ac:dyDescent="0.2">
      <c r="A37" t="s">
        <v>303</v>
      </c>
      <c r="B37">
        <v>1</v>
      </c>
      <c r="C37">
        <v>20000</v>
      </c>
      <c r="D37">
        <v>0</v>
      </c>
      <c r="E37">
        <v>0</v>
      </c>
      <c r="F37">
        <v>0</v>
      </c>
      <c r="G37">
        <v>1000000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1</v>
      </c>
      <c r="U37">
        <v>50000</v>
      </c>
      <c r="V37">
        <v>0</v>
      </c>
      <c r="W37">
        <v>0</v>
      </c>
      <c r="X37">
        <v>0</v>
      </c>
      <c r="Y37">
        <v>1500000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</row>
    <row r="38" spans="1:37" x14ac:dyDescent="0.2">
      <c r="A38" t="s">
        <v>304</v>
      </c>
      <c r="B38">
        <v>4</v>
      </c>
      <c r="C38">
        <v>608000</v>
      </c>
      <c r="D38">
        <v>0</v>
      </c>
      <c r="E38">
        <v>1</v>
      </c>
      <c r="F38">
        <v>1</v>
      </c>
      <c r="G38">
        <v>2600000</v>
      </c>
      <c r="H38">
        <v>1</v>
      </c>
      <c r="I38">
        <v>0</v>
      </c>
      <c r="J38">
        <v>0</v>
      </c>
      <c r="K38">
        <v>2</v>
      </c>
      <c r="L38">
        <v>139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3</v>
      </c>
      <c r="U38">
        <v>11000</v>
      </c>
      <c r="V38">
        <v>0</v>
      </c>
      <c r="W38">
        <v>0</v>
      </c>
      <c r="X38">
        <v>1</v>
      </c>
      <c r="Y38">
        <v>3000000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</row>
    <row r="39" spans="1:37" x14ac:dyDescent="0.2">
      <c r="A39" t="s">
        <v>305</v>
      </c>
      <c r="B39">
        <v>6</v>
      </c>
      <c r="C39">
        <v>544000</v>
      </c>
      <c r="D39">
        <v>0</v>
      </c>
      <c r="E39">
        <v>1</v>
      </c>
      <c r="F39">
        <v>1</v>
      </c>
      <c r="G39">
        <v>3350000</v>
      </c>
      <c r="H39">
        <v>1</v>
      </c>
      <c r="I39">
        <v>0</v>
      </c>
      <c r="J39">
        <v>0</v>
      </c>
      <c r="K39">
        <v>3</v>
      </c>
      <c r="L39">
        <v>91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7</v>
      </c>
      <c r="U39">
        <v>718000</v>
      </c>
      <c r="V39">
        <v>1</v>
      </c>
      <c r="W39">
        <v>0</v>
      </c>
      <c r="X39">
        <v>0</v>
      </c>
      <c r="Y39">
        <v>6900000</v>
      </c>
      <c r="Z39">
        <v>0</v>
      </c>
      <c r="AA39">
        <v>0</v>
      </c>
      <c r="AB39">
        <v>0</v>
      </c>
      <c r="AC39">
        <v>4</v>
      </c>
      <c r="AD39">
        <v>155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</row>
    <row r="40" spans="1:37" x14ac:dyDescent="0.2">
      <c r="A40" t="s">
        <v>306</v>
      </c>
      <c r="B40">
        <v>8</v>
      </c>
      <c r="C40">
        <v>1660428</v>
      </c>
      <c r="D40">
        <v>1</v>
      </c>
      <c r="E40">
        <v>1</v>
      </c>
      <c r="F40">
        <v>1</v>
      </c>
      <c r="G40">
        <v>6325000</v>
      </c>
      <c r="H40">
        <v>0</v>
      </c>
      <c r="I40">
        <v>0</v>
      </c>
      <c r="J40">
        <v>0</v>
      </c>
      <c r="K40">
        <v>3</v>
      </c>
      <c r="L40">
        <v>400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4</v>
      </c>
      <c r="U40">
        <v>1384600</v>
      </c>
      <c r="V40">
        <v>0</v>
      </c>
      <c r="W40">
        <v>1</v>
      </c>
      <c r="X40">
        <v>1</v>
      </c>
      <c r="Y40">
        <v>3200000</v>
      </c>
      <c r="Z40">
        <v>0</v>
      </c>
      <c r="AA40">
        <v>0</v>
      </c>
      <c r="AB40">
        <v>0</v>
      </c>
      <c r="AC40">
        <v>4</v>
      </c>
      <c r="AD40">
        <v>54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</row>
    <row r="41" spans="1:37" x14ac:dyDescent="0.2">
      <c r="A41" t="s">
        <v>307</v>
      </c>
      <c r="B41">
        <v>4</v>
      </c>
      <c r="C41">
        <v>540000</v>
      </c>
      <c r="D41">
        <v>0</v>
      </c>
      <c r="E41">
        <v>1</v>
      </c>
      <c r="F41">
        <v>1</v>
      </c>
      <c r="G41">
        <v>3000000</v>
      </c>
      <c r="H41">
        <v>0</v>
      </c>
      <c r="I41">
        <v>0</v>
      </c>
      <c r="J41">
        <v>0</v>
      </c>
      <c r="K41">
        <v>1</v>
      </c>
      <c r="L41">
        <v>28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2</v>
      </c>
      <c r="U41">
        <v>1520000</v>
      </c>
      <c r="V41">
        <v>0</v>
      </c>
      <c r="W41">
        <v>0</v>
      </c>
      <c r="X41">
        <v>0</v>
      </c>
      <c r="Y41">
        <v>2000000</v>
      </c>
      <c r="Z41">
        <v>1</v>
      </c>
      <c r="AA41">
        <v>0</v>
      </c>
      <c r="AB41">
        <v>0</v>
      </c>
      <c r="AC41">
        <v>5</v>
      </c>
      <c r="AD41">
        <v>65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</row>
    <row r="42" spans="1:37" x14ac:dyDescent="0.2">
      <c r="A42" t="s">
        <v>308</v>
      </c>
      <c r="B42">
        <v>3</v>
      </c>
      <c r="C42">
        <v>420000</v>
      </c>
      <c r="D42">
        <v>0</v>
      </c>
      <c r="E42">
        <v>0</v>
      </c>
      <c r="F42">
        <v>0</v>
      </c>
      <c r="G42">
        <v>3300000</v>
      </c>
      <c r="H42">
        <v>0</v>
      </c>
      <c r="I42">
        <v>0</v>
      </c>
      <c r="J42">
        <v>0</v>
      </c>
      <c r="K42">
        <v>2</v>
      </c>
      <c r="L42">
        <v>37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3</v>
      </c>
      <c r="U42">
        <v>67000</v>
      </c>
      <c r="V42">
        <v>1</v>
      </c>
      <c r="W42">
        <v>0</v>
      </c>
      <c r="X42">
        <v>0</v>
      </c>
      <c r="Y42">
        <v>600000</v>
      </c>
      <c r="Z42">
        <v>0</v>
      </c>
      <c r="AA42">
        <v>0</v>
      </c>
      <c r="AB42">
        <v>0</v>
      </c>
      <c r="AC42">
        <v>1</v>
      </c>
      <c r="AD42">
        <v>435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</row>
    <row r="43" spans="1:37" x14ac:dyDescent="0.2">
      <c r="A43" t="s">
        <v>309</v>
      </c>
    </row>
    <row r="44" spans="1:37" x14ac:dyDescent="0.2">
      <c r="A44" t="s">
        <v>310</v>
      </c>
      <c r="B44">
        <v>2</v>
      </c>
      <c r="C44">
        <v>70000</v>
      </c>
      <c r="D44">
        <v>0</v>
      </c>
      <c r="E44">
        <v>0</v>
      </c>
      <c r="F44">
        <v>0</v>
      </c>
      <c r="G44">
        <v>1000000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2</v>
      </c>
      <c r="P44">
        <v>0</v>
      </c>
      <c r="Q44">
        <v>0</v>
      </c>
      <c r="R44">
        <v>0</v>
      </c>
      <c r="S44">
        <v>0</v>
      </c>
      <c r="T44">
        <v>2</v>
      </c>
      <c r="U44">
        <v>230000</v>
      </c>
      <c r="V44">
        <v>0</v>
      </c>
      <c r="W44">
        <v>1</v>
      </c>
      <c r="X44">
        <v>1</v>
      </c>
      <c r="Y44">
        <v>500000</v>
      </c>
      <c r="Z44">
        <v>0</v>
      </c>
      <c r="AA44">
        <v>0</v>
      </c>
      <c r="AB44">
        <v>0</v>
      </c>
      <c r="AC44">
        <v>2</v>
      </c>
      <c r="AD44">
        <v>58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</row>
    <row r="45" spans="1:37" x14ac:dyDescent="0.2">
      <c r="A45" t="s">
        <v>311</v>
      </c>
      <c r="B45">
        <v>2</v>
      </c>
      <c r="C45">
        <v>89400</v>
      </c>
      <c r="D45">
        <v>0</v>
      </c>
      <c r="E45">
        <v>0</v>
      </c>
      <c r="F45">
        <v>0</v>
      </c>
      <c r="G45">
        <v>1600000</v>
      </c>
      <c r="H45">
        <v>0</v>
      </c>
      <c r="I45">
        <v>0</v>
      </c>
      <c r="J45">
        <v>0</v>
      </c>
      <c r="K45">
        <v>1</v>
      </c>
      <c r="L45">
        <v>23</v>
      </c>
      <c r="M45">
        <v>0</v>
      </c>
      <c r="N45">
        <v>8</v>
      </c>
      <c r="O45">
        <v>0</v>
      </c>
      <c r="P45">
        <v>0</v>
      </c>
      <c r="Q45">
        <v>0</v>
      </c>
      <c r="R45">
        <v>0</v>
      </c>
      <c r="S45">
        <v>0</v>
      </c>
      <c r="T45">
        <v>2</v>
      </c>
      <c r="U45">
        <v>80000</v>
      </c>
      <c r="V45">
        <v>0</v>
      </c>
      <c r="W45">
        <v>0</v>
      </c>
      <c r="X45">
        <v>0</v>
      </c>
      <c r="Y45">
        <v>1300000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</row>
    <row r="46" spans="1:37" x14ac:dyDescent="0.2">
      <c r="A46" t="s">
        <v>312</v>
      </c>
      <c r="B46">
        <v>1</v>
      </c>
      <c r="C46">
        <v>200000</v>
      </c>
      <c r="D46">
        <v>0</v>
      </c>
      <c r="E46">
        <v>0</v>
      </c>
      <c r="F46">
        <v>0</v>
      </c>
      <c r="G46">
        <v>400000</v>
      </c>
      <c r="H46">
        <v>0</v>
      </c>
      <c r="I46">
        <v>0</v>
      </c>
      <c r="J46">
        <v>0</v>
      </c>
      <c r="K46">
        <v>1</v>
      </c>
      <c r="L46">
        <v>96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</row>
    <row r="47" spans="1:37" x14ac:dyDescent="0.2">
      <c r="A47" t="s">
        <v>313</v>
      </c>
      <c r="B47">
        <v>6</v>
      </c>
      <c r="C47">
        <v>295700</v>
      </c>
      <c r="D47">
        <v>0</v>
      </c>
      <c r="E47">
        <v>1</v>
      </c>
      <c r="F47">
        <v>1</v>
      </c>
      <c r="G47">
        <v>2300000</v>
      </c>
      <c r="H47">
        <v>0</v>
      </c>
      <c r="I47">
        <v>0</v>
      </c>
      <c r="J47">
        <v>0</v>
      </c>
      <c r="K47">
        <v>1</v>
      </c>
      <c r="L47">
        <v>120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5</v>
      </c>
      <c r="U47">
        <v>950000</v>
      </c>
      <c r="V47">
        <v>0</v>
      </c>
      <c r="W47">
        <v>0</v>
      </c>
      <c r="X47">
        <v>0</v>
      </c>
      <c r="Y47">
        <v>3250000</v>
      </c>
      <c r="Z47">
        <v>0</v>
      </c>
      <c r="AA47">
        <v>0</v>
      </c>
      <c r="AB47">
        <v>0</v>
      </c>
      <c r="AC47">
        <v>3</v>
      </c>
      <c r="AD47">
        <v>426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</row>
    <row r="48" spans="1:37" x14ac:dyDescent="0.2">
      <c r="A48" t="s">
        <v>314</v>
      </c>
      <c r="B48">
        <v>4</v>
      </c>
      <c r="C48">
        <v>928242</v>
      </c>
      <c r="D48">
        <v>0</v>
      </c>
      <c r="E48">
        <v>1</v>
      </c>
      <c r="F48">
        <v>0</v>
      </c>
      <c r="G48">
        <v>400000</v>
      </c>
      <c r="H48">
        <v>0</v>
      </c>
      <c r="I48">
        <v>0</v>
      </c>
      <c r="J48">
        <v>0</v>
      </c>
      <c r="K48">
        <v>1</v>
      </c>
      <c r="L48">
        <v>24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7</v>
      </c>
      <c r="U48">
        <v>2005000</v>
      </c>
      <c r="V48">
        <v>0</v>
      </c>
      <c r="W48">
        <v>1</v>
      </c>
      <c r="X48">
        <v>1</v>
      </c>
      <c r="Y48">
        <v>3550000</v>
      </c>
      <c r="Z48">
        <v>2</v>
      </c>
      <c r="AA48">
        <v>0</v>
      </c>
      <c r="AB48">
        <v>0</v>
      </c>
      <c r="AC48">
        <v>2</v>
      </c>
      <c r="AD48">
        <v>70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</row>
    <row r="49" spans="1:37" x14ac:dyDescent="0.2">
      <c r="A49" t="s">
        <v>315</v>
      </c>
      <c r="B49">
        <v>5</v>
      </c>
      <c r="C49">
        <v>580062</v>
      </c>
      <c r="D49">
        <v>0</v>
      </c>
      <c r="E49">
        <v>0</v>
      </c>
      <c r="F49">
        <v>2</v>
      </c>
      <c r="G49">
        <v>2460000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3</v>
      </c>
      <c r="U49">
        <v>360000</v>
      </c>
      <c r="V49">
        <v>1</v>
      </c>
      <c r="W49">
        <v>0</v>
      </c>
      <c r="X49">
        <v>0</v>
      </c>
      <c r="Y49">
        <v>3700000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</row>
    <row r="50" spans="1:37" x14ac:dyDescent="0.2">
      <c r="A50" t="s">
        <v>316</v>
      </c>
      <c r="B50">
        <v>1</v>
      </c>
      <c r="C50">
        <v>15000</v>
      </c>
      <c r="D50">
        <v>0</v>
      </c>
      <c r="E50">
        <v>0</v>
      </c>
      <c r="F50">
        <v>0</v>
      </c>
      <c r="G50">
        <v>30000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5</v>
      </c>
      <c r="U50">
        <v>835000</v>
      </c>
      <c r="V50">
        <v>1</v>
      </c>
      <c r="W50">
        <v>1</v>
      </c>
      <c r="X50">
        <v>1</v>
      </c>
      <c r="Y50">
        <v>4000000</v>
      </c>
      <c r="Z50">
        <v>4</v>
      </c>
      <c r="AA50">
        <v>0</v>
      </c>
      <c r="AB50">
        <v>0</v>
      </c>
      <c r="AC50">
        <v>3</v>
      </c>
      <c r="AD50">
        <v>217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</row>
    <row r="51" spans="1:37" x14ac:dyDescent="0.2">
      <c r="A51" t="s">
        <v>317</v>
      </c>
      <c r="B51">
        <v>1</v>
      </c>
      <c r="C51">
        <v>45000</v>
      </c>
      <c r="D51">
        <v>0</v>
      </c>
      <c r="E51">
        <v>0</v>
      </c>
      <c r="F51">
        <v>0</v>
      </c>
      <c r="G51">
        <v>700000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</row>
    <row r="52" spans="1:37" x14ac:dyDescent="0.2">
      <c r="A52" t="s">
        <v>318</v>
      </c>
      <c r="B52">
        <v>1</v>
      </c>
      <c r="C52">
        <v>10000</v>
      </c>
      <c r="D52">
        <v>0</v>
      </c>
      <c r="E52">
        <v>0</v>
      </c>
      <c r="F52">
        <v>0</v>
      </c>
      <c r="G52">
        <v>1500000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</row>
    <row r="53" spans="1:37" x14ac:dyDescent="0.2">
      <c r="A53" t="s">
        <v>358</v>
      </c>
      <c r="B53">
        <v>748</v>
      </c>
      <c r="C53">
        <v>104171269</v>
      </c>
      <c r="D53">
        <v>57</v>
      </c>
      <c r="E53">
        <v>62</v>
      </c>
      <c r="F53">
        <v>200</v>
      </c>
      <c r="G53">
        <v>477735000</v>
      </c>
      <c r="H53">
        <v>73</v>
      </c>
      <c r="I53">
        <v>56</v>
      </c>
      <c r="J53">
        <v>39</v>
      </c>
      <c r="K53">
        <v>393</v>
      </c>
      <c r="L53">
        <v>21493</v>
      </c>
      <c r="M53">
        <v>48</v>
      </c>
      <c r="N53">
        <v>9</v>
      </c>
      <c r="O53">
        <v>242</v>
      </c>
      <c r="P53">
        <v>3</v>
      </c>
      <c r="Q53">
        <v>20</v>
      </c>
      <c r="R53">
        <v>102</v>
      </c>
      <c r="S53">
        <v>62</v>
      </c>
      <c r="T53">
        <v>778</v>
      </c>
      <c r="U53">
        <v>119476550</v>
      </c>
      <c r="V53">
        <v>59</v>
      </c>
      <c r="W53">
        <v>72</v>
      </c>
      <c r="X53">
        <v>339</v>
      </c>
      <c r="Y53">
        <v>536340000</v>
      </c>
      <c r="Z53">
        <v>89</v>
      </c>
      <c r="AA53">
        <v>135</v>
      </c>
      <c r="AB53">
        <v>44</v>
      </c>
      <c r="AC53">
        <v>452</v>
      </c>
      <c r="AD53">
        <v>27582</v>
      </c>
      <c r="AE53">
        <v>44</v>
      </c>
      <c r="AF53">
        <v>15</v>
      </c>
      <c r="AG53">
        <v>387</v>
      </c>
      <c r="AH53">
        <v>1</v>
      </c>
      <c r="AI53">
        <v>16</v>
      </c>
      <c r="AJ53">
        <v>2182</v>
      </c>
      <c r="AK53">
        <v>662</v>
      </c>
    </row>
    <row r="54" spans="1:37" x14ac:dyDescent="0.2">
      <c r="A54" t="s">
        <v>359</v>
      </c>
      <c r="B54">
        <v>291</v>
      </c>
      <c r="C54">
        <v>36651648</v>
      </c>
      <c r="D54">
        <v>18</v>
      </c>
      <c r="E54">
        <v>31</v>
      </c>
      <c r="F54">
        <v>170</v>
      </c>
      <c r="G54">
        <v>210205000</v>
      </c>
      <c r="H54">
        <v>47</v>
      </c>
      <c r="I54">
        <v>0</v>
      </c>
      <c r="J54">
        <v>20</v>
      </c>
      <c r="K54">
        <v>81</v>
      </c>
      <c r="L54">
        <v>4296</v>
      </c>
      <c r="M54">
        <v>26</v>
      </c>
      <c r="N54">
        <v>0</v>
      </c>
      <c r="O54">
        <v>3</v>
      </c>
      <c r="P54">
        <v>0</v>
      </c>
      <c r="Q54">
        <v>0</v>
      </c>
      <c r="R54">
        <v>0</v>
      </c>
      <c r="S54">
        <v>10</v>
      </c>
      <c r="T54">
        <v>342</v>
      </c>
      <c r="U54">
        <v>49611307</v>
      </c>
      <c r="V54">
        <v>16</v>
      </c>
      <c r="W54">
        <v>50</v>
      </c>
      <c r="X54">
        <v>303</v>
      </c>
      <c r="Y54">
        <v>231180000</v>
      </c>
      <c r="Z54">
        <v>62</v>
      </c>
      <c r="AA54">
        <v>0</v>
      </c>
      <c r="AB54">
        <v>0</v>
      </c>
      <c r="AC54">
        <v>124</v>
      </c>
      <c r="AD54">
        <v>5575</v>
      </c>
      <c r="AE54">
        <v>27</v>
      </c>
      <c r="AF54">
        <v>2</v>
      </c>
      <c r="AG54">
        <v>0</v>
      </c>
      <c r="AH54">
        <v>0</v>
      </c>
      <c r="AI54">
        <v>5</v>
      </c>
      <c r="AJ54">
        <v>0</v>
      </c>
      <c r="AK54">
        <v>0</v>
      </c>
    </row>
    <row r="55" spans="1:37" x14ac:dyDescent="0.2">
      <c r="A55" t="s">
        <v>207</v>
      </c>
      <c r="B55">
        <v>457</v>
      </c>
      <c r="C55">
        <v>67519621</v>
      </c>
      <c r="D55">
        <v>39</v>
      </c>
      <c r="E55">
        <v>31</v>
      </c>
      <c r="F55">
        <v>30</v>
      </c>
      <c r="G55">
        <v>267530000</v>
      </c>
      <c r="H55">
        <v>26</v>
      </c>
      <c r="I55">
        <v>56</v>
      </c>
      <c r="J55">
        <v>19</v>
      </c>
      <c r="K55">
        <v>312</v>
      </c>
      <c r="L55">
        <v>17197</v>
      </c>
      <c r="M55">
        <v>22</v>
      </c>
      <c r="N55">
        <v>9</v>
      </c>
      <c r="O55">
        <v>239</v>
      </c>
      <c r="P55">
        <v>3</v>
      </c>
      <c r="Q55">
        <v>20</v>
      </c>
      <c r="R55">
        <v>102</v>
      </c>
      <c r="S55">
        <v>52</v>
      </c>
      <c r="T55">
        <v>436</v>
      </c>
      <c r="U55">
        <v>69865243</v>
      </c>
      <c r="V55">
        <v>43</v>
      </c>
      <c r="W55">
        <v>22</v>
      </c>
      <c r="X55">
        <v>36</v>
      </c>
      <c r="Y55">
        <v>305160000</v>
      </c>
      <c r="Z55">
        <v>27</v>
      </c>
      <c r="AA55">
        <v>135</v>
      </c>
      <c r="AB55">
        <v>44</v>
      </c>
      <c r="AC55">
        <v>328</v>
      </c>
      <c r="AD55">
        <v>22007</v>
      </c>
      <c r="AE55">
        <v>17</v>
      </c>
      <c r="AF55">
        <v>13</v>
      </c>
      <c r="AG55">
        <v>387</v>
      </c>
      <c r="AH55">
        <v>1</v>
      </c>
      <c r="AI55">
        <v>11</v>
      </c>
      <c r="AJ55">
        <v>2182</v>
      </c>
      <c r="AK55">
        <v>662</v>
      </c>
    </row>
    <row r="56" spans="1:37" x14ac:dyDescent="0.2">
      <c r="A56" t="s">
        <v>360</v>
      </c>
    </row>
    <row r="57" spans="1:37" x14ac:dyDescent="0.2">
      <c r="A57" t="s">
        <v>361</v>
      </c>
    </row>
    <row r="58" spans="1:37" x14ac:dyDescent="0.2">
      <c r="A58" t="s">
        <v>362</v>
      </c>
    </row>
    <row r="59" spans="1:37" x14ac:dyDescent="0.2">
      <c r="A59" t="s">
        <v>363</v>
      </c>
    </row>
    <row r="60" spans="1:37" x14ac:dyDescent="0.2">
      <c r="A60" t="s">
        <v>364</v>
      </c>
      <c r="B60">
        <v>10</v>
      </c>
      <c r="C60">
        <v>1549090</v>
      </c>
      <c r="D60">
        <v>0</v>
      </c>
      <c r="E60">
        <v>0</v>
      </c>
      <c r="F60">
        <v>0</v>
      </c>
      <c r="G60">
        <v>12710000</v>
      </c>
      <c r="H60">
        <v>0</v>
      </c>
      <c r="I60">
        <v>0</v>
      </c>
      <c r="J60">
        <v>0</v>
      </c>
      <c r="K60">
        <v>3</v>
      </c>
      <c r="L60">
        <v>498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14</v>
      </c>
      <c r="U60">
        <v>1400491</v>
      </c>
      <c r="V60">
        <v>0</v>
      </c>
      <c r="W60">
        <v>0</v>
      </c>
      <c r="X60">
        <v>0</v>
      </c>
      <c r="Y60">
        <v>16500000</v>
      </c>
      <c r="Z60">
        <v>4</v>
      </c>
      <c r="AA60">
        <v>0</v>
      </c>
      <c r="AB60">
        <v>0</v>
      </c>
      <c r="AC60">
        <v>3</v>
      </c>
      <c r="AD60">
        <v>465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</row>
    <row r="61" spans="1:37" x14ac:dyDescent="0.2">
      <c r="A61" t="s">
        <v>365</v>
      </c>
      <c r="B61">
        <v>8</v>
      </c>
      <c r="C61">
        <v>684350</v>
      </c>
      <c r="D61">
        <v>0</v>
      </c>
      <c r="E61">
        <v>0</v>
      </c>
      <c r="F61">
        <v>0</v>
      </c>
      <c r="G61">
        <v>3800000</v>
      </c>
      <c r="H61">
        <v>0</v>
      </c>
      <c r="I61">
        <v>0</v>
      </c>
      <c r="J61">
        <v>0</v>
      </c>
      <c r="K61">
        <v>2</v>
      </c>
      <c r="L61">
        <v>290</v>
      </c>
      <c r="M61">
        <v>0</v>
      </c>
      <c r="N61">
        <v>8</v>
      </c>
      <c r="O61">
        <v>10</v>
      </c>
      <c r="P61">
        <v>0</v>
      </c>
      <c r="Q61">
        <v>0</v>
      </c>
      <c r="R61">
        <v>0</v>
      </c>
      <c r="S61">
        <v>0</v>
      </c>
      <c r="T61">
        <v>10</v>
      </c>
      <c r="U61">
        <v>4327331</v>
      </c>
      <c r="V61">
        <v>0</v>
      </c>
      <c r="W61">
        <v>0</v>
      </c>
      <c r="X61">
        <v>0</v>
      </c>
      <c r="Y61">
        <v>8200000</v>
      </c>
      <c r="Z61">
        <v>3</v>
      </c>
      <c r="AA61">
        <v>0</v>
      </c>
      <c r="AB61">
        <v>0</v>
      </c>
      <c r="AC61">
        <v>4</v>
      </c>
      <c r="AD61">
        <v>2078</v>
      </c>
      <c r="AE61">
        <v>0</v>
      </c>
      <c r="AF61">
        <v>0</v>
      </c>
      <c r="AG61">
        <v>52</v>
      </c>
      <c r="AH61">
        <v>0</v>
      </c>
      <c r="AI61">
        <v>0</v>
      </c>
      <c r="AJ61">
        <v>0</v>
      </c>
      <c r="AK61">
        <v>0</v>
      </c>
    </row>
    <row r="62" spans="1:37" x14ac:dyDescent="0.2">
      <c r="A62" t="s">
        <v>366</v>
      </c>
      <c r="B62">
        <v>14</v>
      </c>
      <c r="C62">
        <v>423400</v>
      </c>
      <c r="D62">
        <v>0</v>
      </c>
      <c r="E62">
        <v>0</v>
      </c>
      <c r="F62">
        <v>0</v>
      </c>
      <c r="G62">
        <v>4100000</v>
      </c>
      <c r="H62">
        <v>2</v>
      </c>
      <c r="I62">
        <v>0</v>
      </c>
      <c r="J62">
        <v>0</v>
      </c>
      <c r="K62">
        <v>2</v>
      </c>
      <c r="L62">
        <v>334</v>
      </c>
      <c r="M62">
        <v>0</v>
      </c>
      <c r="N62">
        <v>0</v>
      </c>
      <c r="O62">
        <v>103</v>
      </c>
      <c r="P62">
        <v>0</v>
      </c>
      <c r="Q62">
        <v>0</v>
      </c>
      <c r="R62">
        <v>0</v>
      </c>
      <c r="S62">
        <v>0</v>
      </c>
      <c r="T62">
        <v>11</v>
      </c>
      <c r="U62">
        <v>2174200</v>
      </c>
      <c r="V62">
        <v>0</v>
      </c>
      <c r="W62">
        <v>1</v>
      </c>
      <c r="X62">
        <v>1</v>
      </c>
      <c r="Y62">
        <v>4030000</v>
      </c>
      <c r="Z62">
        <v>1</v>
      </c>
      <c r="AA62">
        <v>0</v>
      </c>
      <c r="AB62">
        <v>0</v>
      </c>
      <c r="AC62">
        <v>6</v>
      </c>
      <c r="AD62">
        <v>156</v>
      </c>
      <c r="AE62">
        <v>1</v>
      </c>
      <c r="AF62">
        <v>0</v>
      </c>
      <c r="AG62">
        <v>23</v>
      </c>
      <c r="AH62">
        <v>0</v>
      </c>
      <c r="AI62">
        <v>0</v>
      </c>
      <c r="AJ62">
        <v>0</v>
      </c>
      <c r="AK62">
        <v>0</v>
      </c>
    </row>
    <row r="63" spans="1:37" x14ac:dyDescent="0.2">
      <c r="A63" t="s">
        <v>367</v>
      </c>
      <c r="B63">
        <v>570</v>
      </c>
      <c r="C63">
        <v>72143438</v>
      </c>
      <c r="D63">
        <v>54</v>
      </c>
      <c r="E63">
        <v>43</v>
      </c>
      <c r="F63">
        <v>195</v>
      </c>
      <c r="G63">
        <v>383750000</v>
      </c>
      <c r="H63">
        <v>8</v>
      </c>
      <c r="I63">
        <v>26</v>
      </c>
      <c r="J63">
        <v>39</v>
      </c>
      <c r="K63">
        <v>375</v>
      </c>
      <c r="L63">
        <v>17761</v>
      </c>
      <c r="M63">
        <v>14</v>
      </c>
      <c r="N63">
        <v>1</v>
      </c>
      <c r="O63">
        <v>119</v>
      </c>
      <c r="P63">
        <v>3</v>
      </c>
      <c r="Q63">
        <v>20</v>
      </c>
      <c r="R63">
        <v>102</v>
      </c>
      <c r="S63">
        <v>62</v>
      </c>
      <c r="T63">
        <v>622</v>
      </c>
      <c r="U63">
        <v>90788515</v>
      </c>
      <c r="V63">
        <v>57</v>
      </c>
      <c r="W63">
        <v>57</v>
      </c>
      <c r="X63">
        <v>335</v>
      </c>
      <c r="Y63">
        <v>439880000</v>
      </c>
      <c r="Z63">
        <v>23</v>
      </c>
      <c r="AA63">
        <v>21</v>
      </c>
      <c r="AB63">
        <v>44</v>
      </c>
      <c r="AC63">
        <v>420</v>
      </c>
      <c r="AD63">
        <v>21009</v>
      </c>
      <c r="AE63">
        <v>13</v>
      </c>
      <c r="AF63">
        <v>15</v>
      </c>
      <c r="AG63">
        <v>68</v>
      </c>
      <c r="AH63">
        <v>1</v>
      </c>
      <c r="AI63">
        <v>16</v>
      </c>
      <c r="AJ63">
        <v>58</v>
      </c>
      <c r="AK63">
        <v>662</v>
      </c>
    </row>
    <row r="64" spans="1:37" x14ac:dyDescent="0.2">
      <c r="A64" t="s">
        <v>368</v>
      </c>
      <c r="B64">
        <v>1</v>
      </c>
      <c r="C64">
        <v>60000</v>
      </c>
      <c r="D64">
        <v>0</v>
      </c>
      <c r="E64">
        <v>0</v>
      </c>
      <c r="F64">
        <v>0</v>
      </c>
      <c r="G64">
        <v>300000</v>
      </c>
      <c r="H64">
        <v>0</v>
      </c>
      <c r="I64">
        <v>30</v>
      </c>
      <c r="J64">
        <v>0</v>
      </c>
      <c r="K64">
        <v>1</v>
      </c>
      <c r="L64">
        <v>720</v>
      </c>
      <c r="M64">
        <v>0</v>
      </c>
      <c r="N64">
        <v>0</v>
      </c>
      <c r="O64">
        <v>10</v>
      </c>
      <c r="P64">
        <v>0</v>
      </c>
      <c r="Q64">
        <v>0</v>
      </c>
      <c r="R64">
        <v>0</v>
      </c>
      <c r="S64">
        <v>0</v>
      </c>
      <c r="T64">
        <v>3</v>
      </c>
      <c r="U64">
        <v>2937127</v>
      </c>
      <c r="V64">
        <v>0</v>
      </c>
      <c r="W64">
        <v>0</v>
      </c>
      <c r="X64">
        <v>0</v>
      </c>
      <c r="Y64">
        <v>9500000</v>
      </c>
      <c r="Z64">
        <v>0</v>
      </c>
      <c r="AA64">
        <v>114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2124</v>
      </c>
      <c r="AK64">
        <v>0</v>
      </c>
    </row>
    <row r="65" spans="1:37" x14ac:dyDescent="0.2">
      <c r="A65" t="s">
        <v>369</v>
      </c>
    </row>
    <row r="66" spans="1:37" x14ac:dyDescent="0.2">
      <c r="A66" t="s">
        <v>370</v>
      </c>
    </row>
    <row r="67" spans="1:37" x14ac:dyDescent="0.2">
      <c r="A67" t="s">
        <v>371</v>
      </c>
    </row>
    <row r="68" spans="1:37" x14ac:dyDescent="0.2">
      <c r="A68" t="s">
        <v>372</v>
      </c>
    </row>
    <row r="69" spans="1:37" x14ac:dyDescent="0.2">
      <c r="A69" t="s">
        <v>373</v>
      </c>
      <c r="T69">
        <v>4</v>
      </c>
      <c r="U69">
        <v>4120991</v>
      </c>
      <c r="V69">
        <v>0</v>
      </c>
      <c r="W69">
        <v>0</v>
      </c>
      <c r="X69">
        <v>0</v>
      </c>
      <c r="Y69">
        <v>1300000</v>
      </c>
      <c r="Z69">
        <v>0</v>
      </c>
      <c r="AA69">
        <v>0</v>
      </c>
      <c r="AB69">
        <v>0</v>
      </c>
      <c r="AC69">
        <v>3</v>
      </c>
      <c r="AD69">
        <v>2280</v>
      </c>
      <c r="AE69">
        <v>0</v>
      </c>
      <c r="AF69">
        <v>0</v>
      </c>
      <c r="AG69">
        <v>243</v>
      </c>
      <c r="AH69">
        <v>0</v>
      </c>
      <c r="AI69">
        <v>0</v>
      </c>
      <c r="AJ69">
        <v>0</v>
      </c>
      <c r="AK69">
        <v>0</v>
      </c>
    </row>
    <row r="70" spans="1:37" x14ac:dyDescent="0.2">
      <c r="A70" t="s">
        <v>374</v>
      </c>
      <c r="B70">
        <v>7</v>
      </c>
      <c r="C70">
        <v>275000</v>
      </c>
      <c r="D70">
        <v>0</v>
      </c>
      <c r="E70">
        <v>0</v>
      </c>
      <c r="F70">
        <v>1</v>
      </c>
      <c r="G70">
        <v>5200000</v>
      </c>
      <c r="H70">
        <v>0</v>
      </c>
      <c r="I70">
        <v>0</v>
      </c>
      <c r="J70">
        <v>0</v>
      </c>
      <c r="K70">
        <v>1</v>
      </c>
      <c r="L70">
        <v>100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4</v>
      </c>
      <c r="U70">
        <v>420000</v>
      </c>
      <c r="V70">
        <v>1</v>
      </c>
      <c r="W70">
        <v>0</v>
      </c>
      <c r="X70">
        <v>0</v>
      </c>
      <c r="Y70">
        <v>350000</v>
      </c>
      <c r="Z70">
        <v>0</v>
      </c>
      <c r="AA70">
        <v>0</v>
      </c>
      <c r="AB70">
        <v>0</v>
      </c>
      <c r="AC70">
        <v>6</v>
      </c>
      <c r="AD70">
        <v>409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</row>
    <row r="71" spans="1:37" x14ac:dyDescent="0.2">
      <c r="A71" t="s">
        <v>375</v>
      </c>
      <c r="B71">
        <v>1</v>
      </c>
      <c r="C71">
        <v>0</v>
      </c>
      <c r="D71">
        <v>0</v>
      </c>
      <c r="E71">
        <v>0</v>
      </c>
      <c r="F71">
        <v>0</v>
      </c>
      <c r="G71">
        <v>1000000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3</v>
      </c>
      <c r="U71">
        <v>150000</v>
      </c>
      <c r="V71">
        <v>0</v>
      </c>
      <c r="W71">
        <v>0</v>
      </c>
      <c r="X71">
        <v>0</v>
      </c>
      <c r="Y71">
        <v>850000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</row>
    <row r="72" spans="1:37" x14ac:dyDescent="0.2">
      <c r="A72" t="s">
        <v>376</v>
      </c>
      <c r="B72">
        <v>91</v>
      </c>
      <c r="C72">
        <v>21453904</v>
      </c>
      <c r="D72">
        <v>2</v>
      </c>
      <c r="E72">
        <v>1</v>
      </c>
      <c r="F72">
        <v>1</v>
      </c>
      <c r="G72">
        <v>29765000</v>
      </c>
      <c r="H72">
        <v>63</v>
      </c>
      <c r="I72">
        <v>0</v>
      </c>
      <c r="J72">
        <v>0</v>
      </c>
      <c r="K72">
        <v>2</v>
      </c>
      <c r="L72">
        <v>181</v>
      </c>
      <c r="M72">
        <v>34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62</v>
      </c>
      <c r="U72">
        <v>8826013</v>
      </c>
      <c r="V72">
        <v>0</v>
      </c>
      <c r="W72">
        <v>1</v>
      </c>
      <c r="X72">
        <v>1</v>
      </c>
      <c r="Y72">
        <v>22030000</v>
      </c>
      <c r="Z72">
        <v>57</v>
      </c>
      <c r="AA72">
        <v>0</v>
      </c>
      <c r="AB72">
        <v>0</v>
      </c>
      <c r="AC72">
        <v>0</v>
      </c>
      <c r="AD72">
        <v>136</v>
      </c>
      <c r="AE72">
        <v>30</v>
      </c>
      <c r="AF72">
        <v>0</v>
      </c>
      <c r="AG72">
        <v>1</v>
      </c>
      <c r="AH72">
        <v>0</v>
      </c>
      <c r="AI72">
        <v>0</v>
      </c>
      <c r="AJ72">
        <v>0</v>
      </c>
      <c r="AK72">
        <v>0</v>
      </c>
    </row>
    <row r="73" spans="1:37" x14ac:dyDescent="0.2">
      <c r="A73" t="s">
        <v>377</v>
      </c>
      <c r="B73">
        <v>16</v>
      </c>
      <c r="C73">
        <v>6299109</v>
      </c>
      <c r="D73">
        <v>0</v>
      </c>
      <c r="E73">
        <v>1</v>
      </c>
      <c r="F73">
        <v>1</v>
      </c>
      <c r="G73">
        <v>19450000</v>
      </c>
      <c r="H73">
        <v>0</v>
      </c>
      <c r="I73">
        <v>0</v>
      </c>
      <c r="J73">
        <v>0</v>
      </c>
      <c r="K73">
        <v>1</v>
      </c>
      <c r="L73">
        <v>72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12</v>
      </c>
      <c r="U73">
        <v>2354767</v>
      </c>
      <c r="V73">
        <v>0</v>
      </c>
      <c r="W73">
        <v>0</v>
      </c>
      <c r="X73">
        <v>0</v>
      </c>
      <c r="Y73">
        <v>11100000</v>
      </c>
      <c r="Z73">
        <v>1</v>
      </c>
      <c r="AA73">
        <v>0</v>
      </c>
      <c r="AB73">
        <v>0</v>
      </c>
      <c r="AC73">
        <v>3</v>
      </c>
      <c r="AD73">
        <v>200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</row>
    <row r="74" spans="1:37" x14ac:dyDescent="0.2">
      <c r="A74" t="s">
        <v>378</v>
      </c>
    </row>
    <row r="75" spans="1:37" x14ac:dyDescent="0.2">
      <c r="A75" t="s">
        <v>379</v>
      </c>
      <c r="B75">
        <v>1</v>
      </c>
      <c r="C75">
        <v>3781</v>
      </c>
      <c r="D75">
        <v>0</v>
      </c>
      <c r="E75">
        <v>0</v>
      </c>
      <c r="F75">
        <v>0</v>
      </c>
      <c r="G75">
        <v>400000</v>
      </c>
      <c r="H75">
        <v>0</v>
      </c>
      <c r="I75">
        <v>0</v>
      </c>
      <c r="J75">
        <v>0</v>
      </c>
      <c r="K75">
        <v>1</v>
      </c>
      <c r="L75">
        <v>94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</row>
    <row r="76" spans="1:37" x14ac:dyDescent="0.2">
      <c r="A76" t="s">
        <v>380</v>
      </c>
      <c r="B76">
        <v>4</v>
      </c>
      <c r="C76">
        <v>387000</v>
      </c>
      <c r="D76">
        <v>0</v>
      </c>
      <c r="E76">
        <v>1</v>
      </c>
      <c r="F76">
        <v>1</v>
      </c>
      <c r="G76">
        <v>3800000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6</v>
      </c>
      <c r="U76">
        <v>134000</v>
      </c>
      <c r="V76">
        <v>0</v>
      </c>
      <c r="W76">
        <v>0</v>
      </c>
      <c r="X76">
        <v>0</v>
      </c>
      <c r="Y76">
        <v>4700000</v>
      </c>
      <c r="Z76">
        <v>0</v>
      </c>
      <c r="AA76">
        <v>0</v>
      </c>
      <c r="AB76">
        <v>0</v>
      </c>
      <c r="AC76">
        <v>2</v>
      </c>
      <c r="AD76">
        <v>41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</row>
    <row r="77" spans="1:37" x14ac:dyDescent="0.2">
      <c r="A77" t="s">
        <v>381</v>
      </c>
      <c r="B77">
        <v>2</v>
      </c>
      <c r="C77">
        <v>650000</v>
      </c>
      <c r="D77">
        <v>0</v>
      </c>
      <c r="E77">
        <v>0</v>
      </c>
      <c r="F77">
        <v>0</v>
      </c>
      <c r="G77">
        <v>10000000</v>
      </c>
      <c r="H77">
        <v>0</v>
      </c>
      <c r="I77">
        <v>0</v>
      </c>
      <c r="J77">
        <v>0</v>
      </c>
      <c r="K77">
        <v>1</v>
      </c>
      <c r="L77">
        <v>47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3</v>
      </c>
      <c r="U77">
        <v>250015</v>
      </c>
      <c r="V77">
        <v>0</v>
      </c>
      <c r="W77">
        <v>0</v>
      </c>
      <c r="X77">
        <v>0</v>
      </c>
      <c r="Y77">
        <v>1700000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</row>
    <row r="78" spans="1:37" x14ac:dyDescent="0.2">
      <c r="A78" t="s">
        <v>382</v>
      </c>
      <c r="B78">
        <v>1</v>
      </c>
      <c r="C78">
        <v>17600</v>
      </c>
      <c r="D78">
        <v>0</v>
      </c>
      <c r="E78">
        <v>0</v>
      </c>
      <c r="F78">
        <v>0</v>
      </c>
      <c r="G78">
        <v>100000</v>
      </c>
      <c r="H78">
        <v>0</v>
      </c>
      <c r="I78">
        <v>0</v>
      </c>
      <c r="J78">
        <v>0</v>
      </c>
      <c r="K78">
        <v>1</v>
      </c>
      <c r="L78">
        <v>20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1</v>
      </c>
      <c r="U78">
        <v>0</v>
      </c>
      <c r="V78">
        <v>0</v>
      </c>
      <c r="W78">
        <v>0</v>
      </c>
      <c r="X78">
        <v>0</v>
      </c>
      <c r="Y78">
        <v>1000000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</row>
    <row r="79" spans="1:37" x14ac:dyDescent="0.2">
      <c r="A79" t="s">
        <v>383</v>
      </c>
    </row>
    <row r="80" spans="1:37" x14ac:dyDescent="0.2">
      <c r="A80" t="s">
        <v>384</v>
      </c>
      <c r="B80">
        <v>8</v>
      </c>
      <c r="C80">
        <v>223097</v>
      </c>
      <c r="D80">
        <v>1</v>
      </c>
      <c r="E80">
        <v>1</v>
      </c>
      <c r="F80">
        <v>1</v>
      </c>
      <c r="G80">
        <v>3360000</v>
      </c>
      <c r="H80">
        <v>0</v>
      </c>
      <c r="I80">
        <v>0</v>
      </c>
      <c r="J80">
        <v>0</v>
      </c>
      <c r="K80">
        <v>3</v>
      </c>
      <c r="L80">
        <v>1376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9</v>
      </c>
      <c r="U80">
        <v>1541800</v>
      </c>
      <c r="V80">
        <v>0</v>
      </c>
      <c r="W80">
        <v>1</v>
      </c>
      <c r="X80">
        <v>1</v>
      </c>
      <c r="Y80">
        <v>14000000</v>
      </c>
      <c r="Z80">
        <v>0</v>
      </c>
      <c r="AA80">
        <v>0</v>
      </c>
      <c r="AB80">
        <v>0</v>
      </c>
      <c r="AC80">
        <v>5</v>
      </c>
      <c r="AD80">
        <v>808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</row>
    <row r="81" spans="1:37" x14ac:dyDescent="0.2">
      <c r="A81" t="s">
        <v>385</v>
      </c>
      <c r="B81">
        <v>86</v>
      </c>
      <c r="C81">
        <v>12163306</v>
      </c>
      <c r="D81">
        <v>4</v>
      </c>
      <c r="E81">
        <v>6</v>
      </c>
      <c r="F81">
        <v>13</v>
      </c>
      <c r="G81">
        <v>45450000</v>
      </c>
      <c r="H81">
        <v>18</v>
      </c>
      <c r="I81">
        <v>0</v>
      </c>
      <c r="J81">
        <v>0</v>
      </c>
      <c r="K81">
        <v>39</v>
      </c>
      <c r="L81">
        <v>1996</v>
      </c>
      <c r="M81">
        <v>8</v>
      </c>
      <c r="N81">
        <v>0</v>
      </c>
      <c r="O81">
        <v>37</v>
      </c>
      <c r="P81">
        <v>0</v>
      </c>
      <c r="Q81">
        <v>11</v>
      </c>
      <c r="R81">
        <v>16</v>
      </c>
      <c r="S81">
        <v>6</v>
      </c>
      <c r="T81">
        <v>68</v>
      </c>
      <c r="U81">
        <v>12281000</v>
      </c>
      <c r="V81">
        <v>1</v>
      </c>
      <c r="W81">
        <v>3</v>
      </c>
      <c r="X81">
        <v>32</v>
      </c>
      <c r="Y81">
        <v>36570000</v>
      </c>
      <c r="Z81">
        <v>13</v>
      </c>
      <c r="AA81">
        <v>0</v>
      </c>
      <c r="AB81">
        <v>0</v>
      </c>
      <c r="AC81">
        <v>31</v>
      </c>
      <c r="AD81">
        <v>1706</v>
      </c>
      <c r="AE81">
        <v>6</v>
      </c>
      <c r="AF81">
        <v>0</v>
      </c>
      <c r="AG81">
        <v>7</v>
      </c>
      <c r="AH81">
        <v>0</v>
      </c>
      <c r="AI81">
        <v>0</v>
      </c>
      <c r="AJ81">
        <v>1</v>
      </c>
      <c r="AK81">
        <v>6</v>
      </c>
    </row>
    <row r="82" spans="1:37" x14ac:dyDescent="0.2">
      <c r="A82" t="s">
        <v>386</v>
      </c>
      <c r="T82">
        <v>4</v>
      </c>
      <c r="U82">
        <v>2362491</v>
      </c>
      <c r="V82">
        <v>0</v>
      </c>
      <c r="W82">
        <v>0</v>
      </c>
      <c r="X82">
        <v>0</v>
      </c>
      <c r="Y82">
        <v>4500000</v>
      </c>
      <c r="Z82">
        <v>3</v>
      </c>
      <c r="AA82">
        <v>0</v>
      </c>
      <c r="AB82">
        <v>0</v>
      </c>
      <c r="AC82">
        <v>0</v>
      </c>
      <c r="AD82">
        <v>62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</row>
    <row r="83" spans="1:37" x14ac:dyDescent="0.2">
      <c r="A83" t="s">
        <v>387</v>
      </c>
      <c r="B83">
        <v>249</v>
      </c>
      <c r="C83">
        <v>44642431</v>
      </c>
      <c r="D83">
        <v>24</v>
      </c>
      <c r="E83">
        <v>14</v>
      </c>
      <c r="F83">
        <v>46</v>
      </c>
      <c r="G83">
        <v>194430000</v>
      </c>
      <c r="H83">
        <v>5</v>
      </c>
      <c r="I83">
        <v>47</v>
      </c>
      <c r="J83">
        <v>7</v>
      </c>
      <c r="K83">
        <v>171</v>
      </c>
      <c r="L83">
        <v>10418</v>
      </c>
      <c r="M83">
        <v>13</v>
      </c>
      <c r="N83">
        <v>0</v>
      </c>
      <c r="O83">
        <v>55</v>
      </c>
      <c r="P83">
        <v>2</v>
      </c>
      <c r="Q83">
        <v>5</v>
      </c>
      <c r="R83">
        <v>69</v>
      </c>
      <c r="S83">
        <v>22</v>
      </c>
      <c r="T83">
        <v>269</v>
      </c>
      <c r="U83">
        <v>55553570</v>
      </c>
      <c r="V83">
        <v>10</v>
      </c>
      <c r="W83">
        <v>12</v>
      </c>
      <c r="X83">
        <v>96</v>
      </c>
      <c r="Y83">
        <v>223620000</v>
      </c>
      <c r="Z83">
        <v>24</v>
      </c>
      <c r="AA83">
        <v>17</v>
      </c>
      <c r="AB83">
        <v>41</v>
      </c>
      <c r="AC83">
        <v>202</v>
      </c>
      <c r="AD83">
        <v>13644</v>
      </c>
      <c r="AE83">
        <v>10</v>
      </c>
      <c r="AF83">
        <v>5</v>
      </c>
      <c r="AG83">
        <v>43</v>
      </c>
      <c r="AH83">
        <v>1</v>
      </c>
      <c r="AI83">
        <v>12</v>
      </c>
      <c r="AJ83">
        <v>2147</v>
      </c>
      <c r="AK83">
        <v>646</v>
      </c>
    </row>
    <row r="84" spans="1:37" x14ac:dyDescent="0.2">
      <c r="A84" t="s">
        <v>388</v>
      </c>
      <c r="B84">
        <v>141</v>
      </c>
      <c r="C84">
        <v>11394133</v>
      </c>
      <c r="D84">
        <v>2</v>
      </c>
      <c r="E84">
        <v>3</v>
      </c>
      <c r="F84">
        <v>3</v>
      </c>
      <c r="G84">
        <v>102870000</v>
      </c>
      <c r="H84">
        <v>0</v>
      </c>
      <c r="I84">
        <v>4</v>
      </c>
      <c r="J84">
        <v>10</v>
      </c>
      <c r="K84">
        <v>77</v>
      </c>
      <c r="L84">
        <v>2940</v>
      </c>
      <c r="M84">
        <v>1</v>
      </c>
      <c r="N84">
        <v>1</v>
      </c>
      <c r="O84">
        <v>11</v>
      </c>
      <c r="P84">
        <v>0</v>
      </c>
      <c r="Q84">
        <v>2</v>
      </c>
      <c r="R84">
        <v>10</v>
      </c>
      <c r="S84">
        <v>6</v>
      </c>
      <c r="T84">
        <v>151</v>
      </c>
      <c r="U84">
        <v>14156007</v>
      </c>
      <c r="V84">
        <v>4</v>
      </c>
      <c r="W84">
        <v>2</v>
      </c>
      <c r="X84">
        <v>8</v>
      </c>
      <c r="Y84">
        <v>106375000</v>
      </c>
      <c r="Z84">
        <v>5</v>
      </c>
      <c r="AA84">
        <v>114</v>
      </c>
      <c r="AB84">
        <v>0</v>
      </c>
      <c r="AC84">
        <v>86</v>
      </c>
      <c r="AD84">
        <v>3190</v>
      </c>
      <c r="AE84">
        <v>2</v>
      </c>
      <c r="AF84">
        <v>0</v>
      </c>
      <c r="AG84">
        <v>6</v>
      </c>
      <c r="AH84">
        <v>0</v>
      </c>
      <c r="AI84">
        <v>4</v>
      </c>
      <c r="AJ84">
        <v>0</v>
      </c>
      <c r="AK84">
        <v>10</v>
      </c>
    </row>
    <row r="85" spans="1:37" x14ac:dyDescent="0.2">
      <c r="A85" t="s">
        <v>389</v>
      </c>
      <c r="B85">
        <v>1</v>
      </c>
      <c r="C85">
        <v>150000</v>
      </c>
      <c r="D85">
        <v>1</v>
      </c>
      <c r="E85">
        <v>0</v>
      </c>
      <c r="F85">
        <v>1</v>
      </c>
      <c r="G85">
        <v>200000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</row>
    <row r="86" spans="1:37" x14ac:dyDescent="0.2">
      <c r="A86" t="s">
        <v>0</v>
      </c>
      <c r="B86">
        <v>185</v>
      </c>
      <c r="C86">
        <v>18687287</v>
      </c>
      <c r="D86">
        <v>25</v>
      </c>
      <c r="E86">
        <v>37</v>
      </c>
      <c r="F86">
        <v>135</v>
      </c>
      <c r="G86">
        <v>98160000</v>
      </c>
      <c r="H86">
        <v>5</v>
      </c>
      <c r="I86">
        <v>5</v>
      </c>
      <c r="J86">
        <v>22</v>
      </c>
      <c r="K86">
        <v>96</v>
      </c>
      <c r="L86">
        <v>5435</v>
      </c>
      <c r="M86">
        <v>3</v>
      </c>
      <c r="N86">
        <v>0</v>
      </c>
      <c r="O86">
        <v>110</v>
      </c>
      <c r="P86">
        <v>0</v>
      </c>
      <c r="Q86">
        <v>0</v>
      </c>
      <c r="R86">
        <v>0</v>
      </c>
      <c r="S86">
        <v>28</v>
      </c>
      <c r="T86">
        <v>202</v>
      </c>
      <c r="U86">
        <v>18175048</v>
      </c>
      <c r="V86">
        <v>43</v>
      </c>
      <c r="W86">
        <v>48</v>
      </c>
      <c r="X86">
        <v>198</v>
      </c>
      <c r="Y86">
        <v>123735000</v>
      </c>
      <c r="Z86">
        <v>2</v>
      </c>
      <c r="AA86">
        <v>4</v>
      </c>
      <c r="AB86">
        <v>3</v>
      </c>
      <c r="AC86">
        <v>106</v>
      </c>
      <c r="AD86">
        <v>6327</v>
      </c>
      <c r="AE86">
        <v>5</v>
      </c>
      <c r="AF86">
        <v>10</v>
      </c>
      <c r="AG86">
        <v>41</v>
      </c>
      <c r="AH86">
        <v>0</v>
      </c>
      <c r="AI86">
        <v>0</v>
      </c>
      <c r="AJ86">
        <v>34</v>
      </c>
      <c r="AK86">
        <v>0</v>
      </c>
    </row>
    <row r="87" spans="1:37" x14ac:dyDescent="0.2">
      <c r="A87" t="s">
        <v>320</v>
      </c>
      <c r="B87">
        <v>74</v>
      </c>
      <c r="C87">
        <v>6735531</v>
      </c>
      <c r="D87">
        <v>22</v>
      </c>
      <c r="E87">
        <v>17</v>
      </c>
      <c r="F87">
        <v>87</v>
      </c>
      <c r="G87">
        <v>46650000</v>
      </c>
      <c r="H87">
        <v>2</v>
      </c>
      <c r="I87">
        <v>3</v>
      </c>
      <c r="J87">
        <v>2</v>
      </c>
      <c r="K87">
        <v>31</v>
      </c>
      <c r="L87">
        <v>1427</v>
      </c>
      <c r="M87">
        <v>2</v>
      </c>
      <c r="N87">
        <v>0</v>
      </c>
      <c r="O87">
        <v>11</v>
      </c>
      <c r="P87">
        <v>0</v>
      </c>
      <c r="Q87">
        <v>0</v>
      </c>
      <c r="R87">
        <v>0</v>
      </c>
      <c r="S87">
        <v>0</v>
      </c>
      <c r="T87">
        <v>114</v>
      </c>
      <c r="U87">
        <v>9659710</v>
      </c>
      <c r="V87">
        <v>36</v>
      </c>
      <c r="W87">
        <v>30</v>
      </c>
      <c r="X87">
        <v>179</v>
      </c>
      <c r="Y87">
        <v>72735000</v>
      </c>
      <c r="Z87">
        <v>2</v>
      </c>
      <c r="AA87">
        <v>0</v>
      </c>
      <c r="AB87">
        <v>3</v>
      </c>
      <c r="AC87">
        <v>47</v>
      </c>
      <c r="AD87">
        <v>2167</v>
      </c>
      <c r="AE87">
        <v>2</v>
      </c>
      <c r="AF87">
        <v>0</v>
      </c>
      <c r="AG87">
        <v>15</v>
      </c>
      <c r="AH87">
        <v>0</v>
      </c>
      <c r="AI87">
        <v>0</v>
      </c>
      <c r="AJ87">
        <v>29</v>
      </c>
      <c r="AK87">
        <v>0</v>
      </c>
    </row>
    <row r="88" spans="1:37" x14ac:dyDescent="0.2">
      <c r="A88" t="s">
        <v>321</v>
      </c>
      <c r="B88">
        <v>20</v>
      </c>
      <c r="C88">
        <v>1958097</v>
      </c>
      <c r="D88">
        <v>0</v>
      </c>
      <c r="E88">
        <v>5</v>
      </c>
      <c r="F88">
        <v>12</v>
      </c>
      <c r="G88">
        <v>14070000</v>
      </c>
      <c r="H88">
        <v>1</v>
      </c>
      <c r="I88">
        <v>0</v>
      </c>
      <c r="J88">
        <v>0</v>
      </c>
      <c r="K88">
        <v>7</v>
      </c>
      <c r="L88">
        <v>911</v>
      </c>
      <c r="M88">
        <v>0</v>
      </c>
      <c r="N88">
        <v>0</v>
      </c>
      <c r="O88">
        <v>49</v>
      </c>
      <c r="P88">
        <v>0</v>
      </c>
      <c r="Q88">
        <v>0</v>
      </c>
      <c r="R88">
        <v>0</v>
      </c>
      <c r="S88">
        <v>0</v>
      </c>
      <c r="T88">
        <v>15</v>
      </c>
      <c r="U88">
        <v>2230000</v>
      </c>
      <c r="V88">
        <v>0</v>
      </c>
      <c r="W88">
        <v>3</v>
      </c>
      <c r="X88">
        <v>4</v>
      </c>
      <c r="Y88">
        <v>9750000</v>
      </c>
      <c r="Z88">
        <v>0</v>
      </c>
      <c r="AA88">
        <v>2</v>
      </c>
      <c r="AB88">
        <v>0</v>
      </c>
      <c r="AC88">
        <v>7</v>
      </c>
      <c r="AD88">
        <v>469</v>
      </c>
      <c r="AE88">
        <v>2</v>
      </c>
      <c r="AF88">
        <v>0</v>
      </c>
      <c r="AG88">
        <v>11</v>
      </c>
      <c r="AH88">
        <v>0</v>
      </c>
      <c r="AI88">
        <v>0</v>
      </c>
      <c r="AJ88">
        <v>0</v>
      </c>
      <c r="AK88">
        <v>0</v>
      </c>
    </row>
    <row r="89" spans="1:37" x14ac:dyDescent="0.2">
      <c r="A89" t="s">
        <v>1</v>
      </c>
      <c r="B89">
        <v>60</v>
      </c>
      <c r="C89">
        <v>14073612</v>
      </c>
      <c r="D89">
        <v>1</v>
      </c>
      <c r="E89">
        <v>0</v>
      </c>
      <c r="F89">
        <v>0</v>
      </c>
      <c r="G89">
        <v>18805000</v>
      </c>
      <c r="H89">
        <v>44</v>
      </c>
      <c r="I89">
        <v>0</v>
      </c>
      <c r="J89">
        <v>0</v>
      </c>
      <c r="K89">
        <v>0</v>
      </c>
      <c r="L89">
        <v>78</v>
      </c>
      <c r="M89">
        <v>21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47</v>
      </c>
      <c r="U89">
        <v>6434713</v>
      </c>
      <c r="V89">
        <v>0</v>
      </c>
      <c r="W89">
        <v>1</v>
      </c>
      <c r="X89">
        <v>1</v>
      </c>
      <c r="Y89">
        <v>16830000</v>
      </c>
      <c r="Z89">
        <v>42</v>
      </c>
      <c r="AA89">
        <v>0</v>
      </c>
      <c r="AB89">
        <v>0</v>
      </c>
      <c r="AC89">
        <v>0</v>
      </c>
      <c r="AD89">
        <v>107</v>
      </c>
      <c r="AE89">
        <v>21</v>
      </c>
      <c r="AF89">
        <v>0</v>
      </c>
      <c r="AG89">
        <v>2</v>
      </c>
      <c r="AH89">
        <v>0</v>
      </c>
      <c r="AI89">
        <v>0</v>
      </c>
      <c r="AJ89">
        <v>0</v>
      </c>
      <c r="AK89">
        <v>0</v>
      </c>
    </row>
    <row r="90" spans="1:37" x14ac:dyDescent="0.2">
      <c r="A90" t="s">
        <v>2</v>
      </c>
      <c r="B90">
        <v>26</v>
      </c>
      <c r="C90">
        <v>3060500</v>
      </c>
      <c r="D90">
        <v>0</v>
      </c>
      <c r="E90">
        <v>2</v>
      </c>
      <c r="F90">
        <v>2</v>
      </c>
      <c r="G90">
        <v>17820000</v>
      </c>
      <c r="H90">
        <v>1</v>
      </c>
      <c r="I90">
        <v>0</v>
      </c>
      <c r="J90">
        <v>0</v>
      </c>
      <c r="K90">
        <v>10</v>
      </c>
      <c r="L90">
        <v>626</v>
      </c>
      <c r="M90">
        <v>2</v>
      </c>
      <c r="N90">
        <v>8</v>
      </c>
      <c r="O90">
        <v>29</v>
      </c>
      <c r="P90">
        <v>1</v>
      </c>
      <c r="Q90">
        <v>2</v>
      </c>
      <c r="R90">
        <v>7</v>
      </c>
      <c r="S90">
        <v>0</v>
      </c>
      <c r="T90">
        <v>37</v>
      </c>
      <c r="U90">
        <v>10513721</v>
      </c>
      <c r="V90">
        <v>1</v>
      </c>
      <c r="W90">
        <v>6</v>
      </c>
      <c r="X90">
        <v>4</v>
      </c>
      <c r="Y90">
        <v>24710000</v>
      </c>
      <c r="Z90">
        <v>0</v>
      </c>
      <c r="AA90">
        <v>0</v>
      </c>
      <c r="AB90">
        <v>0</v>
      </c>
      <c r="AC90">
        <v>27</v>
      </c>
      <c r="AD90">
        <v>2546</v>
      </c>
      <c r="AE90">
        <v>0</v>
      </c>
      <c r="AF90">
        <v>0</v>
      </c>
      <c r="AG90">
        <v>288</v>
      </c>
      <c r="AH90">
        <v>0</v>
      </c>
      <c r="AI90">
        <v>0</v>
      </c>
      <c r="AJ90">
        <v>0</v>
      </c>
      <c r="AK90">
        <v>0</v>
      </c>
    </row>
    <row r="91" spans="1:37" x14ac:dyDescent="0.2">
      <c r="A91" t="s">
        <v>391</v>
      </c>
      <c r="B91">
        <v>60</v>
      </c>
      <c r="C91">
        <v>6064204</v>
      </c>
      <c r="D91">
        <v>15</v>
      </c>
      <c r="E91">
        <v>16</v>
      </c>
      <c r="F91">
        <v>62</v>
      </c>
      <c r="G91">
        <v>25360000</v>
      </c>
      <c r="H91">
        <v>1</v>
      </c>
      <c r="I91">
        <v>0</v>
      </c>
      <c r="J91">
        <v>0</v>
      </c>
      <c r="K91">
        <v>41</v>
      </c>
      <c r="L91">
        <v>1794</v>
      </c>
      <c r="M91">
        <v>1</v>
      </c>
      <c r="N91">
        <v>0</v>
      </c>
      <c r="O91">
        <v>9</v>
      </c>
      <c r="P91">
        <v>0</v>
      </c>
      <c r="Q91">
        <v>0</v>
      </c>
      <c r="R91">
        <v>0</v>
      </c>
      <c r="S91">
        <v>10</v>
      </c>
      <c r="T91">
        <v>85</v>
      </c>
      <c r="U91">
        <v>9948682</v>
      </c>
      <c r="V91">
        <v>27</v>
      </c>
      <c r="W91">
        <v>29</v>
      </c>
      <c r="X91">
        <v>154</v>
      </c>
      <c r="Y91">
        <v>52730000</v>
      </c>
      <c r="Z91">
        <v>0</v>
      </c>
      <c r="AA91">
        <v>0</v>
      </c>
      <c r="AB91">
        <v>0</v>
      </c>
      <c r="AC91">
        <v>54</v>
      </c>
      <c r="AD91">
        <v>2841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5</v>
      </c>
      <c r="AK91">
        <v>0</v>
      </c>
    </row>
    <row r="92" spans="1:37" x14ac:dyDescent="0.2">
      <c r="A92" t="s">
        <v>456</v>
      </c>
      <c r="B92">
        <v>252</v>
      </c>
      <c r="C92">
        <v>24341133</v>
      </c>
      <c r="D92">
        <v>3</v>
      </c>
      <c r="E92">
        <v>4</v>
      </c>
      <c r="F92">
        <v>3</v>
      </c>
      <c r="G92">
        <v>177570000</v>
      </c>
      <c r="H92">
        <v>4</v>
      </c>
      <c r="I92">
        <v>14</v>
      </c>
      <c r="J92">
        <v>37</v>
      </c>
      <c r="K92">
        <v>181</v>
      </c>
      <c r="L92">
        <v>7285</v>
      </c>
      <c r="M92">
        <v>5</v>
      </c>
      <c r="N92">
        <v>1</v>
      </c>
      <c r="O92">
        <v>81</v>
      </c>
      <c r="P92">
        <v>2</v>
      </c>
      <c r="Q92">
        <v>15</v>
      </c>
      <c r="R92">
        <v>61</v>
      </c>
      <c r="S92">
        <v>15</v>
      </c>
      <c r="T92">
        <v>275</v>
      </c>
      <c r="U92">
        <v>36466865</v>
      </c>
      <c r="V92">
        <v>1</v>
      </c>
      <c r="W92">
        <v>7</v>
      </c>
      <c r="X92">
        <v>22</v>
      </c>
      <c r="Y92">
        <v>203960000</v>
      </c>
      <c r="Z92">
        <v>16</v>
      </c>
      <c r="AA92">
        <v>21</v>
      </c>
      <c r="AB92">
        <v>33</v>
      </c>
      <c r="AC92">
        <v>210</v>
      </c>
      <c r="AD92">
        <v>8595</v>
      </c>
      <c r="AE92">
        <v>8</v>
      </c>
      <c r="AF92">
        <v>15</v>
      </c>
      <c r="AG92">
        <v>68</v>
      </c>
      <c r="AH92">
        <v>1</v>
      </c>
      <c r="AI92">
        <v>10</v>
      </c>
      <c r="AJ92">
        <v>49</v>
      </c>
      <c r="AK92">
        <v>35</v>
      </c>
    </row>
    <row r="93" spans="1:37" x14ac:dyDescent="0.2">
      <c r="A93" t="s">
        <v>457</v>
      </c>
      <c r="B93">
        <v>208</v>
      </c>
      <c r="C93">
        <v>35996049</v>
      </c>
      <c r="D93">
        <v>39</v>
      </c>
      <c r="E93">
        <v>19</v>
      </c>
      <c r="F93">
        <v>29</v>
      </c>
      <c r="G93">
        <v>137690000</v>
      </c>
      <c r="H93">
        <v>4</v>
      </c>
      <c r="I93">
        <v>12</v>
      </c>
      <c r="J93">
        <v>2</v>
      </c>
      <c r="K93">
        <v>162</v>
      </c>
      <c r="L93">
        <v>9483</v>
      </c>
      <c r="M93">
        <v>9</v>
      </c>
      <c r="N93">
        <v>0</v>
      </c>
      <c r="O93">
        <v>38</v>
      </c>
      <c r="P93">
        <v>1</v>
      </c>
      <c r="Q93">
        <v>5</v>
      </c>
      <c r="R93">
        <v>41</v>
      </c>
      <c r="S93">
        <v>47</v>
      </c>
      <c r="T93">
        <v>198</v>
      </c>
      <c r="U93">
        <v>40217106</v>
      </c>
      <c r="V93">
        <v>47</v>
      </c>
      <c r="W93">
        <v>18</v>
      </c>
      <c r="X93">
        <v>31</v>
      </c>
      <c r="Y93">
        <v>146590000</v>
      </c>
      <c r="Z93">
        <v>7</v>
      </c>
      <c r="AA93">
        <v>0</v>
      </c>
      <c r="AB93">
        <v>11</v>
      </c>
      <c r="AC93">
        <v>177</v>
      </c>
      <c r="AD93">
        <v>11252</v>
      </c>
      <c r="AE93">
        <v>5</v>
      </c>
      <c r="AF93">
        <v>0</v>
      </c>
      <c r="AG93">
        <v>0</v>
      </c>
      <c r="AH93">
        <v>0</v>
      </c>
      <c r="AI93">
        <v>6</v>
      </c>
      <c r="AJ93">
        <v>9</v>
      </c>
      <c r="AK93">
        <v>627</v>
      </c>
    </row>
    <row r="94" spans="1:37" x14ac:dyDescent="0.2">
      <c r="A94" t="s">
        <v>458</v>
      </c>
      <c r="B94">
        <v>79</v>
      </c>
      <c r="C94">
        <v>7221603</v>
      </c>
      <c r="D94">
        <v>9</v>
      </c>
      <c r="E94">
        <v>20</v>
      </c>
      <c r="F94">
        <v>163</v>
      </c>
      <c r="G94">
        <v>63930000</v>
      </c>
      <c r="H94">
        <v>0</v>
      </c>
      <c r="I94">
        <v>0</v>
      </c>
      <c r="J94">
        <v>0</v>
      </c>
      <c r="K94">
        <v>2</v>
      </c>
      <c r="L94">
        <v>253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114</v>
      </c>
      <c r="U94">
        <v>10531384</v>
      </c>
      <c r="V94">
        <v>8</v>
      </c>
      <c r="W94">
        <v>31</v>
      </c>
      <c r="X94">
        <v>281</v>
      </c>
      <c r="Y94">
        <v>82610000</v>
      </c>
      <c r="Z94">
        <v>0</v>
      </c>
      <c r="AA94">
        <v>0</v>
      </c>
      <c r="AB94">
        <v>0</v>
      </c>
      <c r="AC94">
        <v>6</v>
      </c>
      <c r="AD94">
        <v>519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</row>
    <row r="95" spans="1:37" x14ac:dyDescent="0.2">
      <c r="A95" t="s">
        <v>459</v>
      </c>
      <c r="B95">
        <v>41</v>
      </c>
      <c r="C95">
        <v>6099653</v>
      </c>
      <c r="D95">
        <v>3</v>
      </c>
      <c r="E95">
        <v>1</v>
      </c>
      <c r="F95">
        <v>0</v>
      </c>
      <c r="G95">
        <v>11610000</v>
      </c>
      <c r="H95">
        <v>0</v>
      </c>
      <c r="I95">
        <v>0</v>
      </c>
      <c r="J95">
        <v>0</v>
      </c>
      <c r="K95">
        <v>48</v>
      </c>
      <c r="L95">
        <v>1465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46</v>
      </c>
      <c r="U95">
        <v>5231160</v>
      </c>
      <c r="V95">
        <v>1</v>
      </c>
      <c r="W95">
        <v>2</v>
      </c>
      <c r="X95">
        <v>2</v>
      </c>
      <c r="Y95">
        <v>9425000</v>
      </c>
      <c r="Z95">
        <v>0</v>
      </c>
      <c r="AA95">
        <v>0</v>
      </c>
      <c r="AB95">
        <v>0</v>
      </c>
      <c r="AC95">
        <v>37</v>
      </c>
      <c r="AD95">
        <v>898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</row>
    <row r="96" spans="1:37" x14ac:dyDescent="0.2">
      <c r="A96" t="s">
        <v>464</v>
      </c>
      <c r="B96">
        <v>1</v>
      </c>
      <c r="C96">
        <v>0</v>
      </c>
      <c r="D96">
        <v>0</v>
      </c>
      <c r="E96">
        <v>1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1</v>
      </c>
      <c r="U96">
        <v>100000</v>
      </c>
      <c r="V96">
        <v>0</v>
      </c>
      <c r="W96">
        <v>0</v>
      </c>
      <c r="X96">
        <v>0</v>
      </c>
      <c r="Y96">
        <v>200000</v>
      </c>
      <c r="Z96">
        <v>0</v>
      </c>
      <c r="AA96">
        <v>0</v>
      </c>
      <c r="AB96">
        <v>0</v>
      </c>
      <c r="AC96">
        <v>1</v>
      </c>
      <c r="AD96">
        <v>9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</row>
    <row r="97" spans="1:37" x14ac:dyDescent="0.2">
      <c r="A97" t="s">
        <v>476</v>
      </c>
    </row>
    <row r="98" spans="1:37" x14ac:dyDescent="0.2">
      <c r="A98" t="s">
        <v>378</v>
      </c>
    </row>
    <row r="99" spans="1:37" x14ac:dyDescent="0.2">
      <c r="A99" t="s">
        <v>477</v>
      </c>
      <c r="B99">
        <v>31</v>
      </c>
      <c r="C99">
        <v>4584653</v>
      </c>
      <c r="D99">
        <v>3</v>
      </c>
      <c r="E99">
        <v>0</v>
      </c>
      <c r="F99">
        <v>0</v>
      </c>
      <c r="G99">
        <v>4560000</v>
      </c>
      <c r="H99">
        <v>0</v>
      </c>
      <c r="I99">
        <v>0</v>
      </c>
      <c r="J99">
        <v>0</v>
      </c>
      <c r="K99">
        <v>30</v>
      </c>
      <c r="L99">
        <v>740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33</v>
      </c>
      <c r="U99">
        <v>3571160</v>
      </c>
      <c r="V99">
        <v>1</v>
      </c>
      <c r="W99">
        <v>1</v>
      </c>
      <c r="X99">
        <v>1</v>
      </c>
      <c r="Y99">
        <v>6120000</v>
      </c>
      <c r="Z99">
        <v>0</v>
      </c>
      <c r="AA99">
        <v>0</v>
      </c>
      <c r="AB99">
        <v>0</v>
      </c>
      <c r="AC99">
        <v>27</v>
      </c>
      <c r="AD99">
        <v>643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</row>
    <row r="100" spans="1:37" x14ac:dyDescent="0.2">
      <c r="A100" t="s">
        <v>530</v>
      </c>
      <c r="B100">
        <v>14</v>
      </c>
      <c r="C100">
        <v>1500</v>
      </c>
      <c r="D100">
        <v>0</v>
      </c>
      <c r="E100">
        <v>15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14</v>
      </c>
      <c r="U100">
        <v>51300</v>
      </c>
      <c r="V100">
        <v>1</v>
      </c>
      <c r="W100">
        <v>12</v>
      </c>
      <c r="X100">
        <v>1</v>
      </c>
      <c r="Y100">
        <v>1200000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</row>
  </sheetData>
  <phoneticPr fontId="59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P71"/>
  <sheetViews>
    <sheetView view="pageBreakPreview" topLeftCell="A37" zoomScaleNormal="100" workbookViewId="0">
      <selection activeCell="D5" sqref="D5"/>
    </sheetView>
  </sheetViews>
  <sheetFormatPr defaultColWidth="9.140625" defaultRowHeight="12" x14ac:dyDescent="0.2"/>
  <cols>
    <col min="1" max="1" width="27.5703125" style="193" customWidth="1"/>
    <col min="2" max="3" width="5.140625" style="3" bestFit="1" customWidth="1"/>
    <col min="4" max="4" width="8" style="3" customWidth="1"/>
    <col min="5" max="5" width="12.140625" style="3" customWidth="1"/>
    <col min="6" max="6" width="10.5703125" style="3" customWidth="1"/>
    <col min="7" max="7" width="7.7109375" style="3" bestFit="1" customWidth="1"/>
    <col min="8" max="9" width="5.140625" style="3" bestFit="1" customWidth="1"/>
    <col min="10" max="10" width="6" style="3" bestFit="1" customWidth="1"/>
    <col min="11" max="11" width="6.28515625" style="3" customWidth="1"/>
    <col min="12" max="12" width="5.140625" style="3" bestFit="1" customWidth="1"/>
    <col min="13" max="13" width="6.28515625" style="3" bestFit="1" customWidth="1"/>
    <col min="14" max="15" width="5.140625" style="3" bestFit="1" customWidth="1"/>
    <col min="16" max="16" width="6.7109375" style="3" bestFit="1" customWidth="1"/>
    <col min="17" max="16384" width="9.140625" style="3"/>
  </cols>
  <sheetData>
    <row r="1" spans="1:16" x14ac:dyDescent="0.2">
      <c r="A1" s="184" t="s">
        <v>3</v>
      </c>
      <c r="B1" s="1"/>
      <c r="C1" s="2"/>
      <c r="D1" s="1"/>
      <c r="E1" s="1"/>
      <c r="F1" s="1"/>
      <c r="G1" s="1"/>
      <c r="H1" s="1"/>
      <c r="I1" s="1"/>
      <c r="J1" s="1"/>
    </row>
    <row r="2" spans="1:16" x14ac:dyDescent="0.2">
      <c r="A2" s="184" t="s">
        <v>266</v>
      </c>
      <c r="B2" s="1"/>
      <c r="C2" s="2"/>
      <c r="D2" s="1"/>
      <c r="E2" s="1"/>
      <c r="F2" s="1"/>
      <c r="G2" s="1"/>
      <c r="H2" s="1"/>
      <c r="I2" s="1"/>
      <c r="J2" s="1"/>
    </row>
    <row r="3" spans="1:16" ht="12.75" thickBot="1" x14ac:dyDescent="0.25">
      <c r="A3" s="184"/>
      <c r="B3" s="1"/>
      <c r="C3" s="2"/>
      <c r="D3" s="1"/>
      <c r="E3" s="1"/>
      <c r="F3" s="1"/>
      <c r="G3" s="1"/>
      <c r="H3" s="1"/>
      <c r="I3" s="1"/>
      <c r="J3" s="1"/>
    </row>
    <row r="4" spans="1:16" x14ac:dyDescent="0.2">
      <c r="A4" s="185" t="s">
        <v>216</v>
      </c>
      <c r="B4" s="129" t="s">
        <v>8</v>
      </c>
      <c r="C4" s="130"/>
      <c r="D4" s="131"/>
      <c r="E4" s="129" t="s">
        <v>9</v>
      </c>
      <c r="F4" s="130"/>
      <c r="G4" s="131"/>
      <c r="H4" s="173" t="s">
        <v>10</v>
      </c>
      <c r="I4" s="174"/>
      <c r="J4" s="175"/>
      <c r="K4" s="129" t="s">
        <v>15</v>
      </c>
      <c r="L4" s="130"/>
      <c r="M4" s="131"/>
      <c r="N4" s="129" t="s">
        <v>16</v>
      </c>
      <c r="O4" s="130"/>
      <c r="P4" s="131"/>
    </row>
    <row r="5" spans="1:16" ht="12.75" thickBot="1" x14ac:dyDescent="0.25">
      <c r="A5" s="186"/>
      <c r="B5" s="132">
        <v>2016</v>
      </c>
      <c r="C5" s="133">
        <v>2015</v>
      </c>
      <c r="D5" s="134" t="s">
        <v>11</v>
      </c>
      <c r="E5" s="132">
        <f>B5</f>
        <v>2016</v>
      </c>
      <c r="F5" s="133">
        <f>C5</f>
        <v>2015</v>
      </c>
      <c r="G5" s="134" t="s">
        <v>11</v>
      </c>
      <c r="H5" s="132">
        <f>B5</f>
        <v>2016</v>
      </c>
      <c r="I5" s="132">
        <f>C5</f>
        <v>2015</v>
      </c>
      <c r="J5" s="176" t="s">
        <v>11</v>
      </c>
      <c r="K5" s="132">
        <f>B5</f>
        <v>2016</v>
      </c>
      <c r="L5" s="132">
        <f>C5</f>
        <v>2015</v>
      </c>
      <c r="M5" s="134" t="s">
        <v>11</v>
      </c>
      <c r="N5" s="132">
        <f>B5</f>
        <v>2016</v>
      </c>
      <c r="O5" s="132">
        <f>C5</f>
        <v>2015</v>
      </c>
      <c r="P5" s="134" t="s">
        <v>11</v>
      </c>
    </row>
    <row r="6" spans="1:16" x14ac:dyDescent="0.2">
      <c r="A6" s="187" t="s">
        <v>18</v>
      </c>
      <c r="B6" s="194">
        <f>Grig1!C58</f>
        <v>778</v>
      </c>
      <c r="C6" s="125">
        <f>Grig1!B58</f>
        <v>748</v>
      </c>
      <c r="D6" s="195" t="str">
        <f>IF(C6&lt;&gt;0,TEXT(((B6-C6)/C6)*100,"0,0"),"--")</f>
        <v>4,0</v>
      </c>
      <c r="E6" s="202">
        <f>Grig1!F58</f>
        <v>119476550</v>
      </c>
      <c r="F6" s="136">
        <f>Grig1!E58</f>
        <v>104171269</v>
      </c>
      <c r="G6" s="195" t="str">
        <f>IF(F6&lt;&gt;0,TEXT(((E6-F6)/F6)*100,"0,0"),"--")</f>
        <v>14,7</v>
      </c>
      <c r="H6" s="196">
        <f>Grig1!I58</f>
        <v>59</v>
      </c>
      <c r="I6" s="178">
        <f>Grig1!H58</f>
        <v>57</v>
      </c>
      <c r="J6" s="197" t="str">
        <f>IF(I6&lt;&gt;0,TEXT(((H6-I6)/I6)*100,"0,0"),"--")</f>
        <v>3,5</v>
      </c>
      <c r="K6" s="194">
        <f>Grig1!L58</f>
        <v>72</v>
      </c>
      <c r="L6" s="125">
        <f>Grig1!K58</f>
        <v>62</v>
      </c>
      <c r="M6" s="195" t="str">
        <f>IF(L6&lt;&gt;0,TEXT(((K6-L6)/L6)*100,"0,0"),"--")</f>
        <v>16,1</v>
      </c>
      <c r="N6" s="194">
        <f>Grig1!O58</f>
        <v>339</v>
      </c>
      <c r="O6" s="125">
        <f>Grig1!N58</f>
        <v>200</v>
      </c>
      <c r="P6" s="195" t="str">
        <f>IF(O6&lt;&gt;0,TEXT(((N6-O6)/O6)*100,"0,0"),"--")</f>
        <v>69,5</v>
      </c>
    </row>
    <row r="7" spans="1:16" ht="12.75" thickBot="1" x14ac:dyDescent="0.25">
      <c r="A7" s="188" t="s">
        <v>19</v>
      </c>
      <c r="B7" s="198"/>
      <c r="C7" s="127"/>
      <c r="D7" s="199" t="str">
        <f t="shared" ref="D7:D71" si="0">IF(C7&lt;&gt;0,TEXT(((B7-C7)/C7)*100,"0,0"),"--")</f>
        <v>--</v>
      </c>
      <c r="E7" s="198"/>
      <c r="F7" s="127"/>
      <c r="G7" s="199" t="str">
        <f t="shared" ref="G7:G70" si="1">IF(F7&lt;&gt;0,TEXT(((E7-F7)/F7)*100,"0,0"),"--")</f>
        <v>--</v>
      </c>
      <c r="H7" s="200"/>
      <c r="I7" s="180"/>
      <c r="J7" s="201" t="str">
        <f t="shared" ref="J7:J70" si="2">IF(I7&lt;&gt;0,TEXT(((H7-I7)/I7)*100,"0,0"),"--")</f>
        <v>--</v>
      </c>
      <c r="K7" s="198"/>
      <c r="L7" s="127"/>
      <c r="M7" s="199" t="str">
        <f t="shared" ref="M7:M70" si="3">IF(L7&lt;&gt;0,TEXT(((K7-L7)/L7)*100,"0,0"),"--")</f>
        <v>--</v>
      </c>
      <c r="N7" s="198"/>
      <c r="O7" s="127"/>
      <c r="P7" s="199" t="str">
        <f t="shared" ref="P7:P70" si="4">IF(O7&lt;&gt;0,TEXT(((N7-O7)/O7)*100,"0,0"),"--")</f>
        <v>--</v>
      </c>
    </row>
    <row r="8" spans="1:16" ht="24" x14ac:dyDescent="0.2">
      <c r="A8" s="187" t="s">
        <v>20</v>
      </c>
      <c r="B8" s="194"/>
      <c r="C8" s="125"/>
      <c r="D8" s="195" t="str">
        <f t="shared" si="0"/>
        <v>--</v>
      </c>
      <c r="E8" s="202"/>
      <c r="F8" s="136"/>
      <c r="G8" s="195" t="str">
        <f t="shared" si="1"/>
        <v>--</v>
      </c>
      <c r="H8" s="196"/>
      <c r="I8" s="178"/>
      <c r="J8" s="197" t="str">
        <f t="shared" si="2"/>
        <v>--</v>
      </c>
      <c r="K8" s="194"/>
      <c r="L8" s="125"/>
      <c r="M8" s="195" t="str">
        <f t="shared" si="3"/>
        <v>--</v>
      </c>
      <c r="N8" s="194"/>
      <c r="O8" s="125"/>
      <c r="P8" s="195" t="str">
        <f t="shared" si="4"/>
        <v>--</v>
      </c>
    </row>
    <row r="9" spans="1:16" x14ac:dyDescent="0.2">
      <c r="A9" s="189" t="s">
        <v>21</v>
      </c>
      <c r="B9" s="203"/>
      <c r="C9" s="126"/>
      <c r="D9" s="204" t="str">
        <f t="shared" si="0"/>
        <v>--</v>
      </c>
      <c r="E9" s="205"/>
      <c r="F9" s="137"/>
      <c r="G9" s="204" t="str">
        <f t="shared" si="1"/>
        <v>--</v>
      </c>
      <c r="H9" s="206"/>
      <c r="I9" s="179"/>
      <c r="J9" s="207" t="str">
        <f t="shared" si="2"/>
        <v>--</v>
      </c>
      <c r="K9" s="203"/>
      <c r="L9" s="126"/>
      <c r="M9" s="204" t="str">
        <f t="shared" si="3"/>
        <v>--</v>
      </c>
      <c r="N9" s="203"/>
      <c r="O9" s="126"/>
      <c r="P9" s="204" t="str">
        <f t="shared" si="4"/>
        <v>--</v>
      </c>
    </row>
    <row r="10" spans="1:16" x14ac:dyDescent="0.2">
      <c r="A10" s="189" t="s">
        <v>22</v>
      </c>
      <c r="B10" s="203"/>
      <c r="C10" s="126"/>
      <c r="D10" s="204" t="str">
        <f t="shared" si="0"/>
        <v>--</v>
      </c>
      <c r="E10" s="205"/>
      <c r="F10" s="137"/>
      <c r="G10" s="204" t="str">
        <f t="shared" si="1"/>
        <v>--</v>
      </c>
      <c r="H10" s="206"/>
      <c r="I10" s="179"/>
      <c r="J10" s="207" t="str">
        <f t="shared" si="2"/>
        <v>--</v>
      </c>
      <c r="K10" s="203"/>
      <c r="L10" s="126"/>
      <c r="M10" s="204" t="str">
        <f t="shared" si="3"/>
        <v>--</v>
      </c>
      <c r="N10" s="203"/>
      <c r="O10" s="126"/>
      <c r="P10" s="204" t="str">
        <f t="shared" si="4"/>
        <v>--</v>
      </c>
    </row>
    <row r="11" spans="1:16" ht="24" x14ac:dyDescent="0.2">
      <c r="A11" s="189" t="s">
        <v>23</v>
      </c>
      <c r="B11" s="203"/>
      <c r="C11" s="126"/>
      <c r="D11" s="204" t="str">
        <f t="shared" si="0"/>
        <v>--</v>
      </c>
      <c r="E11" s="205"/>
      <c r="F11" s="137"/>
      <c r="G11" s="204" t="str">
        <f t="shared" si="1"/>
        <v>--</v>
      </c>
      <c r="H11" s="206"/>
      <c r="I11" s="179"/>
      <c r="J11" s="207" t="str">
        <f t="shared" si="2"/>
        <v>--</v>
      </c>
      <c r="K11" s="203"/>
      <c r="L11" s="126"/>
      <c r="M11" s="204" t="str">
        <f t="shared" si="3"/>
        <v>--</v>
      </c>
      <c r="N11" s="203"/>
      <c r="O11" s="126"/>
      <c r="P11" s="204" t="str">
        <f t="shared" si="4"/>
        <v>--</v>
      </c>
    </row>
    <row r="12" spans="1:16" ht="24" x14ac:dyDescent="0.2">
      <c r="A12" s="189" t="s">
        <v>24</v>
      </c>
      <c r="B12" s="203"/>
      <c r="C12" s="126"/>
      <c r="D12" s="204" t="str">
        <f t="shared" si="0"/>
        <v>--</v>
      </c>
      <c r="E12" s="205"/>
      <c r="F12" s="137"/>
      <c r="G12" s="204" t="str">
        <f t="shared" si="1"/>
        <v>--</v>
      </c>
      <c r="H12" s="206"/>
      <c r="I12" s="179"/>
      <c r="J12" s="207" t="str">
        <f t="shared" si="2"/>
        <v>--</v>
      </c>
      <c r="K12" s="203"/>
      <c r="L12" s="126"/>
      <c r="M12" s="204" t="str">
        <f t="shared" si="3"/>
        <v>--</v>
      </c>
      <c r="N12" s="203"/>
      <c r="O12" s="126"/>
      <c r="P12" s="204" t="str">
        <f t="shared" si="4"/>
        <v>--</v>
      </c>
    </row>
    <row r="13" spans="1:16" x14ac:dyDescent="0.2">
      <c r="A13" s="189" t="s">
        <v>25</v>
      </c>
      <c r="B13" s="203"/>
      <c r="C13" s="126"/>
      <c r="D13" s="204" t="str">
        <f t="shared" si="0"/>
        <v>--</v>
      </c>
      <c r="E13" s="205"/>
      <c r="F13" s="137"/>
      <c r="G13" s="204" t="str">
        <f t="shared" si="1"/>
        <v>--</v>
      </c>
      <c r="H13" s="206"/>
      <c r="I13" s="179"/>
      <c r="J13" s="207" t="str">
        <f t="shared" si="2"/>
        <v>--</v>
      </c>
      <c r="K13" s="203"/>
      <c r="L13" s="126"/>
      <c r="M13" s="204" t="str">
        <f t="shared" si="3"/>
        <v>--</v>
      </c>
      <c r="N13" s="203"/>
      <c r="O13" s="126"/>
      <c r="P13" s="204" t="str">
        <f t="shared" si="4"/>
        <v>--</v>
      </c>
    </row>
    <row r="14" spans="1:16" ht="36.75" thickBot="1" x14ac:dyDescent="0.25">
      <c r="A14" s="188" t="s">
        <v>26</v>
      </c>
      <c r="B14" s="198"/>
      <c r="C14" s="127"/>
      <c r="D14" s="199" t="str">
        <f t="shared" si="0"/>
        <v>--</v>
      </c>
      <c r="E14" s="208"/>
      <c r="F14" s="138"/>
      <c r="G14" s="199" t="str">
        <f t="shared" si="1"/>
        <v>--</v>
      </c>
      <c r="H14" s="200"/>
      <c r="I14" s="180"/>
      <c r="J14" s="201" t="str">
        <f t="shared" si="2"/>
        <v>--</v>
      </c>
      <c r="K14" s="198"/>
      <c r="L14" s="127"/>
      <c r="M14" s="199" t="str">
        <f t="shared" si="3"/>
        <v>--</v>
      </c>
      <c r="N14" s="198"/>
      <c r="O14" s="127"/>
      <c r="P14" s="199" t="str">
        <f t="shared" si="4"/>
        <v>--</v>
      </c>
    </row>
    <row r="15" spans="1:16" x14ac:dyDescent="0.2">
      <c r="A15" s="187" t="s">
        <v>27</v>
      </c>
      <c r="B15" s="194"/>
      <c r="C15" s="125"/>
      <c r="D15" s="195" t="str">
        <f t="shared" si="0"/>
        <v>--</v>
      </c>
      <c r="E15" s="202"/>
      <c r="F15" s="136"/>
      <c r="G15" s="195" t="str">
        <f t="shared" si="1"/>
        <v>--</v>
      </c>
      <c r="H15" s="196"/>
      <c r="I15" s="178"/>
      <c r="J15" s="197" t="str">
        <f t="shared" si="2"/>
        <v>--</v>
      </c>
      <c r="K15" s="194"/>
      <c r="L15" s="125"/>
      <c r="M15" s="195" t="str">
        <f t="shared" si="3"/>
        <v>--</v>
      </c>
      <c r="N15" s="194"/>
      <c r="O15" s="125"/>
      <c r="P15" s="195" t="str">
        <f t="shared" si="4"/>
        <v>--</v>
      </c>
    </row>
    <row r="16" spans="1:16" x14ac:dyDescent="0.2">
      <c r="A16" s="189" t="s">
        <v>28</v>
      </c>
      <c r="B16" s="203"/>
      <c r="C16" s="126"/>
      <c r="D16" s="204" t="str">
        <f t="shared" si="0"/>
        <v>--</v>
      </c>
      <c r="E16" s="205"/>
      <c r="F16" s="137"/>
      <c r="G16" s="204" t="str">
        <f t="shared" si="1"/>
        <v>--</v>
      </c>
      <c r="H16" s="206"/>
      <c r="I16" s="179"/>
      <c r="J16" s="207" t="str">
        <f t="shared" si="2"/>
        <v>--</v>
      </c>
      <c r="K16" s="203"/>
      <c r="L16" s="126"/>
      <c r="M16" s="204" t="str">
        <f t="shared" si="3"/>
        <v>--</v>
      </c>
      <c r="N16" s="203"/>
      <c r="O16" s="126"/>
      <c r="P16" s="204" t="str">
        <f t="shared" si="4"/>
        <v>--</v>
      </c>
    </row>
    <row r="17" spans="1:16" x14ac:dyDescent="0.2">
      <c r="A17" s="189" t="s">
        <v>29</v>
      </c>
      <c r="B17" s="203"/>
      <c r="C17" s="126"/>
      <c r="D17" s="204" t="str">
        <f t="shared" si="0"/>
        <v>--</v>
      </c>
      <c r="E17" s="205"/>
      <c r="F17" s="137"/>
      <c r="G17" s="204" t="str">
        <f t="shared" si="1"/>
        <v>--</v>
      </c>
      <c r="H17" s="206"/>
      <c r="I17" s="179"/>
      <c r="J17" s="207" t="str">
        <f t="shared" si="2"/>
        <v>--</v>
      </c>
      <c r="K17" s="203"/>
      <c r="L17" s="126"/>
      <c r="M17" s="204" t="str">
        <f t="shared" si="3"/>
        <v>--</v>
      </c>
      <c r="N17" s="203"/>
      <c r="O17" s="126"/>
      <c r="P17" s="204" t="str">
        <f t="shared" si="4"/>
        <v>--</v>
      </c>
    </row>
    <row r="18" spans="1:16" ht="12.75" thickBot="1" x14ac:dyDescent="0.25">
      <c r="A18" s="188" t="s">
        <v>30</v>
      </c>
      <c r="B18" s="198"/>
      <c r="C18" s="127"/>
      <c r="D18" s="199" t="str">
        <f t="shared" si="0"/>
        <v>--</v>
      </c>
      <c r="E18" s="208"/>
      <c r="F18" s="138"/>
      <c r="G18" s="199" t="str">
        <f t="shared" si="1"/>
        <v>--</v>
      </c>
      <c r="H18" s="200"/>
      <c r="I18" s="180"/>
      <c r="J18" s="201" t="str">
        <f t="shared" si="2"/>
        <v>--</v>
      </c>
      <c r="K18" s="198"/>
      <c r="L18" s="127"/>
      <c r="M18" s="199" t="str">
        <f t="shared" si="3"/>
        <v>--</v>
      </c>
      <c r="N18" s="198"/>
      <c r="O18" s="127"/>
      <c r="P18" s="199" t="str">
        <f t="shared" si="4"/>
        <v>--</v>
      </c>
    </row>
    <row r="19" spans="1:16" s="181" customFormat="1" x14ac:dyDescent="0.2">
      <c r="A19" s="337" t="s">
        <v>31</v>
      </c>
      <c r="B19" s="196"/>
      <c r="C19" s="178"/>
      <c r="D19" s="197" t="str">
        <f t="shared" si="0"/>
        <v>--</v>
      </c>
      <c r="E19" s="338"/>
      <c r="F19" s="339"/>
      <c r="G19" s="197" t="str">
        <f t="shared" si="1"/>
        <v>--</v>
      </c>
      <c r="H19" s="196"/>
      <c r="I19" s="178"/>
      <c r="J19" s="197" t="str">
        <f t="shared" si="2"/>
        <v>--</v>
      </c>
      <c r="K19" s="196"/>
      <c r="L19" s="178"/>
      <c r="M19" s="197" t="str">
        <f t="shared" si="3"/>
        <v>--</v>
      </c>
      <c r="N19" s="196"/>
      <c r="O19" s="178"/>
      <c r="P19" s="197" t="str">
        <f t="shared" si="4"/>
        <v>--</v>
      </c>
    </row>
    <row r="20" spans="1:16" x14ac:dyDescent="0.2">
      <c r="A20" s="189" t="s">
        <v>32</v>
      </c>
      <c r="B20" s="203"/>
      <c r="C20" s="126"/>
      <c r="D20" s="204" t="str">
        <f t="shared" si="0"/>
        <v>--</v>
      </c>
      <c r="E20" s="205"/>
      <c r="F20" s="137"/>
      <c r="G20" s="204" t="str">
        <f t="shared" si="1"/>
        <v>--</v>
      </c>
      <c r="H20" s="206"/>
      <c r="I20" s="179"/>
      <c r="J20" s="207" t="str">
        <f t="shared" si="2"/>
        <v>--</v>
      </c>
      <c r="K20" s="203"/>
      <c r="L20" s="126"/>
      <c r="M20" s="204" t="str">
        <f t="shared" si="3"/>
        <v>--</v>
      </c>
      <c r="N20" s="203"/>
      <c r="O20" s="126"/>
      <c r="P20" s="204" t="str">
        <f t="shared" si="4"/>
        <v>--</v>
      </c>
    </row>
    <row r="21" spans="1:16" x14ac:dyDescent="0.2">
      <c r="A21" s="189" t="s">
        <v>33</v>
      </c>
      <c r="B21" s="203"/>
      <c r="C21" s="126"/>
      <c r="D21" s="204" t="str">
        <f t="shared" si="0"/>
        <v>--</v>
      </c>
      <c r="E21" s="205"/>
      <c r="F21" s="137"/>
      <c r="G21" s="204" t="str">
        <f t="shared" si="1"/>
        <v>--</v>
      </c>
      <c r="H21" s="206"/>
      <c r="I21" s="179"/>
      <c r="J21" s="207" t="str">
        <f t="shared" si="2"/>
        <v>--</v>
      </c>
      <c r="K21" s="203"/>
      <c r="L21" s="126"/>
      <c r="M21" s="204" t="str">
        <f t="shared" si="3"/>
        <v>--</v>
      </c>
      <c r="N21" s="203"/>
      <c r="O21" s="126"/>
      <c r="P21" s="204" t="str">
        <f t="shared" si="4"/>
        <v>--</v>
      </c>
    </row>
    <row r="22" spans="1:16" ht="12.75" thickBot="1" x14ac:dyDescent="0.25">
      <c r="A22" s="188" t="s">
        <v>34</v>
      </c>
      <c r="B22" s="198"/>
      <c r="C22" s="127"/>
      <c r="D22" s="199" t="str">
        <f t="shared" si="0"/>
        <v>--</v>
      </c>
      <c r="E22" s="208"/>
      <c r="F22" s="138"/>
      <c r="G22" s="199" t="str">
        <f t="shared" si="1"/>
        <v>--</v>
      </c>
      <c r="H22" s="200"/>
      <c r="I22" s="180"/>
      <c r="J22" s="201" t="str">
        <f t="shared" si="2"/>
        <v>--</v>
      </c>
      <c r="K22" s="198"/>
      <c r="L22" s="127"/>
      <c r="M22" s="199" t="str">
        <f t="shared" si="3"/>
        <v>--</v>
      </c>
      <c r="N22" s="198"/>
      <c r="O22" s="127"/>
      <c r="P22" s="199" t="str">
        <f t="shared" si="4"/>
        <v>--</v>
      </c>
    </row>
    <row r="23" spans="1:16" ht="24" x14ac:dyDescent="0.2">
      <c r="A23" s="187" t="s">
        <v>35</v>
      </c>
      <c r="B23" s="194"/>
      <c r="C23" s="125"/>
      <c r="D23" s="195" t="str">
        <f t="shared" si="0"/>
        <v>--</v>
      </c>
      <c r="E23" s="202"/>
      <c r="F23" s="136"/>
      <c r="G23" s="195" t="str">
        <f t="shared" si="1"/>
        <v>--</v>
      </c>
      <c r="H23" s="196"/>
      <c r="I23" s="178"/>
      <c r="J23" s="197" t="str">
        <f t="shared" si="2"/>
        <v>--</v>
      </c>
      <c r="K23" s="194"/>
      <c r="L23" s="125"/>
      <c r="M23" s="195" t="str">
        <f t="shared" si="3"/>
        <v>--</v>
      </c>
      <c r="N23" s="194"/>
      <c r="O23" s="125"/>
      <c r="P23" s="195" t="str">
        <f t="shared" si="4"/>
        <v>--</v>
      </c>
    </row>
    <row r="24" spans="1:16" x14ac:dyDescent="0.2">
      <c r="A24" s="189" t="s">
        <v>36</v>
      </c>
      <c r="B24" s="203"/>
      <c r="C24" s="126"/>
      <c r="D24" s="204" t="str">
        <f t="shared" si="0"/>
        <v>--</v>
      </c>
      <c r="E24" s="205"/>
      <c r="F24" s="137"/>
      <c r="G24" s="204" t="str">
        <f t="shared" si="1"/>
        <v>--</v>
      </c>
      <c r="H24" s="206"/>
      <c r="I24" s="179"/>
      <c r="J24" s="207" t="str">
        <f t="shared" si="2"/>
        <v>--</v>
      </c>
      <c r="K24" s="203"/>
      <c r="L24" s="126"/>
      <c r="M24" s="204" t="str">
        <f t="shared" si="3"/>
        <v>--</v>
      </c>
      <c r="N24" s="203"/>
      <c r="O24" s="126"/>
      <c r="P24" s="204" t="str">
        <f t="shared" si="4"/>
        <v>--</v>
      </c>
    </row>
    <row r="25" spans="1:16" x14ac:dyDescent="0.2">
      <c r="A25" s="189" t="s">
        <v>37</v>
      </c>
      <c r="B25" s="203"/>
      <c r="C25" s="126"/>
      <c r="D25" s="204" t="str">
        <f t="shared" si="0"/>
        <v>--</v>
      </c>
      <c r="E25" s="205"/>
      <c r="F25" s="137"/>
      <c r="G25" s="204" t="str">
        <f t="shared" si="1"/>
        <v>--</v>
      </c>
      <c r="H25" s="206"/>
      <c r="I25" s="179"/>
      <c r="J25" s="207" t="str">
        <f t="shared" si="2"/>
        <v>--</v>
      </c>
      <c r="K25" s="203"/>
      <c r="L25" s="126"/>
      <c r="M25" s="204" t="str">
        <f t="shared" si="3"/>
        <v>--</v>
      </c>
      <c r="N25" s="203"/>
      <c r="O25" s="126"/>
      <c r="P25" s="204" t="str">
        <f t="shared" si="4"/>
        <v>--</v>
      </c>
    </row>
    <row r="26" spans="1:16" x14ac:dyDescent="0.2">
      <c r="A26" s="189" t="s">
        <v>38</v>
      </c>
      <c r="B26" s="203"/>
      <c r="C26" s="126"/>
      <c r="D26" s="204" t="str">
        <f t="shared" si="0"/>
        <v>--</v>
      </c>
      <c r="E26" s="205"/>
      <c r="F26" s="137"/>
      <c r="G26" s="204" t="str">
        <f t="shared" si="1"/>
        <v>--</v>
      </c>
      <c r="H26" s="206"/>
      <c r="I26" s="179"/>
      <c r="J26" s="207" t="str">
        <f t="shared" si="2"/>
        <v>--</v>
      </c>
      <c r="K26" s="203"/>
      <c r="L26" s="126"/>
      <c r="M26" s="204" t="str">
        <f t="shared" si="3"/>
        <v>--</v>
      </c>
      <c r="N26" s="203"/>
      <c r="O26" s="126"/>
      <c r="P26" s="204" t="str">
        <f t="shared" si="4"/>
        <v>--</v>
      </c>
    </row>
    <row r="27" spans="1:16" ht="12.75" thickBot="1" x14ac:dyDescent="0.25">
      <c r="A27" s="188" t="s">
        <v>39</v>
      </c>
      <c r="B27" s="198"/>
      <c r="C27" s="127"/>
      <c r="D27" s="199" t="str">
        <f t="shared" si="0"/>
        <v>--</v>
      </c>
      <c r="E27" s="208"/>
      <c r="F27" s="138"/>
      <c r="G27" s="199" t="str">
        <f t="shared" si="1"/>
        <v>--</v>
      </c>
      <c r="H27" s="200"/>
      <c r="I27" s="180"/>
      <c r="J27" s="201" t="str">
        <f t="shared" si="2"/>
        <v>--</v>
      </c>
      <c r="K27" s="198"/>
      <c r="L27" s="127"/>
      <c r="M27" s="199" t="str">
        <f t="shared" si="3"/>
        <v>--</v>
      </c>
      <c r="N27" s="198"/>
      <c r="O27" s="127"/>
      <c r="P27" s="199" t="str">
        <f t="shared" si="4"/>
        <v>--</v>
      </c>
    </row>
    <row r="28" spans="1:16" x14ac:dyDescent="0.2">
      <c r="A28" s="187" t="s">
        <v>40</v>
      </c>
      <c r="B28" s="194"/>
      <c r="C28" s="125"/>
      <c r="D28" s="195" t="str">
        <f t="shared" si="0"/>
        <v>--</v>
      </c>
      <c r="E28" s="202"/>
      <c r="F28" s="136"/>
      <c r="G28" s="195" t="str">
        <f t="shared" si="1"/>
        <v>--</v>
      </c>
      <c r="H28" s="196"/>
      <c r="I28" s="178"/>
      <c r="J28" s="197" t="str">
        <f t="shared" si="2"/>
        <v>--</v>
      </c>
      <c r="K28" s="194"/>
      <c r="L28" s="125"/>
      <c r="M28" s="195" t="str">
        <f t="shared" si="3"/>
        <v>--</v>
      </c>
      <c r="N28" s="194"/>
      <c r="O28" s="125"/>
      <c r="P28" s="195" t="str">
        <f t="shared" si="4"/>
        <v>--</v>
      </c>
    </row>
    <row r="29" spans="1:16" x14ac:dyDescent="0.2">
      <c r="A29" s="189" t="s">
        <v>41</v>
      </c>
      <c r="B29" s="203"/>
      <c r="C29" s="126"/>
      <c r="D29" s="204" t="str">
        <f t="shared" si="0"/>
        <v>--</v>
      </c>
      <c r="E29" s="205"/>
      <c r="F29" s="137"/>
      <c r="G29" s="204" t="str">
        <f t="shared" si="1"/>
        <v>--</v>
      </c>
      <c r="H29" s="206"/>
      <c r="I29" s="179"/>
      <c r="J29" s="207" t="str">
        <f t="shared" si="2"/>
        <v>--</v>
      </c>
      <c r="K29" s="203"/>
      <c r="L29" s="126"/>
      <c r="M29" s="204" t="str">
        <f t="shared" si="3"/>
        <v>--</v>
      </c>
      <c r="N29" s="203"/>
      <c r="O29" s="126"/>
      <c r="P29" s="204" t="str">
        <f t="shared" si="4"/>
        <v>--</v>
      </c>
    </row>
    <row r="30" spans="1:16" ht="12.75" thickBot="1" x14ac:dyDescent="0.25">
      <c r="A30" s="188" t="s">
        <v>42</v>
      </c>
      <c r="B30" s="198"/>
      <c r="C30" s="127"/>
      <c r="D30" s="199" t="str">
        <f t="shared" si="0"/>
        <v>--</v>
      </c>
      <c r="E30" s="208"/>
      <c r="F30" s="138"/>
      <c r="G30" s="199" t="str">
        <f t="shared" si="1"/>
        <v>--</v>
      </c>
      <c r="H30" s="200"/>
      <c r="I30" s="180"/>
      <c r="J30" s="201" t="str">
        <f t="shared" si="2"/>
        <v>--</v>
      </c>
      <c r="K30" s="198"/>
      <c r="L30" s="127"/>
      <c r="M30" s="199" t="str">
        <f t="shared" si="3"/>
        <v>--</v>
      </c>
      <c r="N30" s="198"/>
      <c r="O30" s="127"/>
      <c r="P30" s="199" t="str">
        <f t="shared" si="4"/>
        <v>--</v>
      </c>
    </row>
    <row r="31" spans="1:16" ht="12.75" thickBot="1" x14ac:dyDescent="0.25">
      <c r="A31" s="190" t="s">
        <v>43</v>
      </c>
      <c r="B31" s="209"/>
      <c r="C31" s="128"/>
      <c r="D31" s="210" t="str">
        <f t="shared" si="0"/>
        <v>--</v>
      </c>
      <c r="E31" s="211"/>
      <c r="F31" s="139"/>
      <c r="G31" s="210" t="str">
        <f t="shared" si="1"/>
        <v>--</v>
      </c>
      <c r="H31" s="212"/>
      <c r="I31" s="177"/>
      <c r="J31" s="213" t="str">
        <f t="shared" si="2"/>
        <v>--</v>
      </c>
      <c r="K31" s="209"/>
      <c r="L31" s="128"/>
      <c r="M31" s="210" t="str">
        <f t="shared" si="3"/>
        <v>--</v>
      </c>
      <c r="N31" s="209"/>
      <c r="O31" s="128"/>
      <c r="P31" s="210" t="str">
        <f t="shared" si="4"/>
        <v>--</v>
      </c>
    </row>
    <row r="32" spans="1:16" ht="24" x14ac:dyDescent="0.2">
      <c r="A32" s="187" t="s">
        <v>44</v>
      </c>
      <c r="B32" s="194"/>
      <c r="C32" s="125"/>
      <c r="D32" s="195" t="str">
        <f t="shared" si="0"/>
        <v>--</v>
      </c>
      <c r="E32" s="202"/>
      <c r="F32" s="136"/>
      <c r="G32" s="195" t="str">
        <f t="shared" si="1"/>
        <v>--</v>
      </c>
      <c r="H32" s="196"/>
      <c r="I32" s="178"/>
      <c r="J32" s="197" t="str">
        <f t="shared" si="2"/>
        <v>--</v>
      </c>
      <c r="K32" s="194"/>
      <c r="L32" s="125"/>
      <c r="M32" s="195" t="str">
        <f t="shared" si="3"/>
        <v>--</v>
      </c>
      <c r="N32" s="194"/>
      <c r="O32" s="125"/>
      <c r="P32" s="195" t="str">
        <f t="shared" si="4"/>
        <v>--</v>
      </c>
    </row>
    <row r="33" spans="1:16" s="181" customFormat="1" x14ac:dyDescent="0.2">
      <c r="A33" s="334" t="s">
        <v>45</v>
      </c>
      <c r="B33" s="206"/>
      <c r="C33" s="179"/>
      <c r="D33" s="207" t="str">
        <f t="shared" si="0"/>
        <v>--</v>
      </c>
      <c r="E33" s="335"/>
      <c r="F33" s="336"/>
      <c r="G33" s="207" t="str">
        <f t="shared" si="1"/>
        <v>--</v>
      </c>
      <c r="H33" s="206"/>
      <c r="I33" s="179"/>
      <c r="J33" s="207" t="str">
        <f t="shared" si="2"/>
        <v>--</v>
      </c>
      <c r="K33" s="206"/>
      <c r="L33" s="179"/>
      <c r="M33" s="207" t="str">
        <f t="shared" si="3"/>
        <v>--</v>
      </c>
      <c r="N33" s="206"/>
      <c r="O33" s="179"/>
      <c r="P33" s="207" t="str">
        <f t="shared" si="4"/>
        <v>--</v>
      </c>
    </row>
    <row r="34" spans="1:16" x14ac:dyDescent="0.2">
      <c r="A34" s="189" t="s">
        <v>46</v>
      </c>
      <c r="B34" s="203"/>
      <c r="C34" s="126"/>
      <c r="D34" s="204" t="str">
        <f t="shared" si="0"/>
        <v>--</v>
      </c>
      <c r="E34" s="205"/>
      <c r="F34" s="137"/>
      <c r="G34" s="204" t="str">
        <f t="shared" si="1"/>
        <v>--</v>
      </c>
      <c r="H34" s="206"/>
      <c r="I34" s="179"/>
      <c r="J34" s="207" t="str">
        <f t="shared" si="2"/>
        <v>--</v>
      </c>
      <c r="K34" s="203"/>
      <c r="L34" s="126"/>
      <c r="M34" s="204" t="str">
        <f t="shared" si="3"/>
        <v>--</v>
      </c>
      <c r="N34" s="203"/>
      <c r="O34" s="126"/>
      <c r="P34" s="204" t="str">
        <f t="shared" si="4"/>
        <v>--</v>
      </c>
    </row>
    <row r="35" spans="1:16" ht="24" x14ac:dyDescent="0.2">
      <c r="A35" s="189" t="s">
        <v>47</v>
      </c>
      <c r="B35" s="203"/>
      <c r="C35" s="126"/>
      <c r="D35" s="204" t="str">
        <f t="shared" si="0"/>
        <v>--</v>
      </c>
      <c r="E35" s="205"/>
      <c r="F35" s="137"/>
      <c r="G35" s="204" t="str">
        <f t="shared" si="1"/>
        <v>--</v>
      </c>
      <c r="H35" s="206"/>
      <c r="I35" s="179"/>
      <c r="J35" s="207" t="str">
        <f t="shared" si="2"/>
        <v>--</v>
      </c>
      <c r="K35" s="203"/>
      <c r="L35" s="126"/>
      <c r="M35" s="204" t="str">
        <f t="shared" si="3"/>
        <v>--</v>
      </c>
      <c r="N35" s="203"/>
      <c r="O35" s="126"/>
      <c r="P35" s="204" t="str">
        <f t="shared" si="4"/>
        <v>--</v>
      </c>
    </row>
    <row r="36" spans="1:16" ht="24" x14ac:dyDescent="0.2">
      <c r="A36" s="189" t="s">
        <v>48</v>
      </c>
      <c r="B36" s="203"/>
      <c r="C36" s="126"/>
      <c r="D36" s="204" t="str">
        <f t="shared" si="0"/>
        <v>--</v>
      </c>
      <c r="E36" s="205"/>
      <c r="F36" s="137"/>
      <c r="G36" s="204" t="str">
        <f t="shared" si="1"/>
        <v>--</v>
      </c>
      <c r="H36" s="206"/>
      <c r="I36" s="179"/>
      <c r="J36" s="207" t="str">
        <f t="shared" si="2"/>
        <v>--</v>
      </c>
      <c r="K36" s="203"/>
      <c r="L36" s="126"/>
      <c r="M36" s="204" t="str">
        <f t="shared" si="3"/>
        <v>--</v>
      </c>
      <c r="N36" s="203"/>
      <c r="O36" s="126"/>
      <c r="P36" s="204" t="str">
        <f t="shared" si="4"/>
        <v>--</v>
      </c>
    </row>
    <row r="37" spans="1:16" ht="24" x14ac:dyDescent="0.2">
      <c r="A37" s="189" t="s">
        <v>49</v>
      </c>
      <c r="B37" s="203"/>
      <c r="C37" s="126"/>
      <c r="D37" s="204" t="str">
        <f t="shared" si="0"/>
        <v>--</v>
      </c>
      <c r="E37" s="205"/>
      <c r="F37" s="137"/>
      <c r="G37" s="204" t="str">
        <f t="shared" si="1"/>
        <v>--</v>
      </c>
      <c r="H37" s="206"/>
      <c r="I37" s="179"/>
      <c r="J37" s="207" t="str">
        <f t="shared" si="2"/>
        <v>--</v>
      </c>
      <c r="K37" s="203"/>
      <c r="L37" s="126"/>
      <c r="M37" s="204" t="str">
        <f t="shared" si="3"/>
        <v>--</v>
      </c>
      <c r="N37" s="203"/>
      <c r="O37" s="126"/>
      <c r="P37" s="204" t="str">
        <f t="shared" si="4"/>
        <v>--</v>
      </c>
    </row>
    <row r="38" spans="1:16" ht="24" x14ac:dyDescent="0.2">
      <c r="A38" s="189" t="s">
        <v>50</v>
      </c>
      <c r="B38" s="203"/>
      <c r="C38" s="126"/>
      <c r="D38" s="204" t="str">
        <f t="shared" si="0"/>
        <v>--</v>
      </c>
      <c r="E38" s="205"/>
      <c r="F38" s="137"/>
      <c r="G38" s="204" t="str">
        <f t="shared" si="1"/>
        <v>--</v>
      </c>
      <c r="H38" s="206"/>
      <c r="I38" s="179"/>
      <c r="J38" s="207" t="str">
        <f t="shared" si="2"/>
        <v>--</v>
      </c>
      <c r="K38" s="203"/>
      <c r="L38" s="126"/>
      <c r="M38" s="204" t="str">
        <f t="shared" si="3"/>
        <v>--</v>
      </c>
      <c r="N38" s="203"/>
      <c r="O38" s="126"/>
      <c r="P38" s="204" t="str">
        <f t="shared" si="4"/>
        <v>--</v>
      </c>
    </row>
    <row r="39" spans="1:16" x14ac:dyDescent="0.2">
      <c r="A39" s="189" t="s">
        <v>51</v>
      </c>
      <c r="B39" s="203"/>
      <c r="C39" s="126"/>
      <c r="D39" s="204" t="str">
        <f t="shared" si="0"/>
        <v>--</v>
      </c>
      <c r="E39" s="205"/>
      <c r="F39" s="137"/>
      <c r="G39" s="204" t="str">
        <f t="shared" si="1"/>
        <v>--</v>
      </c>
      <c r="H39" s="206"/>
      <c r="I39" s="179"/>
      <c r="J39" s="207" t="str">
        <f t="shared" si="2"/>
        <v>--</v>
      </c>
      <c r="K39" s="203"/>
      <c r="L39" s="126"/>
      <c r="M39" s="204" t="str">
        <f t="shared" si="3"/>
        <v>--</v>
      </c>
      <c r="N39" s="203"/>
      <c r="O39" s="126"/>
      <c r="P39" s="204" t="str">
        <f t="shared" si="4"/>
        <v>--</v>
      </c>
    </row>
    <row r="40" spans="1:16" x14ac:dyDescent="0.2">
      <c r="A40" s="189" t="s">
        <v>52</v>
      </c>
      <c r="B40" s="203"/>
      <c r="C40" s="126"/>
      <c r="D40" s="204" t="str">
        <f t="shared" si="0"/>
        <v>--</v>
      </c>
      <c r="E40" s="205"/>
      <c r="F40" s="137"/>
      <c r="G40" s="204" t="str">
        <f t="shared" si="1"/>
        <v>--</v>
      </c>
      <c r="H40" s="206"/>
      <c r="I40" s="179"/>
      <c r="J40" s="207" t="str">
        <f t="shared" si="2"/>
        <v>--</v>
      </c>
      <c r="K40" s="203"/>
      <c r="L40" s="126"/>
      <c r="M40" s="204" t="str">
        <f t="shared" si="3"/>
        <v>--</v>
      </c>
      <c r="N40" s="203"/>
      <c r="O40" s="126"/>
      <c r="P40" s="204" t="str">
        <f t="shared" si="4"/>
        <v>--</v>
      </c>
    </row>
    <row r="41" spans="1:16" x14ac:dyDescent="0.2">
      <c r="A41" s="189" t="s">
        <v>53</v>
      </c>
      <c r="B41" s="203"/>
      <c r="C41" s="126"/>
      <c r="D41" s="204" t="str">
        <f t="shared" si="0"/>
        <v>--</v>
      </c>
      <c r="E41" s="205"/>
      <c r="F41" s="137"/>
      <c r="G41" s="204" t="str">
        <f t="shared" si="1"/>
        <v>--</v>
      </c>
      <c r="H41" s="206"/>
      <c r="I41" s="179"/>
      <c r="J41" s="207" t="str">
        <f t="shared" si="2"/>
        <v>--</v>
      </c>
      <c r="K41" s="203"/>
      <c r="L41" s="126"/>
      <c r="M41" s="204" t="str">
        <f t="shared" si="3"/>
        <v>--</v>
      </c>
      <c r="N41" s="203"/>
      <c r="O41" s="126"/>
      <c r="P41" s="204" t="str">
        <f t="shared" si="4"/>
        <v>--</v>
      </c>
    </row>
    <row r="42" spans="1:16" x14ac:dyDescent="0.2">
      <c r="A42" s="189" t="s">
        <v>54</v>
      </c>
      <c r="B42" s="203"/>
      <c r="C42" s="126"/>
      <c r="D42" s="204" t="str">
        <f t="shared" si="0"/>
        <v>--</v>
      </c>
      <c r="E42" s="205"/>
      <c r="F42" s="137"/>
      <c r="G42" s="204" t="str">
        <f t="shared" si="1"/>
        <v>--</v>
      </c>
      <c r="H42" s="206"/>
      <c r="I42" s="179"/>
      <c r="J42" s="207" t="str">
        <f t="shared" si="2"/>
        <v>--</v>
      </c>
      <c r="K42" s="203"/>
      <c r="L42" s="126"/>
      <c r="M42" s="204" t="str">
        <f t="shared" si="3"/>
        <v>--</v>
      </c>
      <c r="N42" s="203"/>
      <c r="O42" s="126"/>
      <c r="P42" s="204" t="str">
        <f t="shared" si="4"/>
        <v>--</v>
      </c>
    </row>
    <row r="43" spans="1:16" x14ac:dyDescent="0.2">
      <c r="A43" s="189" t="s">
        <v>55</v>
      </c>
      <c r="B43" s="203"/>
      <c r="C43" s="126"/>
      <c r="D43" s="204" t="str">
        <f t="shared" si="0"/>
        <v>--</v>
      </c>
      <c r="E43" s="205"/>
      <c r="F43" s="137"/>
      <c r="G43" s="204" t="str">
        <f t="shared" si="1"/>
        <v>--</v>
      </c>
      <c r="H43" s="206"/>
      <c r="I43" s="179"/>
      <c r="J43" s="207" t="str">
        <f t="shared" si="2"/>
        <v>--</v>
      </c>
      <c r="K43" s="203"/>
      <c r="L43" s="126"/>
      <c r="M43" s="204" t="str">
        <f t="shared" si="3"/>
        <v>--</v>
      </c>
      <c r="N43" s="203"/>
      <c r="O43" s="126"/>
      <c r="P43" s="204" t="str">
        <f t="shared" si="4"/>
        <v>--</v>
      </c>
    </row>
    <row r="44" spans="1:16" x14ac:dyDescent="0.2">
      <c r="A44" s="189" t="s">
        <v>56</v>
      </c>
      <c r="B44" s="203"/>
      <c r="C44" s="126"/>
      <c r="D44" s="204" t="str">
        <f t="shared" si="0"/>
        <v>--</v>
      </c>
      <c r="E44" s="205"/>
      <c r="F44" s="137"/>
      <c r="G44" s="204" t="str">
        <f t="shared" si="1"/>
        <v>--</v>
      </c>
      <c r="H44" s="206"/>
      <c r="I44" s="179"/>
      <c r="J44" s="207" t="str">
        <f t="shared" si="2"/>
        <v>--</v>
      </c>
      <c r="K44" s="203"/>
      <c r="L44" s="126"/>
      <c r="M44" s="204" t="str">
        <f t="shared" si="3"/>
        <v>--</v>
      </c>
      <c r="N44" s="203"/>
      <c r="O44" s="126"/>
      <c r="P44" s="204" t="str">
        <f t="shared" si="4"/>
        <v>--</v>
      </c>
    </row>
    <row r="45" spans="1:16" x14ac:dyDescent="0.2">
      <c r="A45" s="189" t="s">
        <v>57</v>
      </c>
      <c r="B45" s="203"/>
      <c r="C45" s="126"/>
      <c r="D45" s="204" t="str">
        <f t="shared" si="0"/>
        <v>--</v>
      </c>
      <c r="E45" s="205"/>
      <c r="F45" s="137"/>
      <c r="G45" s="204" t="str">
        <f t="shared" si="1"/>
        <v>--</v>
      </c>
      <c r="H45" s="206"/>
      <c r="I45" s="179"/>
      <c r="J45" s="207" t="str">
        <f t="shared" si="2"/>
        <v>--</v>
      </c>
      <c r="K45" s="203"/>
      <c r="L45" s="126"/>
      <c r="M45" s="204" t="str">
        <f t="shared" si="3"/>
        <v>--</v>
      </c>
      <c r="N45" s="203"/>
      <c r="O45" s="126"/>
      <c r="P45" s="204" t="str">
        <f t="shared" si="4"/>
        <v>--</v>
      </c>
    </row>
    <row r="46" spans="1:16" x14ac:dyDescent="0.2">
      <c r="A46" s="189" t="s">
        <v>58</v>
      </c>
      <c r="B46" s="203"/>
      <c r="C46" s="126"/>
      <c r="D46" s="204" t="str">
        <f t="shared" si="0"/>
        <v>--</v>
      </c>
      <c r="E46" s="205"/>
      <c r="F46" s="137"/>
      <c r="G46" s="204" t="str">
        <f t="shared" si="1"/>
        <v>--</v>
      </c>
      <c r="H46" s="206"/>
      <c r="I46" s="179"/>
      <c r="J46" s="207" t="str">
        <f t="shared" si="2"/>
        <v>--</v>
      </c>
      <c r="K46" s="203"/>
      <c r="L46" s="126"/>
      <c r="M46" s="204" t="str">
        <f t="shared" si="3"/>
        <v>--</v>
      </c>
      <c r="N46" s="203"/>
      <c r="O46" s="126"/>
      <c r="P46" s="204" t="str">
        <f t="shared" si="4"/>
        <v>--</v>
      </c>
    </row>
    <row r="47" spans="1:16" x14ac:dyDescent="0.2">
      <c r="A47" s="189" t="s">
        <v>59</v>
      </c>
      <c r="B47" s="203"/>
      <c r="C47" s="126"/>
      <c r="D47" s="204" t="str">
        <f t="shared" si="0"/>
        <v>--</v>
      </c>
      <c r="E47" s="205"/>
      <c r="F47" s="137"/>
      <c r="G47" s="204" t="str">
        <f t="shared" si="1"/>
        <v>--</v>
      </c>
      <c r="H47" s="206"/>
      <c r="I47" s="179"/>
      <c r="J47" s="207" t="str">
        <f t="shared" si="2"/>
        <v>--</v>
      </c>
      <c r="K47" s="203"/>
      <c r="L47" s="126"/>
      <c r="M47" s="204" t="str">
        <f t="shared" si="3"/>
        <v>--</v>
      </c>
      <c r="N47" s="203"/>
      <c r="O47" s="126"/>
      <c r="P47" s="204" t="str">
        <f t="shared" si="4"/>
        <v>--</v>
      </c>
    </row>
    <row r="48" spans="1:16" x14ac:dyDescent="0.2">
      <c r="A48" s="189" t="s">
        <v>60</v>
      </c>
      <c r="B48" s="203"/>
      <c r="C48" s="126"/>
      <c r="D48" s="204" t="str">
        <f t="shared" si="0"/>
        <v>--</v>
      </c>
      <c r="E48" s="205"/>
      <c r="F48" s="137"/>
      <c r="G48" s="204" t="str">
        <f t="shared" si="1"/>
        <v>--</v>
      </c>
      <c r="H48" s="206"/>
      <c r="I48" s="179"/>
      <c r="J48" s="207" t="str">
        <f t="shared" si="2"/>
        <v>--</v>
      </c>
      <c r="K48" s="203"/>
      <c r="L48" s="126"/>
      <c r="M48" s="204" t="str">
        <f t="shared" si="3"/>
        <v>--</v>
      </c>
      <c r="N48" s="203"/>
      <c r="O48" s="126"/>
      <c r="P48" s="204" t="str">
        <f t="shared" si="4"/>
        <v>--</v>
      </c>
    </row>
    <row r="49" spans="1:16" x14ac:dyDescent="0.2">
      <c r="A49" s="189" t="s">
        <v>61</v>
      </c>
      <c r="B49" s="203"/>
      <c r="C49" s="126"/>
      <c r="D49" s="204" t="str">
        <f t="shared" si="0"/>
        <v>--</v>
      </c>
      <c r="E49" s="205"/>
      <c r="F49" s="137"/>
      <c r="G49" s="204" t="str">
        <f t="shared" si="1"/>
        <v>--</v>
      </c>
      <c r="H49" s="206"/>
      <c r="I49" s="179"/>
      <c r="J49" s="207" t="str">
        <f t="shared" si="2"/>
        <v>--</v>
      </c>
      <c r="K49" s="203"/>
      <c r="L49" s="126"/>
      <c r="M49" s="204" t="str">
        <f t="shared" si="3"/>
        <v>--</v>
      </c>
      <c r="N49" s="203"/>
      <c r="O49" s="126"/>
      <c r="P49" s="204" t="str">
        <f t="shared" si="4"/>
        <v>--</v>
      </c>
    </row>
    <row r="50" spans="1:16" x14ac:dyDescent="0.2">
      <c r="A50" s="189" t="s">
        <v>62</v>
      </c>
      <c r="B50" s="203"/>
      <c r="C50" s="126"/>
      <c r="D50" s="204" t="str">
        <f t="shared" si="0"/>
        <v>--</v>
      </c>
      <c r="E50" s="205"/>
      <c r="F50" s="137"/>
      <c r="G50" s="204" t="str">
        <f t="shared" si="1"/>
        <v>--</v>
      </c>
      <c r="H50" s="206"/>
      <c r="I50" s="179"/>
      <c r="J50" s="207" t="str">
        <f t="shared" si="2"/>
        <v>--</v>
      </c>
      <c r="K50" s="203"/>
      <c r="L50" s="126"/>
      <c r="M50" s="204" t="str">
        <f t="shared" si="3"/>
        <v>--</v>
      </c>
      <c r="N50" s="203"/>
      <c r="O50" s="126"/>
      <c r="P50" s="204" t="str">
        <f t="shared" si="4"/>
        <v>--</v>
      </c>
    </row>
    <row r="51" spans="1:16" ht="12.75" thickBot="1" x14ac:dyDescent="0.25">
      <c r="A51" s="188" t="s">
        <v>63</v>
      </c>
      <c r="B51" s="198"/>
      <c r="C51" s="127"/>
      <c r="D51" s="199" t="str">
        <f t="shared" si="0"/>
        <v>--</v>
      </c>
      <c r="E51" s="208"/>
      <c r="F51" s="138"/>
      <c r="G51" s="199" t="str">
        <f t="shared" si="1"/>
        <v>--</v>
      </c>
      <c r="H51" s="200"/>
      <c r="I51" s="180"/>
      <c r="J51" s="201" t="str">
        <f t="shared" si="2"/>
        <v>--</v>
      </c>
      <c r="K51" s="198"/>
      <c r="L51" s="127"/>
      <c r="M51" s="199" t="str">
        <f t="shared" si="3"/>
        <v>--</v>
      </c>
      <c r="N51" s="198"/>
      <c r="O51" s="127"/>
      <c r="P51" s="199" t="str">
        <f t="shared" si="4"/>
        <v>--</v>
      </c>
    </row>
    <row r="52" spans="1:16" ht="12.75" thickBot="1" x14ac:dyDescent="0.25">
      <c r="A52" s="190" t="s">
        <v>64</v>
      </c>
      <c r="B52" s="209"/>
      <c r="C52" s="128"/>
      <c r="D52" s="210" t="str">
        <f t="shared" si="0"/>
        <v>--</v>
      </c>
      <c r="E52" s="211"/>
      <c r="F52" s="139"/>
      <c r="G52" s="210" t="str">
        <f t="shared" si="1"/>
        <v>--</v>
      </c>
      <c r="H52" s="212"/>
      <c r="I52" s="177"/>
      <c r="J52" s="213" t="str">
        <f t="shared" si="2"/>
        <v>--</v>
      </c>
      <c r="K52" s="209"/>
      <c r="L52" s="128"/>
      <c r="M52" s="210" t="str">
        <f t="shared" si="3"/>
        <v>--</v>
      </c>
      <c r="N52" s="209"/>
      <c r="O52" s="128"/>
      <c r="P52" s="210" t="str">
        <f t="shared" si="4"/>
        <v>--</v>
      </c>
    </row>
    <row r="53" spans="1:16" ht="24.75" thickBot="1" x14ac:dyDescent="0.25">
      <c r="A53" s="190" t="s">
        <v>65</v>
      </c>
      <c r="B53" s="209"/>
      <c r="C53" s="128"/>
      <c r="D53" s="210" t="str">
        <f t="shared" si="0"/>
        <v>--</v>
      </c>
      <c r="E53" s="211"/>
      <c r="F53" s="139"/>
      <c r="G53" s="210" t="str">
        <f t="shared" si="1"/>
        <v>--</v>
      </c>
      <c r="H53" s="212"/>
      <c r="I53" s="177"/>
      <c r="J53" s="213" t="str">
        <f t="shared" si="2"/>
        <v>--</v>
      </c>
      <c r="K53" s="209"/>
      <c r="L53" s="128"/>
      <c r="M53" s="210" t="str">
        <f t="shared" si="3"/>
        <v>--</v>
      </c>
      <c r="N53" s="209"/>
      <c r="O53" s="128"/>
      <c r="P53" s="210" t="str">
        <f t="shared" si="4"/>
        <v>--</v>
      </c>
    </row>
    <row r="54" spans="1:16" ht="12.75" thickBot="1" x14ac:dyDescent="0.25">
      <c r="A54" s="190" t="s">
        <v>66</v>
      </c>
      <c r="B54" s="209"/>
      <c r="C54" s="128"/>
      <c r="D54" s="210" t="str">
        <f t="shared" si="0"/>
        <v>--</v>
      </c>
      <c r="E54" s="211"/>
      <c r="F54" s="139"/>
      <c r="G54" s="210" t="str">
        <f t="shared" si="1"/>
        <v>--</v>
      </c>
      <c r="H54" s="212"/>
      <c r="I54" s="177"/>
      <c r="J54" s="213" t="str">
        <f t="shared" si="2"/>
        <v>--</v>
      </c>
      <c r="K54" s="209"/>
      <c r="L54" s="128"/>
      <c r="M54" s="210" t="str">
        <f t="shared" si="3"/>
        <v>--</v>
      </c>
      <c r="N54" s="209"/>
      <c r="O54" s="128"/>
      <c r="P54" s="210" t="str">
        <f t="shared" si="4"/>
        <v>--</v>
      </c>
    </row>
    <row r="55" spans="1:16" ht="12.75" thickBot="1" x14ac:dyDescent="0.25">
      <c r="A55" s="190" t="s">
        <v>67</v>
      </c>
      <c r="B55" s="209"/>
      <c r="C55" s="128"/>
      <c r="D55" s="210" t="str">
        <f t="shared" si="0"/>
        <v>--</v>
      </c>
      <c r="E55" s="211"/>
      <c r="F55" s="139"/>
      <c r="G55" s="210" t="str">
        <f t="shared" si="1"/>
        <v>--</v>
      </c>
      <c r="H55" s="212"/>
      <c r="I55" s="177"/>
      <c r="J55" s="213" t="str">
        <f t="shared" si="2"/>
        <v>--</v>
      </c>
      <c r="K55" s="209"/>
      <c r="L55" s="128"/>
      <c r="M55" s="210" t="str">
        <f t="shared" si="3"/>
        <v>--</v>
      </c>
      <c r="N55" s="209"/>
      <c r="O55" s="128"/>
      <c r="P55" s="210" t="str">
        <f t="shared" si="4"/>
        <v>--</v>
      </c>
    </row>
    <row r="56" spans="1:16" ht="12.75" thickBot="1" x14ac:dyDescent="0.25">
      <c r="A56" s="191" t="s">
        <v>68</v>
      </c>
      <c r="B56" s="209"/>
      <c r="C56" s="128"/>
      <c r="D56" s="210" t="str">
        <f t="shared" si="0"/>
        <v>--</v>
      </c>
      <c r="E56" s="211"/>
      <c r="F56" s="139"/>
      <c r="G56" s="210" t="str">
        <f t="shared" si="1"/>
        <v>--</v>
      </c>
      <c r="H56" s="212"/>
      <c r="I56" s="177"/>
      <c r="J56" s="213" t="str">
        <f t="shared" si="2"/>
        <v>--</v>
      </c>
      <c r="K56" s="209"/>
      <c r="L56" s="128"/>
      <c r="M56" s="210" t="str">
        <f t="shared" si="3"/>
        <v>--</v>
      </c>
      <c r="N56" s="209"/>
      <c r="O56" s="128"/>
      <c r="P56" s="210" t="str">
        <f t="shared" si="4"/>
        <v>--</v>
      </c>
    </row>
    <row r="57" spans="1:16" ht="12.75" thickBot="1" x14ac:dyDescent="0.25">
      <c r="A57" s="191" t="s">
        <v>69</v>
      </c>
      <c r="B57" s="209"/>
      <c r="C57" s="128"/>
      <c r="D57" s="210" t="str">
        <f t="shared" si="0"/>
        <v>--</v>
      </c>
      <c r="E57" s="211"/>
      <c r="F57" s="139"/>
      <c r="G57" s="210" t="str">
        <f t="shared" si="1"/>
        <v>--</v>
      </c>
      <c r="H57" s="212"/>
      <c r="I57" s="177"/>
      <c r="J57" s="213" t="str">
        <f t="shared" si="2"/>
        <v>--</v>
      </c>
      <c r="K57" s="209"/>
      <c r="L57" s="128"/>
      <c r="M57" s="210" t="str">
        <f t="shared" si="3"/>
        <v>--</v>
      </c>
      <c r="N57" s="209"/>
      <c r="O57" s="128"/>
      <c r="P57" s="210" t="str">
        <f t="shared" si="4"/>
        <v>--</v>
      </c>
    </row>
    <row r="58" spans="1:16" ht="12.75" thickBot="1" x14ac:dyDescent="0.25">
      <c r="A58" s="191" t="s">
        <v>70</v>
      </c>
      <c r="B58" s="209"/>
      <c r="C58" s="128"/>
      <c r="D58" s="210" t="str">
        <f t="shared" si="0"/>
        <v>--</v>
      </c>
      <c r="E58" s="211"/>
      <c r="F58" s="139"/>
      <c r="G58" s="210" t="str">
        <f t="shared" si="1"/>
        <v>--</v>
      </c>
      <c r="H58" s="212"/>
      <c r="I58" s="177"/>
      <c r="J58" s="213" t="str">
        <f t="shared" si="2"/>
        <v>--</v>
      </c>
      <c r="K58" s="209"/>
      <c r="L58" s="128"/>
      <c r="M58" s="210" t="str">
        <f t="shared" si="3"/>
        <v>--</v>
      </c>
      <c r="N58" s="209"/>
      <c r="O58" s="128"/>
      <c r="P58" s="210" t="str">
        <f t="shared" si="4"/>
        <v>--</v>
      </c>
    </row>
    <row r="59" spans="1:16" ht="24.75" thickBot="1" x14ac:dyDescent="0.25">
      <c r="A59" s="190" t="s">
        <v>71</v>
      </c>
      <c r="B59" s="209"/>
      <c r="C59" s="128"/>
      <c r="D59" s="210" t="str">
        <f t="shared" si="0"/>
        <v>--</v>
      </c>
      <c r="E59" s="211"/>
      <c r="F59" s="139"/>
      <c r="G59" s="210" t="str">
        <f t="shared" si="1"/>
        <v>--</v>
      </c>
      <c r="H59" s="212"/>
      <c r="I59" s="177"/>
      <c r="J59" s="213" t="str">
        <f t="shared" si="2"/>
        <v>--</v>
      </c>
      <c r="K59" s="209"/>
      <c r="L59" s="128"/>
      <c r="M59" s="210" t="str">
        <f t="shared" si="3"/>
        <v>--</v>
      </c>
      <c r="N59" s="209"/>
      <c r="O59" s="128"/>
      <c r="P59" s="210" t="str">
        <f t="shared" si="4"/>
        <v>--</v>
      </c>
    </row>
    <row r="60" spans="1:16" ht="24.75" thickBot="1" x14ac:dyDescent="0.25">
      <c r="A60" s="190" t="s">
        <v>72</v>
      </c>
      <c r="B60" s="209"/>
      <c r="C60" s="128"/>
      <c r="D60" s="210" t="str">
        <f t="shared" si="0"/>
        <v>--</v>
      </c>
      <c r="E60" s="211"/>
      <c r="F60" s="139"/>
      <c r="G60" s="210" t="str">
        <f t="shared" si="1"/>
        <v>--</v>
      </c>
      <c r="H60" s="212"/>
      <c r="I60" s="177"/>
      <c r="J60" s="213" t="str">
        <f t="shared" si="2"/>
        <v>--</v>
      </c>
      <c r="K60" s="209"/>
      <c r="L60" s="128"/>
      <c r="M60" s="210" t="str">
        <f t="shared" si="3"/>
        <v>--</v>
      </c>
      <c r="N60" s="209"/>
      <c r="O60" s="128"/>
      <c r="P60" s="210" t="str">
        <f t="shared" si="4"/>
        <v>--</v>
      </c>
    </row>
    <row r="61" spans="1:16" ht="12.75" thickBot="1" x14ac:dyDescent="0.25">
      <c r="A61" s="190" t="s">
        <v>73</v>
      </c>
      <c r="B61" s="209"/>
      <c r="C61" s="128"/>
      <c r="D61" s="210" t="str">
        <f t="shared" si="0"/>
        <v>--</v>
      </c>
      <c r="E61" s="211"/>
      <c r="F61" s="139"/>
      <c r="G61" s="210" t="str">
        <f t="shared" si="1"/>
        <v>--</v>
      </c>
      <c r="H61" s="212"/>
      <c r="I61" s="177"/>
      <c r="J61" s="213" t="str">
        <f t="shared" si="2"/>
        <v>--</v>
      </c>
      <c r="K61" s="209"/>
      <c r="L61" s="128"/>
      <c r="M61" s="210" t="str">
        <f t="shared" si="3"/>
        <v>--</v>
      </c>
      <c r="N61" s="209"/>
      <c r="O61" s="128"/>
      <c r="P61" s="210" t="str">
        <f t="shared" si="4"/>
        <v>--</v>
      </c>
    </row>
    <row r="62" spans="1:16" ht="12.75" thickBot="1" x14ac:dyDescent="0.25">
      <c r="A62" s="190" t="s">
        <v>74</v>
      </c>
      <c r="B62" s="209"/>
      <c r="C62" s="128"/>
      <c r="D62" s="210" t="str">
        <f t="shared" si="0"/>
        <v>--</v>
      </c>
      <c r="E62" s="211"/>
      <c r="F62" s="139"/>
      <c r="G62" s="210" t="str">
        <f t="shared" si="1"/>
        <v>--</v>
      </c>
      <c r="H62" s="212"/>
      <c r="I62" s="177"/>
      <c r="J62" s="213" t="str">
        <f t="shared" si="2"/>
        <v>--</v>
      </c>
      <c r="K62" s="209"/>
      <c r="L62" s="128"/>
      <c r="M62" s="210" t="str">
        <f t="shared" si="3"/>
        <v>--</v>
      </c>
      <c r="N62" s="209"/>
      <c r="O62" s="128"/>
      <c r="P62" s="210" t="str">
        <f t="shared" si="4"/>
        <v>--</v>
      </c>
    </row>
    <row r="63" spans="1:16" ht="12.75" thickBot="1" x14ac:dyDescent="0.25">
      <c r="A63" s="190" t="s">
        <v>75</v>
      </c>
      <c r="B63" s="209"/>
      <c r="C63" s="128"/>
      <c r="D63" s="210" t="str">
        <f t="shared" si="0"/>
        <v>--</v>
      </c>
      <c r="E63" s="211"/>
      <c r="F63" s="139"/>
      <c r="G63" s="210" t="str">
        <f t="shared" si="1"/>
        <v>--</v>
      </c>
      <c r="H63" s="212"/>
      <c r="I63" s="177"/>
      <c r="J63" s="213" t="str">
        <f t="shared" si="2"/>
        <v>--</v>
      </c>
      <c r="K63" s="209"/>
      <c r="L63" s="128"/>
      <c r="M63" s="210" t="str">
        <f t="shared" si="3"/>
        <v>--</v>
      </c>
      <c r="N63" s="209"/>
      <c r="O63" s="128"/>
      <c r="P63" s="210" t="str">
        <f t="shared" si="4"/>
        <v>--</v>
      </c>
    </row>
    <row r="64" spans="1:16" ht="12.75" thickBot="1" x14ac:dyDescent="0.25">
      <c r="A64" s="190" t="s">
        <v>76</v>
      </c>
      <c r="B64" s="209"/>
      <c r="C64" s="128"/>
      <c r="D64" s="210" t="str">
        <f t="shared" si="0"/>
        <v>--</v>
      </c>
      <c r="E64" s="211"/>
      <c r="F64" s="139"/>
      <c r="G64" s="210" t="str">
        <f t="shared" si="1"/>
        <v>--</v>
      </c>
      <c r="H64" s="212"/>
      <c r="I64" s="177"/>
      <c r="J64" s="213" t="str">
        <f t="shared" si="2"/>
        <v>--</v>
      </c>
      <c r="K64" s="209"/>
      <c r="L64" s="128"/>
      <c r="M64" s="210" t="str">
        <f t="shared" si="3"/>
        <v>--</v>
      </c>
      <c r="N64" s="209"/>
      <c r="O64" s="128"/>
      <c r="P64" s="210" t="str">
        <f t="shared" si="4"/>
        <v>--</v>
      </c>
    </row>
    <row r="65" spans="1:16" ht="12.75" thickBot="1" x14ac:dyDescent="0.25">
      <c r="A65" s="190" t="s">
        <v>77</v>
      </c>
      <c r="B65" s="209"/>
      <c r="C65" s="128"/>
      <c r="D65" s="210" t="str">
        <f t="shared" si="0"/>
        <v>--</v>
      </c>
      <c r="E65" s="211"/>
      <c r="F65" s="139"/>
      <c r="G65" s="210" t="str">
        <f t="shared" si="1"/>
        <v>--</v>
      </c>
      <c r="H65" s="212"/>
      <c r="I65" s="177"/>
      <c r="J65" s="213" t="str">
        <f t="shared" si="2"/>
        <v>--</v>
      </c>
      <c r="K65" s="209"/>
      <c r="L65" s="128"/>
      <c r="M65" s="210" t="str">
        <f t="shared" si="3"/>
        <v>--</v>
      </c>
      <c r="N65" s="209"/>
      <c r="O65" s="128"/>
      <c r="P65" s="210" t="str">
        <f t="shared" si="4"/>
        <v>--</v>
      </c>
    </row>
    <row r="66" spans="1:16" ht="12.75" thickBot="1" x14ac:dyDescent="0.25">
      <c r="A66" s="190" t="s">
        <v>78</v>
      </c>
      <c r="B66" s="209"/>
      <c r="C66" s="128"/>
      <c r="D66" s="210" t="str">
        <f t="shared" si="0"/>
        <v>--</v>
      </c>
      <c r="E66" s="211"/>
      <c r="F66" s="139"/>
      <c r="G66" s="210" t="str">
        <f t="shared" si="1"/>
        <v>--</v>
      </c>
      <c r="H66" s="212"/>
      <c r="I66" s="177"/>
      <c r="J66" s="213" t="str">
        <f t="shared" si="2"/>
        <v>--</v>
      </c>
      <c r="K66" s="209"/>
      <c r="L66" s="128"/>
      <c r="M66" s="210" t="str">
        <f t="shared" si="3"/>
        <v>--</v>
      </c>
      <c r="N66" s="209"/>
      <c r="O66" s="128"/>
      <c r="P66" s="210" t="str">
        <f t="shared" si="4"/>
        <v>--</v>
      </c>
    </row>
    <row r="67" spans="1:16" ht="12.75" thickBot="1" x14ac:dyDescent="0.25">
      <c r="A67" s="190" t="s">
        <v>79</v>
      </c>
      <c r="B67" s="209"/>
      <c r="C67" s="128"/>
      <c r="D67" s="210" t="str">
        <f t="shared" si="0"/>
        <v>--</v>
      </c>
      <c r="E67" s="211"/>
      <c r="F67" s="139"/>
      <c r="G67" s="210" t="str">
        <f t="shared" si="1"/>
        <v>--</v>
      </c>
      <c r="H67" s="212"/>
      <c r="I67" s="177"/>
      <c r="J67" s="213" t="str">
        <f t="shared" si="2"/>
        <v>--</v>
      </c>
      <c r="K67" s="209"/>
      <c r="L67" s="128"/>
      <c r="M67" s="210" t="str">
        <f t="shared" si="3"/>
        <v>--</v>
      </c>
      <c r="N67" s="209"/>
      <c r="O67" s="128"/>
      <c r="P67" s="210" t="str">
        <f t="shared" si="4"/>
        <v>--</v>
      </c>
    </row>
    <row r="68" spans="1:16" ht="12.75" thickBot="1" x14ac:dyDescent="0.25">
      <c r="A68" s="185" t="s">
        <v>80</v>
      </c>
      <c r="B68" s="214"/>
      <c r="C68" s="215"/>
      <c r="D68" s="210" t="str">
        <f t="shared" si="0"/>
        <v>--</v>
      </c>
      <c r="E68" s="216"/>
      <c r="F68" s="217"/>
      <c r="G68" s="210" t="str">
        <f t="shared" si="1"/>
        <v>--</v>
      </c>
      <c r="H68" s="218"/>
      <c r="I68" s="219"/>
      <c r="J68" s="213" t="str">
        <f t="shared" si="2"/>
        <v>--</v>
      </c>
      <c r="K68" s="214"/>
      <c r="L68" s="215"/>
      <c r="M68" s="210" t="str">
        <f t="shared" si="3"/>
        <v>--</v>
      </c>
      <c r="N68" s="214"/>
      <c r="O68" s="215"/>
      <c r="P68" s="210" t="str">
        <f t="shared" si="4"/>
        <v>--</v>
      </c>
    </row>
    <row r="69" spans="1:16" x14ac:dyDescent="0.2">
      <c r="A69" s="187" t="s">
        <v>81</v>
      </c>
      <c r="B69" s="194"/>
      <c r="C69" s="125"/>
      <c r="D69" s="195" t="str">
        <f t="shared" si="0"/>
        <v>--</v>
      </c>
      <c r="E69" s="202"/>
      <c r="F69" s="136"/>
      <c r="G69" s="195" t="str">
        <f t="shared" si="1"/>
        <v>--</v>
      </c>
      <c r="H69" s="196"/>
      <c r="I69" s="178"/>
      <c r="J69" s="197" t="str">
        <f t="shared" si="2"/>
        <v>--</v>
      </c>
      <c r="K69" s="194"/>
      <c r="L69" s="125"/>
      <c r="M69" s="195" t="str">
        <f t="shared" si="3"/>
        <v>--</v>
      </c>
      <c r="N69" s="194"/>
      <c r="O69" s="125"/>
      <c r="P69" s="195" t="str">
        <f t="shared" si="4"/>
        <v>--</v>
      </c>
    </row>
    <row r="70" spans="1:16" ht="12.75" thickBot="1" x14ac:dyDescent="0.25">
      <c r="A70" s="188" t="s">
        <v>82</v>
      </c>
      <c r="B70" s="198"/>
      <c r="C70" s="127"/>
      <c r="D70" s="260" t="str">
        <f t="shared" si="0"/>
        <v>--</v>
      </c>
      <c r="E70" s="208"/>
      <c r="F70" s="138"/>
      <c r="G70" s="260" t="str">
        <f t="shared" si="1"/>
        <v>--</v>
      </c>
      <c r="H70" s="200"/>
      <c r="I70" s="180"/>
      <c r="J70" s="261" t="str">
        <f t="shared" si="2"/>
        <v>--</v>
      </c>
      <c r="K70" s="198"/>
      <c r="L70" s="127"/>
      <c r="M70" s="260" t="str">
        <f t="shared" si="3"/>
        <v>--</v>
      </c>
      <c r="N70" s="198"/>
      <c r="O70" s="127"/>
      <c r="P70" s="260" t="str">
        <f t="shared" si="4"/>
        <v>--</v>
      </c>
    </row>
    <row r="71" spans="1:16" ht="12.75" thickBot="1" x14ac:dyDescent="0.25">
      <c r="A71" s="192" t="s">
        <v>83</v>
      </c>
      <c r="B71" s="220"/>
      <c r="C71" s="221"/>
      <c r="D71" s="210" t="str">
        <f t="shared" si="0"/>
        <v>--</v>
      </c>
      <c r="E71" s="222"/>
      <c r="F71" s="223"/>
      <c r="G71" s="210" t="str">
        <f>IF(F71&lt;&gt;0,TEXT(((E71-F71)/F71)*100,"0,0"),"--")</f>
        <v>--</v>
      </c>
      <c r="H71" s="224"/>
      <c r="I71" s="225"/>
      <c r="J71" s="213" t="str">
        <f>IF(I71&lt;&gt;0,TEXT(((H71-I71)/I71)*100,"0,0"),"--")</f>
        <v>--</v>
      </c>
      <c r="K71" s="220"/>
      <c r="L71" s="221"/>
      <c r="M71" s="210" t="str">
        <f>IF(L71&lt;&gt;0,TEXT(((K71-L71)/L71)*100,"0,0"),"--")</f>
        <v>--</v>
      </c>
      <c r="N71" s="220"/>
      <c r="O71" s="221"/>
      <c r="P71" s="210" t="str">
        <f>IF(O71&lt;&gt;0,TEXT(((N71-O71)/O71)*100,"0,0"),"--")</f>
        <v>--</v>
      </c>
    </row>
  </sheetData>
  <phoneticPr fontId="5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54"/>
  <sheetViews>
    <sheetView topLeftCell="A13" zoomScaleNormal="100" workbookViewId="0">
      <selection activeCell="D33" sqref="D33"/>
    </sheetView>
  </sheetViews>
  <sheetFormatPr defaultRowHeight="12.75" x14ac:dyDescent="0.2"/>
  <cols>
    <col min="3" max="3" width="32.28515625" customWidth="1"/>
    <col min="4" max="4" width="20.5703125" customWidth="1"/>
    <col min="5" max="5" width="15.85546875" customWidth="1"/>
    <col min="6" max="6" width="13.85546875" customWidth="1"/>
  </cols>
  <sheetData>
    <row r="1" spans="1:6" ht="18.75" x14ac:dyDescent="0.3">
      <c r="B1" s="403" t="s">
        <v>482</v>
      </c>
      <c r="D1" s="251"/>
      <c r="E1" s="404"/>
    </row>
    <row r="2" spans="1:6" ht="15" customHeight="1" x14ac:dyDescent="0.25">
      <c r="A2" s="405"/>
      <c r="B2" s="406" t="s">
        <v>399</v>
      </c>
      <c r="C2" s="405"/>
      <c r="D2" s="406" t="s">
        <v>400</v>
      </c>
      <c r="E2" s="610" t="s">
        <v>401</v>
      </c>
      <c r="F2" s="407"/>
    </row>
    <row r="3" spans="1:6" ht="15" customHeight="1" x14ac:dyDescent="0.25">
      <c r="A3" s="405"/>
      <c r="B3" s="405" t="s">
        <v>402</v>
      </c>
      <c r="C3" s="405"/>
      <c r="D3" s="406" t="s">
        <v>403</v>
      </c>
      <c r="E3" s="610" t="s">
        <v>404</v>
      </c>
      <c r="F3" s="407"/>
    </row>
    <row r="4" spans="1:6" ht="15" customHeight="1" x14ac:dyDescent="0.25">
      <c r="A4" s="405"/>
      <c r="B4" s="406" t="s">
        <v>405</v>
      </c>
      <c r="C4" s="405"/>
      <c r="D4" s="406" t="s">
        <v>406</v>
      </c>
      <c r="E4" s="610" t="s">
        <v>407</v>
      </c>
      <c r="F4" s="407"/>
    </row>
    <row r="5" spans="1:6" ht="15" customHeight="1" x14ac:dyDescent="0.25">
      <c r="A5" s="405"/>
      <c r="B5" s="405" t="s">
        <v>408</v>
      </c>
      <c r="C5" s="405"/>
      <c r="D5" s="406" t="s">
        <v>409</v>
      </c>
      <c r="E5" s="610" t="s">
        <v>410</v>
      </c>
      <c r="F5" s="407"/>
    </row>
    <row r="6" spans="1:6" ht="15" customHeight="1" x14ac:dyDescent="0.25">
      <c r="A6" s="405"/>
      <c r="B6" s="406" t="s">
        <v>411</v>
      </c>
      <c r="C6" s="405"/>
      <c r="D6" s="406" t="s">
        <v>412</v>
      </c>
      <c r="E6" s="610" t="s">
        <v>413</v>
      </c>
      <c r="F6" s="407"/>
    </row>
    <row r="7" spans="1:6" ht="15" customHeight="1" x14ac:dyDescent="0.25">
      <c r="A7" s="405"/>
      <c r="B7" s="405" t="s">
        <v>414</v>
      </c>
      <c r="C7" s="405"/>
      <c r="D7" s="406" t="s">
        <v>415</v>
      </c>
      <c r="E7" s="610" t="s">
        <v>416</v>
      </c>
      <c r="F7" s="407"/>
    </row>
    <row r="8" spans="1:6" ht="15" customHeight="1" x14ac:dyDescent="0.25">
      <c r="A8" s="405"/>
      <c r="B8" s="406" t="s">
        <v>417</v>
      </c>
      <c r="C8" s="405"/>
      <c r="D8" s="406" t="s">
        <v>418</v>
      </c>
      <c r="E8" s="611" t="s">
        <v>475</v>
      </c>
      <c r="F8" s="407"/>
    </row>
    <row r="9" spans="1:6" ht="15" customHeight="1" x14ac:dyDescent="0.25">
      <c r="A9" s="405"/>
      <c r="B9" s="405" t="s">
        <v>419</v>
      </c>
      <c r="C9" s="405"/>
      <c r="D9" s="406" t="s">
        <v>420</v>
      </c>
      <c r="E9" s="611" t="s">
        <v>474</v>
      </c>
      <c r="F9" s="407"/>
    </row>
    <row r="10" spans="1:6" ht="15" customHeight="1" x14ac:dyDescent="0.25">
      <c r="A10" s="405"/>
      <c r="B10" s="405" t="s">
        <v>421</v>
      </c>
      <c r="C10" s="405"/>
      <c r="D10" s="406" t="s">
        <v>422</v>
      </c>
      <c r="E10" s="610" t="s">
        <v>423</v>
      </c>
      <c r="F10" s="407"/>
    </row>
    <row r="11" spans="1:6" ht="15" customHeight="1" x14ac:dyDescent="0.25">
      <c r="A11" s="406"/>
      <c r="B11" s="406" t="s">
        <v>424</v>
      </c>
      <c r="C11" s="405"/>
      <c r="D11" s="406" t="s">
        <v>425</v>
      </c>
      <c r="E11" s="610" t="s">
        <v>426</v>
      </c>
      <c r="F11" s="407"/>
    </row>
    <row r="12" spans="1:6" ht="15" customHeight="1" x14ac:dyDescent="0.25">
      <c r="A12" s="405"/>
      <c r="B12" s="405" t="s">
        <v>427</v>
      </c>
      <c r="C12" s="405"/>
      <c r="D12" s="406" t="s">
        <v>428</v>
      </c>
      <c r="E12" s="610" t="s">
        <v>473</v>
      </c>
      <c r="F12" s="407"/>
    </row>
    <row r="13" spans="1:6" ht="15" customHeight="1" x14ac:dyDescent="0.25">
      <c r="A13" s="405"/>
      <c r="B13" s="406" t="s">
        <v>429</v>
      </c>
      <c r="C13" s="405"/>
      <c r="D13" s="406" t="s">
        <v>430</v>
      </c>
      <c r="E13" s="610" t="s">
        <v>431</v>
      </c>
      <c r="F13" s="407"/>
    </row>
    <row r="14" spans="1:6" ht="15" customHeight="1" x14ac:dyDescent="0.25">
      <c r="A14" s="405"/>
      <c r="B14" s="406" t="s">
        <v>432</v>
      </c>
      <c r="C14" s="405"/>
      <c r="D14" s="406" t="s">
        <v>433</v>
      </c>
      <c r="E14" s="610" t="s">
        <v>434</v>
      </c>
      <c r="F14" s="407"/>
    </row>
    <row r="15" spans="1:6" ht="0.95" customHeight="1" x14ac:dyDescent="0.3">
      <c r="B15" s="408"/>
      <c r="D15" s="408"/>
      <c r="E15" s="409"/>
      <c r="F15" s="410"/>
    </row>
    <row r="16" spans="1:6" ht="0.95" customHeight="1" x14ac:dyDescent="0.3">
      <c r="B16" s="408"/>
      <c r="D16" s="408"/>
      <c r="E16" s="409"/>
      <c r="F16" s="410"/>
    </row>
    <row r="17" spans="1:6" ht="0.95" customHeight="1" x14ac:dyDescent="0.3">
      <c r="B17" s="410"/>
      <c r="E17" s="410"/>
      <c r="F17" s="410"/>
    </row>
    <row r="18" spans="1:6" ht="16.5" x14ac:dyDescent="0.25">
      <c r="A18" s="700" t="s">
        <v>435</v>
      </c>
      <c r="B18" s="700"/>
      <c r="C18" s="700"/>
      <c r="D18" s="700"/>
      <c r="E18" s="700"/>
      <c r="F18" s="700"/>
    </row>
    <row r="19" spans="1:6" ht="16.5" x14ac:dyDescent="0.25">
      <c r="A19" s="700" t="s">
        <v>465</v>
      </c>
      <c r="B19" s="700"/>
      <c r="C19" s="700"/>
      <c r="D19" s="700"/>
      <c r="E19" s="700"/>
      <c r="F19" s="700"/>
    </row>
    <row r="20" spans="1:6" ht="16.5" x14ac:dyDescent="0.25">
      <c r="A20" s="700" t="s">
        <v>466</v>
      </c>
      <c r="B20" s="700"/>
      <c r="C20" s="700"/>
      <c r="D20" s="700"/>
      <c r="E20" s="700"/>
      <c r="F20" s="700"/>
    </row>
    <row r="21" spans="1:6" ht="16.5" x14ac:dyDescent="0.25">
      <c r="A21" s="700"/>
      <c r="B21" s="700"/>
      <c r="C21" s="700"/>
      <c r="D21" s="700"/>
      <c r="E21" s="700"/>
      <c r="F21" s="700"/>
    </row>
    <row r="22" spans="1:6" x14ac:dyDescent="0.2">
      <c r="A22" s="411"/>
      <c r="B22" s="411"/>
      <c r="C22" s="411"/>
      <c r="D22" s="411"/>
      <c r="E22" s="411"/>
      <c r="F22" s="411"/>
    </row>
    <row r="23" spans="1:6" ht="15" customHeight="1" x14ac:dyDescent="0.25">
      <c r="A23" s="703" t="s">
        <v>436</v>
      </c>
      <c r="B23" s="703"/>
      <c r="C23" s="703"/>
      <c r="D23" s="703"/>
      <c r="E23" s="703"/>
      <c r="F23" s="703"/>
    </row>
    <row r="24" spans="1:6" ht="15" customHeight="1" x14ac:dyDescent="0.25">
      <c r="A24" s="703" t="s">
        <v>437</v>
      </c>
      <c r="B24" s="703"/>
      <c r="C24" s="703"/>
      <c r="D24" s="703"/>
      <c r="E24" s="703"/>
      <c r="F24" s="703"/>
    </row>
    <row r="25" spans="1:6" ht="15" customHeight="1" x14ac:dyDescent="0.25">
      <c r="A25" s="703" t="s">
        <v>438</v>
      </c>
      <c r="B25" s="703"/>
      <c r="C25" s="703"/>
      <c r="D25" s="703"/>
      <c r="E25" s="703"/>
      <c r="F25" s="703"/>
    </row>
    <row r="26" spans="1:6" ht="15" customHeight="1" x14ac:dyDescent="0.25">
      <c r="A26" s="703" t="s">
        <v>536</v>
      </c>
      <c r="B26" s="703"/>
      <c r="C26" s="703"/>
      <c r="D26" s="703"/>
      <c r="E26" s="703"/>
      <c r="F26" s="703"/>
    </row>
    <row r="27" spans="1:6" ht="8.25" customHeight="1" x14ac:dyDescent="0.2"/>
    <row r="28" spans="1:6" ht="18" customHeight="1" x14ac:dyDescent="0.2">
      <c r="A28" s="701" t="s">
        <v>439</v>
      </c>
      <c r="B28" s="701"/>
      <c r="C28" s="701"/>
      <c r="D28" s="412">
        <v>2016</v>
      </c>
      <c r="E28" s="413">
        <v>2015</v>
      </c>
      <c r="F28" s="413" t="s">
        <v>440</v>
      </c>
    </row>
    <row r="29" spans="1:6" ht="18" customHeight="1" x14ac:dyDescent="0.2">
      <c r="A29" s="702" t="s">
        <v>8</v>
      </c>
      <c r="B29" s="702"/>
      <c r="C29" s="702"/>
      <c r="D29" s="414">
        <f>Grig1!C58</f>
        <v>778</v>
      </c>
      <c r="E29" s="415">
        <f>Grig1!B58</f>
        <v>748</v>
      </c>
      <c r="F29" s="416" t="str">
        <f>IF(OR(D29=0,E29=0),"--",CONCATENATE(IF(D29&lt;E29,"– ",IF(D29&gt;E29,"+ ","")),IF((D29/E29&gt;=2),CONCATENATE(TEXT(D29/E29,"0,0"),"р"),IF((E29/D29&gt;=2),CONCATENATE(TEXT(E29/D29,"0,0"),"р"),CONCATENATE(TEXT(ABS((D29-E29)/E29*100),"0,0"),"%")))))</f>
        <v>+ 4,0%</v>
      </c>
    </row>
    <row r="30" spans="1:6" ht="18" customHeight="1" x14ac:dyDescent="0.2">
      <c r="A30" s="702" t="s">
        <v>441</v>
      </c>
      <c r="B30" s="702"/>
      <c r="C30" s="702"/>
      <c r="D30" s="414">
        <f>Grig1!F58</f>
        <v>119476550</v>
      </c>
      <c r="E30" s="417">
        <f>Grig1!E58</f>
        <v>104171269</v>
      </c>
      <c r="F30" s="416" t="str">
        <f>IF(OR(D30=0,E30=0),"--",CONCATENATE(IF(D30&lt;E30,"– ",IF(D30&gt;E30,"+ ","")),IF((D30/E30&gt;=2),CONCATENATE(TEXT(D30/E30,"0,0"),"р"),IF((E30/D30&gt;=2),CONCATENATE(TEXT(E30/D30,"0,0"),"р"),CONCATENATE(TEXT(ABS((D30-E30)/E30*100),"0,0"),"%")))))</f>
        <v>+ 14,7%</v>
      </c>
    </row>
    <row r="31" spans="1:6" ht="18" customHeight="1" x14ac:dyDescent="0.2">
      <c r="A31" s="702" t="s">
        <v>442</v>
      </c>
      <c r="B31" s="702"/>
      <c r="C31" s="702"/>
      <c r="D31" s="414">
        <f>Grig1!I58</f>
        <v>59</v>
      </c>
      <c r="E31" s="415">
        <f>Grig1!H58</f>
        <v>57</v>
      </c>
      <c r="F31" s="416" t="str">
        <f>IF(OR(D31=0,E31=0),"--",CONCATENATE(IF(D31&lt;E31,"– ",IF(D31&gt;E31,"+ ","")),IF((D31/E31&gt;=2),CONCATENATE(TEXT(D31/E31,"0,0"),"р"),IF((E31/D31&gt;=2),CONCATENATE(TEXT(E31/D31,"0,0"),"р"),CONCATENATE(TEXT(ABS((D31-E31)/E31*100),"0,0"),"%")))))</f>
        <v>+ 3,5%</v>
      </c>
    </row>
    <row r="32" spans="1:6" ht="18" customHeight="1" x14ac:dyDescent="0.2">
      <c r="A32" s="702" t="s">
        <v>443</v>
      </c>
      <c r="B32" s="702"/>
      <c r="C32" s="702"/>
      <c r="D32" s="414"/>
      <c r="E32" s="415"/>
      <c r="F32" s="416" t="str">
        <f>IF(OR(D32=0,E32=0),"--",CONCATENATE(IF(D32&lt;E32,"– ",IF(D32&gt;E32,"+ ","")),IF((D32/E32&gt;=2),CONCATENATE(TEXT(D32/E32,"0,0"),"р"),IF((E32/D32&gt;=2),CONCATENATE(TEXT(E32/D32,"0,0"),"р"),CONCATENATE(TEXT(ABS((D32-E32)/E32*100),"0,0"),"%")))))</f>
        <v>--</v>
      </c>
    </row>
    <row r="33" spans="1:6" ht="18" customHeight="1" x14ac:dyDescent="0.2">
      <c r="A33" s="702" t="s">
        <v>444</v>
      </c>
      <c r="B33" s="702"/>
      <c r="C33" s="702"/>
      <c r="D33" s="414">
        <f>Grig1!L58</f>
        <v>72</v>
      </c>
      <c r="E33" s="415">
        <f>Grig1!K58</f>
        <v>62</v>
      </c>
      <c r="F33" s="416" t="str">
        <f>IF(OR(D33=0,E33=0),"--",CONCATENATE(IF(D33&lt;E33,"– ",IF(D33&gt;E33,"+ ","")),IF((D33/E33&gt;=2),CONCATENATE(TEXT(D33/E33,"0,0"),"р"),IF((E33/D33&gt;=2),CONCATENATE(TEXT(E33/D33,"0,0"),"р"),CONCATENATE(TEXT(ABS((D33-E33)/E33*100),"0,0"),"%")))))</f>
        <v>+ 16,1%</v>
      </c>
    </row>
    <row r="34" spans="1:6" ht="18" customHeight="1" x14ac:dyDescent="0.25">
      <c r="A34" s="704" t="s">
        <v>445</v>
      </c>
      <c r="B34" s="704"/>
      <c r="C34" s="704"/>
      <c r="D34" s="704"/>
      <c r="E34" s="704"/>
      <c r="F34" s="704"/>
    </row>
    <row r="35" spans="1:6" ht="18" customHeight="1" x14ac:dyDescent="0.2">
      <c r="A35" s="702" t="s">
        <v>446</v>
      </c>
      <c r="B35" s="702"/>
      <c r="C35" s="702"/>
      <c r="D35" s="414">
        <f>Posled1!I34</f>
        <v>452</v>
      </c>
      <c r="E35" s="415">
        <f>Posled1!H34</f>
        <v>393</v>
      </c>
      <c r="F35" s="416" t="str">
        <f>IF(OR(D35=0,E35=0),"--",CONCATENATE(IF(D35&lt;E35,"– ",IF(D35&gt;E35,"+ ","")),IF((D35/E35&gt;=2),CONCATENATE(TEXT(D35/E35,"0,0"),"р"),IF((E35/D35&gt;=2),CONCATENATE(TEXT(E35/D35,"0,0"),"р"),CONCATENATE(TEXT(ABS((D35-E35)/E35*100),"0,0"),"%")))))</f>
        <v>+ 15,0%</v>
      </c>
    </row>
    <row r="36" spans="1:6" ht="18" customHeight="1" x14ac:dyDescent="0.2">
      <c r="A36" s="702" t="s">
        <v>447</v>
      </c>
      <c r="B36" s="702"/>
      <c r="C36" s="702"/>
      <c r="D36" s="414">
        <f>Posled1!C66</f>
        <v>16</v>
      </c>
      <c r="E36" s="415">
        <f>Posled1!B66</f>
        <v>20</v>
      </c>
      <c r="F36" s="416" t="str">
        <f>IF(OR(D36=0,E36=0),"--",CONCATENATE(IF(D36&lt;E36,"– ",IF(D36&gt;E36,"+ ","")),IF((D36/E36&gt;=2),CONCATENATE(TEXT(D36/E36,"0,0"),"р"),IF((E36/D36&gt;=2),CONCATENATE(TEXT(E36/D36,"0,0"),"р"),CONCATENATE(TEXT(ABS((D36-E36)/E36*100),"0,0"),"%")))))</f>
        <v>– 20,0%</v>
      </c>
    </row>
    <row r="37" spans="1:6" ht="18" customHeight="1" x14ac:dyDescent="0.2">
      <c r="A37" s="702" t="s">
        <v>448</v>
      </c>
      <c r="B37" s="702"/>
      <c r="C37" s="702"/>
      <c r="D37" s="414">
        <f>Posled1!L34</f>
        <v>44</v>
      </c>
      <c r="E37" s="415">
        <f>Posled1!K34</f>
        <v>48</v>
      </c>
      <c r="F37" s="416" t="str">
        <f>IF(OR(D37=0,E37=0),"--",CONCATENATE(IF(D37&lt;E37,"– ",IF(D37&gt;E37,"+ ","")),IF((D37/E37&gt;=2),CONCATENATE(TEXT(D37/E37,"0,0"),"р"),IF((E37/D37&gt;=2),CONCATENATE(TEXT(E37/D37,"0,0"),"р"),CONCATENATE(TEXT(ABS((D37-E37)/E37*100),"0,0"),"%")))))</f>
        <v>– 8,3%</v>
      </c>
    </row>
    <row r="38" spans="1:6" ht="18" customHeight="1" x14ac:dyDescent="0.2">
      <c r="A38" s="702" t="s">
        <v>449</v>
      </c>
      <c r="B38" s="702"/>
      <c r="C38" s="702"/>
      <c r="D38" s="414">
        <f>Posled2!I34</f>
        <v>387</v>
      </c>
      <c r="E38" s="415">
        <f>Posled2!H34</f>
        <v>242</v>
      </c>
      <c r="F38" s="416" t="str">
        <f>IF(OR(D38=0,E38=0),"--",CONCATENATE(IF(D38&lt;E38,"– ",IF(D38&gt;E38,"+ ","")),IF((D38/E38&gt;=2),CONCATENATE(TEXT(D38/E38,"0,0"),"р"),IF((E38/D38&gt;=2),CONCATENATE(TEXT(E38/D38,"0,0"),"р"),CONCATENATE(TEXT(ABS((D38-E38)/E38*100),"0,0"),"%")))))</f>
        <v>+ 59,9%</v>
      </c>
    </row>
    <row r="39" spans="1:6" ht="18" customHeight="1" x14ac:dyDescent="0.25">
      <c r="A39" s="708" t="s">
        <v>450</v>
      </c>
      <c r="B39" s="709"/>
      <c r="C39" s="709"/>
      <c r="D39" s="709"/>
      <c r="E39" s="709"/>
      <c r="F39" s="710"/>
    </row>
    <row r="40" spans="1:6" ht="16.5" x14ac:dyDescent="0.2">
      <c r="A40" s="707" t="s">
        <v>451</v>
      </c>
      <c r="B40" s="707"/>
      <c r="C40" s="707"/>
      <c r="D40" s="418">
        <f>'На 10 тыс'!I31</f>
        <v>6.2951961503823641</v>
      </c>
      <c r="E40" s="419">
        <f>'На 10 тыс'!H31</f>
        <v>6.0524507975398567</v>
      </c>
      <c r="F40" s="416" t="str">
        <f>IF(OR(D40=0,E40=0),"--",CONCATENATE(IF(D40&lt;E40,"– ",IF(D40&gt;E40,"+ ","")),IF((D40/E40&gt;=2),CONCATENATE(TEXT(D40/E40,"0,0"),"р"),IF((E40/D40&gt;=2),CONCATENATE(TEXT(E40/D40,"0,0"),"р"),CONCATENATE(TEXT(ABS((D40-E40)/E40*100),"0,0"),"%")))))</f>
        <v>+ 4,0%</v>
      </c>
    </row>
    <row r="41" spans="1:6" ht="16.5" x14ac:dyDescent="0.2">
      <c r="A41" s="707" t="s">
        <v>452</v>
      </c>
      <c r="B41" s="707"/>
      <c r="C41" s="707"/>
      <c r="D41" s="418">
        <f>'На 10 тыс'!O31</f>
        <v>96.674590953851677</v>
      </c>
      <c r="E41" s="419">
        <f>'На 10 тыс'!N31</f>
        <v>84.29030483152259</v>
      </c>
      <c r="F41" s="416" t="str">
        <f>IF(OR(D41=0,E41=0),"--",CONCATENATE(IF(D41&lt;E41,"– ",IF(D41&gt;E41,"+ ","")),IF((D41/E41&gt;=2),CONCATENATE(TEXT(D41/E41,"0,0"),"р"),IF((E41/D41&gt;=2),CONCATENATE(TEXT(E41/D41,"0,0"),"р"),CONCATENATE(TEXT(ABS((D41-E41)/E41*100),"0,0"),"%")))))</f>
        <v>+ 14,7%</v>
      </c>
    </row>
    <row r="42" spans="1:6" ht="16.5" x14ac:dyDescent="0.2">
      <c r="A42" s="707" t="s">
        <v>453</v>
      </c>
      <c r="B42" s="707"/>
      <c r="C42" s="707"/>
      <c r="D42" s="418">
        <f>'На 10 тыс'!L31</f>
        <v>153568.83033419022</v>
      </c>
      <c r="E42" s="419">
        <f>'На 10 тыс'!K31</f>
        <v>139266.40240641712</v>
      </c>
      <c r="F42" s="416" t="str">
        <f>IF(OR(D42=0,E42=0),"--",CONCATENATE(IF(D42&lt;E42,"– ",IF(D42&gt;E42,"+ ","")),IF((D42/E42&gt;=2),CONCATENATE(TEXT(D42/E42,"0,0"),"р"),IF((E42/D42&gt;=2),CONCATENATE(TEXT(E42/D42,"0,0"),"р"),CONCATENATE(TEXT(ABS((D42-E42)/E42*100),"0,0"),"%")))))</f>
        <v>+ 10,3%</v>
      </c>
    </row>
    <row r="43" spans="1:6" ht="16.5" x14ac:dyDescent="0.2">
      <c r="A43" s="707" t="s">
        <v>454</v>
      </c>
      <c r="B43" s="707"/>
      <c r="C43" s="707"/>
      <c r="D43" s="418">
        <f>Grig1!I58/1292200*10000</f>
        <v>0.45658566785327348</v>
      </c>
      <c r="E43" s="418">
        <f>Grig1!H58/1292200*10000</f>
        <v>0.44110818758706077</v>
      </c>
      <c r="F43" s="416" t="str">
        <f>IF(OR(D43=0,E43=0),"--",CONCATENATE(IF(D43&lt;E43,"– ",IF(D43&gt;E43,"+ ","")),IF((D43/E43&gt;=2),CONCATENATE(TEXT(D43/E43,"0,0"),"р"),IF((E43/D43&gt;=2),CONCATENATE(TEXT(E43/D43,"0,0"),"р"),CONCATENATE(TEXT(ABS((D43-E43)/E43*100),"0,0"),"%")))))</f>
        <v>+ 3,5%</v>
      </c>
    </row>
    <row r="44" spans="1:6" ht="16.5" x14ac:dyDescent="0.25">
      <c r="A44" s="420" t="s">
        <v>455</v>
      </c>
      <c r="B44" s="420"/>
      <c r="C44" s="420"/>
      <c r="D44" s="420"/>
      <c r="E44" s="420"/>
      <c r="F44" s="420"/>
    </row>
    <row r="45" spans="1:6" ht="15" customHeight="1" x14ac:dyDescent="0.25">
      <c r="A45" s="420"/>
      <c r="B45" s="420"/>
      <c r="C45" s="420"/>
      <c r="D45" s="420"/>
      <c r="E45" s="420"/>
      <c r="F45" s="420"/>
    </row>
    <row r="46" spans="1:6" ht="18.75" x14ac:dyDescent="0.3">
      <c r="A46" s="705" t="s">
        <v>483</v>
      </c>
      <c r="B46" s="705"/>
      <c r="C46" s="705"/>
      <c r="D46" s="705"/>
      <c r="E46" s="421"/>
      <c r="F46" s="421"/>
    </row>
    <row r="47" spans="1:6" ht="18.75" x14ac:dyDescent="0.3">
      <c r="A47" s="705" t="s">
        <v>479</v>
      </c>
      <c r="B47" s="705"/>
      <c r="C47" s="705"/>
      <c r="D47" s="705"/>
      <c r="E47" s="421"/>
      <c r="F47" s="421"/>
    </row>
    <row r="48" spans="1:6" ht="18.75" x14ac:dyDescent="0.3">
      <c r="A48" s="705" t="s">
        <v>484</v>
      </c>
      <c r="B48" s="705"/>
      <c r="C48" s="705"/>
      <c r="D48" s="705"/>
      <c r="E48" s="421"/>
      <c r="F48" s="421"/>
    </row>
    <row r="49" spans="1:6" ht="18.75" x14ac:dyDescent="0.3">
      <c r="A49" s="445" t="s">
        <v>527</v>
      </c>
      <c r="B49" s="445"/>
      <c r="C49" s="445"/>
      <c r="D49" s="420"/>
    </row>
    <row r="50" spans="1:6" ht="18.75" x14ac:dyDescent="0.3">
      <c r="A50" s="449" t="s">
        <v>485</v>
      </c>
      <c r="B50" s="408"/>
      <c r="C50" s="408"/>
      <c r="D50" s="420"/>
      <c r="E50" s="706" t="s">
        <v>486</v>
      </c>
      <c r="F50" s="706"/>
    </row>
    <row r="53" spans="1:6" x14ac:dyDescent="0.2">
      <c r="A53" t="s">
        <v>529</v>
      </c>
    </row>
    <row r="54" spans="1:6" x14ac:dyDescent="0.2">
      <c r="A54" t="s">
        <v>487</v>
      </c>
    </row>
  </sheetData>
  <mergeCells count="28">
    <mergeCell ref="A48:D48"/>
    <mergeCell ref="E50:F50"/>
    <mergeCell ref="A38:C38"/>
    <mergeCell ref="A43:C43"/>
    <mergeCell ref="A39:F39"/>
    <mergeCell ref="A40:C40"/>
    <mergeCell ref="A41:C41"/>
    <mergeCell ref="A42:C42"/>
    <mergeCell ref="A46:D46"/>
    <mergeCell ref="A47:D47"/>
    <mergeCell ref="A36:C36"/>
    <mergeCell ref="A37:C37"/>
    <mergeCell ref="A29:C29"/>
    <mergeCell ref="A30:C30"/>
    <mergeCell ref="A23:F23"/>
    <mergeCell ref="A24:F24"/>
    <mergeCell ref="A25:F25"/>
    <mergeCell ref="A26:F26"/>
    <mergeCell ref="A31:C31"/>
    <mergeCell ref="A32:C32"/>
    <mergeCell ref="A33:C33"/>
    <mergeCell ref="A34:F34"/>
    <mergeCell ref="A35:C35"/>
    <mergeCell ref="A18:F18"/>
    <mergeCell ref="A19:F19"/>
    <mergeCell ref="A20:F20"/>
    <mergeCell ref="A21:F21"/>
    <mergeCell ref="A28:C28"/>
  </mergeCells>
  <phoneticPr fontId="0" type="noConversion"/>
  <hyperlinks>
    <hyperlink ref="E14" r:id="rId1"/>
    <hyperlink ref="E11" r:id="rId2"/>
    <hyperlink ref="E13" r:id="rId3"/>
    <hyperlink ref="E2" r:id="rId4"/>
    <hyperlink ref="E12" r:id="rId5"/>
    <hyperlink ref="E3" r:id="rId6"/>
    <hyperlink ref="E4" r:id="rId7"/>
    <hyperlink ref="E5" r:id="rId8"/>
    <hyperlink ref="E6" r:id="rId9"/>
    <hyperlink ref="E7" r:id="rId10"/>
    <hyperlink ref="E8" r:id="rId11"/>
    <hyperlink ref="E9" r:id="rId12"/>
    <hyperlink ref="E10" r:id="rId13"/>
  </hyperlinks>
  <pageMargins left="0.75" right="0.75" top="1" bottom="1" header="0.5" footer="0.5"/>
  <pageSetup paperSize="9" scale="85" orientation="portrait" r:id="rId14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28"/>
  <sheetViews>
    <sheetView view="pageBreakPreview" topLeftCell="H1" zoomScale="60" zoomScaleNormal="70" workbookViewId="0">
      <selection activeCell="AC28" sqref="AC28"/>
    </sheetView>
  </sheetViews>
  <sheetFormatPr defaultColWidth="17.85546875" defaultRowHeight="18" x14ac:dyDescent="0.2"/>
  <cols>
    <col min="1" max="1" width="31.28515625" style="84" bestFit="1" customWidth="1"/>
    <col min="2" max="2" width="8.140625" style="84" bestFit="1" customWidth="1"/>
    <col min="3" max="3" width="7.7109375" style="84" bestFit="1" customWidth="1"/>
    <col min="4" max="4" width="10.5703125" style="84" bestFit="1" customWidth="1"/>
    <col min="5" max="6" width="15.7109375" style="84" bestFit="1" customWidth="1"/>
    <col min="7" max="7" width="12.28515625" style="84" bestFit="1" customWidth="1"/>
    <col min="8" max="9" width="10.140625" style="84" bestFit="1" customWidth="1"/>
    <col min="10" max="10" width="10.7109375" style="84" bestFit="1" customWidth="1"/>
    <col min="11" max="11" width="12.85546875" style="84" customWidth="1"/>
    <col min="12" max="12" width="12.7109375" style="84" customWidth="1"/>
    <col min="13" max="13" width="11.28515625" style="84" bestFit="1" customWidth="1"/>
    <col min="14" max="14" width="10.140625" style="84" customWidth="1"/>
    <col min="15" max="15" width="10.42578125" style="84" customWidth="1"/>
    <col min="16" max="16" width="13.140625" style="84" customWidth="1"/>
    <col min="17" max="18" width="7.7109375" style="84" bestFit="1" customWidth="1"/>
    <col min="19" max="19" width="11.140625" style="84" bestFit="1" customWidth="1"/>
    <col min="20" max="21" width="8.42578125" style="84" bestFit="1" customWidth="1"/>
    <col min="22" max="22" width="11.140625" style="84" bestFit="1" customWidth="1"/>
    <col min="23" max="23" width="14" style="84" customWidth="1"/>
    <col min="24" max="24" width="8.42578125" style="84" customWidth="1"/>
    <col min="25" max="25" width="8.28515625" style="84" customWidth="1"/>
    <col min="26" max="26" width="12" style="84" customWidth="1"/>
    <col min="27" max="27" width="11.42578125" style="84" customWidth="1"/>
    <col min="28" max="28" width="10.7109375" style="84" customWidth="1"/>
    <col min="29" max="29" width="13.5703125" style="84" customWidth="1"/>
    <col min="30" max="30" width="12.28515625" style="84" customWidth="1"/>
    <col min="31" max="31" width="16.5703125" style="84" customWidth="1"/>
    <col min="32" max="16384" width="17.85546875" style="84"/>
  </cols>
  <sheetData>
    <row r="1" spans="1:31" ht="20.25" x14ac:dyDescent="0.2">
      <c r="A1" s="117" t="s">
        <v>155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31" ht="21" thickBot="1" x14ac:dyDescent="0.25">
      <c r="A2" s="117" t="str">
        <f>Grig1!A2</f>
        <v xml:space="preserve"> Сведения по пожарам в Чувашской Республике с 00 ч.00мин. 01.01. по 00 ч.00мин. 16.11.2018 г.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31" ht="46.9" customHeight="1" x14ac:dyDescent="0.2">
      <c r="A3" s="85" t="s">
        <v>7</v>
      </c>
      <c r="B3" s="86" t="s">
        <v>210</v>
      </c>
      <c r="C3" s="87"/>
      <c r="D3" s="88"/>
      <c r="E3" s="89" t="s">
        <v>211</v>
      </c>
      <c r="F3" s="87"/>
      <c r="G3" s="88"/>
      <c r="H3" s="89" t="s">
        <v>488</v>
      </c>
      <c r="I3" s="87"/>
      <c r="J3" s="88"/>
      <c r="K3" s="89" t="s">
        <v>212</v>
      </c>
      <c r="L3" s="87"/>
      <c r="M3" s="88"/>
      <c r="N3" s="90" t="s">
        <v>156</v>
      </c>
      <c r="O3" s="87"/>
      <c r="P3" s="88"/>
      <c r="Q3" s="90" t="s">
        <v>119</v>
      </c>
      <c r="R3" s="87"/>
      <c r="S3" s="88"/>
      <c r="T3" s="655" t="s">
        <v>489</v>
      </c>
      <c r="U3" s="656"/>
      <c r="V3" s="657"/>
      <c r="W3" s="471" t="s">
        <v>497</v>
      </c>
      <c r="X3" s="655" t="s">
        <v>494</v>
      </c>
      <c r="Y3" s="656"/>
      <c r="Z3" s="657"/>
      <c r="AA3" s="655" t="s">
        <v>493</v>
      </c>
      <c r="AB3" s="656"/>
      <c r="AC3" s="656"/>
      <c r="AD3" s="477" t="s">
        <v>496</v>
      </c>
      <c r="AE3" s="477" t="s">
        <v>495</v>
      </c>
    </row>
    <row r="4" spans="1:31" ht="18.75" thickBot="1" x14ac:dyDescent="0.3">
      <c r="A4" s="91"/>
      <c r="B4" s="168">
        <f>Grig1!B5</f>
        <v>2017</v>
      </c>
      <c r="C4" s="423">
        <f>Grig1!C5</f>
        <v>2018</v>
      </c>
      <c r="D4" s="92" t="s">
        <v>11</v>
      </c>
      <c r="E4" s="168">
        <f>B4</f>
        <v>2017</v>
      </c>
      <c r="F4" s="168">
        <f>C4</f>
        <v>2018</v>
      </c>
      <c r="G4" s="92" t="s">
        <v>11</v>
      </c>
      <c r="H4" s="168">
        <f>B4</f>
        <v>2017</v>
      </c>
      <c r="I4" s="168">
        <f>C4</f>
        <v>2018</v>
      </c>
      <c r="J4" s="92" t="s">
        <v>11</v>
      </c>
      <c r="K4" s="168">
        <f>B4</f>
        <v>2017</v>
      </c>
      <c r="L4" s="168">
        <f>C4</f>
        <v>2018</v>
      </c>
      <c r="M4" s="92" t="s">
        <v>11</v>
      </c>
      <c r="N4" s="168">
        <f>B4</f>
        <v>2017</v>
      </c>
      <c r="O4" s="168">
        <f>C4</f>
        <v>2018</v>
      </c>
      <c r="P4" s="92" t="s">
        <v>11</v>
      </c>
      <c r="Q4" s="168">
        <f>B4</f>
        <v>2017</v>
      </c>
      <c r="R4" s="168">
        <f>C4</f>
        <v>2018</v>
      </c>
      <c r="S4" s="92" t="s">
        <v>11</v>
      </c>
      <c r="T4" s="450">
        <f t="shared" ref="T4:U4" si="0">Q4</f>
        <v>2017</v>
      </c>
      <c r="U4" s="451">
        <f t="shared" si="0"/>
        <v>2018</v>
      </c>
      <c r="V4" s="478" t="s">
        <v>11</v>
      </c>
      <c r="W4" s="101">
        <v>2012</v>
      </c>
      <c r="X4" s="479">
        <f t="shared" ref="X4:Y4" si="1">Q4</f>
        <v>2017</v>
      </c>
      <c r="Y4" s="107">
        <f t="shared" si="1"/>
        <v>2018</v>
      </c>
      <c r="Z4" s="472" t="s">
        <v>11</v>
      </c>
      <c r="AA4" s="106">
        <f t="shared" ref="AA4:AB4" si="2">Q4</f>
        <v>2017</v>
      </c>
      <c r="AB4" s="107">
        <f t="shared" si="2"/>
        <v>2018</v>
      </c>
      <c r="AC4" s="473" t="s">
        <v>11</v>
      </c>
      <c r="AD4" s="101">
        <v>2012</v>
      </c>
      <c r="AE4" s="101">
        <v>2012</v>
      </c>
    </row>
    <row r="5" spans="1:31" ht="18.75" x14ac:dyDescent="0.2">
      <c r="A5" s="93" t="str">
        <f>Grig1!A$10</f>
        <v>Алатырский</v>
      </c>
      <c r="B5" s="95">
        <f>Grig1!$B$60</f>
        <v>54</v>
      </c>
      <c r="C5" s="84">
        <f>Grig1!$C$60</f>
        <v>52</v>
      </c>
      <c r="D5" s="96" t="str">
        <f t="shared" ref="D5:D28" si="3">IF(B5&lt;&gt;0,TEXT(((C5-B5)/B5)*100,"0,0"),"--")</f>
        <v>-3,7</v>
      </c>
      <c r="E5" s="152">
        <f>Grig1!E60</f>
        <v>6870800</v>
      </c>
      <c r="F5" s="153">
        <f>Grig1!F60</f>
        <v>10701200</v>
      </c>
      <c r="G5" s="96" t="str">
        <f t="shared" ref="G5:G28" si="4">IF(E5&lt;&gt;0,TEXT(((F5-E5)/E5)*100,"0,0"),"--")</f>
        <v>55,7</v>
      </c>
      <c r="H5" s="97">
        <f>B5/VLOOKUP($A5,Население!$A$1:$B$30,2,FALSE)*100000</f>
        <v>363.02521008403363</v>
      </c>
      <c r="I5" s="98">
        <f>B5/VLOOKUP($A5,Население!$A$1:$B$30,2,FALSE)*100000</f>
        <v>363.02521008403363</v>
      </c>
      <c r="J5" s="102">
        <f t="shared" ref="J5:J28" si="5">IF(I5=0,"--",(((I5*100)/H5)-100)/100)</f>
        <v>0</v>
      </c>
      <c r="K5" s="152">
        <f>E5/B5</f>
        <v>127237.03703703704</v>
      </c>
      <c r="L5" s="153">
        <f>F5/B5</f>
        <v>198170.37037037036</v>
      </c>
      <c r="M5" s="102">
        <f t="shared" ref="M5:M28" si="6">IF(L5=0,"--",(((L5*100)/K5)-100)/100)</f>
        <v>0.55748966641439124</v>
      </c>
      <c r="N5" s="97">
        <f>E5/VLOOKUP($A5,Население!$A$1:$B$30,2,FALSE)</f>
        <v>461.90252100840337</v>
      </c>
      <c r="O5" s="98">
        <f>F5/VLOOKUP($A5,Население!$A$1:$B$30,2,FALSE)</f>
        <v>719.40840336134454</v>
      </c>
      <c r="P5" s="102">
        <f t="shared" ref="P5:P28" si="7">IF(O5=0,"--",(((O5*100)/N5)-100)/100)</f>
        <v>0.55748966641439124</v>
      </c>
      <c r="Q5" s="94">
        <f>VLOOKUP($A5,Grig1!$A$6:$P$58,8,FALSE)</f>
        <v>2</v>
      </c>
      <c r="R5" s="95">
        <f>VLOOKUP($A5,Grig1!$A$6:$P$58,9,FALSE)</f>
        <v>2</v>
      </c>
      <c r="S5" s="102">
        <f t="shared" ref="S5:S28" si="8">IF(R5=0,"--",(((R5*100)/Q5)-100)/100)</f>
        <v>0</v>
      </c>
      <c r="T5" s="97">
        <f>Q5/VLOOKUP($A5,Население!$A$1:$B$30,2,FALSE)*100000</f>
        <v>13.445378151260504</v>
      </c>
      <c r="U5" s="98">
        <f>R5/VLOOKUP($A5,Население!$A$1:$B$30,2,FALSE)*100000</f>
        <v>13.445378151260504</v>
      </c>
      <c r="V5" s="102">
        <f t="shared" ref="V5:V28" si="9">IF(U5=0,"--",(((U5*100)/T5)-100)/100)</f>
        <v>0</v>
      </c>
      <c r="W5" s="474">
        <f>T5/T28</f>
        <v>2.9152009435353086</v>
      </c>
      <c r="X5" s="101">
        <f>VLOOKUP($A5,Grig1!$A$6:$P$58,11,FALSE)</f>
        <v>1</v>
      </c>
      <c r="Y5" s="101">
        <f>VLOOKUP($A5,Grig1!$A$6:$P$58,12,FALSE)</f>
        <v>1</v>
      </c>
      <c r="Z5" s="102">
        <f t="shared" ref="Z5:Z28" si="10">IF(Y5=0,"--",(((Y5*100)/X5)-100)/100)</f>
        <v>0</v>
      </c>
      <c r="AA5" s="104">
        <f>X5/VLOOKUP($A5,Население!$A$1:$B$30,2,FALSE)*100000</f>
        <v>6.7226890756302522</v>
      </c>
      <c r="AB5" s="104">
        <f>Y5/VLOOKUP($A5,Население!$A$1:$B$30,2,FALSE)*100000</f>
        <v>6.7226890756302522</v>
      </c>
      <c r="AC5" s="102">
        <f t="shared" ref="AC5:AC28" si="11">IF(AB5=0,"--",(((AB5*100)/AA5)-100)/100)</f>
        <v>0</v>
      </c>
      <c r="AD5" s="104">
        <f>AA5/AA28</f>
        <v>1.3400520466251018</v>
      </c>
      <c r="AE5" s="104">
        <f>H5/H28</f>
        <v>5.9979869680492524</v>
      </c>
    </row>
    <row r="6" spans="1:31" ht="18.75" x14ac:dyDescent="0.2">
      <c r="A6" s="99" t="str">
        <f>Grig1!A$13</f>
        <v>Аликовский</v>
      </c>
      <c r="B6" s="100">
        <f>VLOOKUP($A6,Grig1!$A$6:$P$58,2,FALSE)</f>
        <v>17</v>
      </c>
      <c r="C6" s="101">
        <f>VLOOKUP($A6,Grig1!$A$6:$P$58,3,FALSE)</f>
        <v>16</v>
      </c>
      <c r="D6" s="102" t="str">
        <f t="shared" si="3"/>
        <v>-5,9</v>
      </c>
      <c r="E6" s="154">
        <f>VLOOKUP($A6,Grig1!$A$6:$P$58,5,FALSE)</f>
        <v>3127600</v>
      </c>
      <c r="F6" s="155">
        <f>VLOOKUP($A6,Grig1!$A$6:$P$58,6,FALSE)</f>
        <v>2861000</v>
      </c>
      <c r="G6" s="102" t="str">
        <f t="shared" si="4"/>
        <v>-8,5</v>
      </c>
      <c r="H6" s="103">
        <f>B6/VLOOKUP($A6,Население!$A$1:$B$30,2,FALSE)*100000</f>
        <v>107.03941569071905</v>
      </c>
      <c r="I6" s="104">
        <f>C6/VLOOKUP($A6,Население!$A$1:$B$30,2,FALSE)*100000</f>
        <v>100.74297947361792</v>
      </c>
      <c r="J6" s="102">
        <f t="shared" si="5"/>
        <v>-5.8823529411764781E-2</v>
      </c>
      <c r="K6" s="154">
        <f t="shared" ref="K6:L28" si="12">E6/B6</f>
        <v>183976.4705882353</v>
      </c>
      <c r="L6" s="155">
        <f t="shared" si="12"/>
        <v>178812.5</v>
      </c>
      <c r="M6" s="102">
        <f t="shared" si="6"/>
        <v>-2.806864688579111E-2</v>
      </c>
      <c r="N6" s="103">
        <f>E6/VLOOKUP($A6,Население!$A$1:$B$30,2,FALSE)</f>
        <v>196.92733912605465</v>
      </c>
      <c r="O6" s="104">
        <f>F6/VLOOKUP($A6,Население!$A$1:$B$30,2,FALSE)</f>
        <v>180.14104017126306</v>
      </c>
      <c r="P6" s="102">
        <f t="shared" si="7"/>
        <v>-8.5241079421921023E-2</v>
      </c>
      <c r="Q6" s="100">
        <f>VLOOKUP($A6,Grig1!$A$6:$P$58,8,FALSE)</f>
        <v>0</v>
      </c>
      <c r="R6" s="101">
        <f>VLOOKUP($A6,Grig1!$A$6:$P$58,9,FALSE)</f>
        <v>1</v>
      </c>
      <c r="S6" s="102" t="e">
        <f t="shared" si="8"/>
        <v>#DIV/0!</v>
      </c>
      <c r="T6" s="103">
        <f>Q6/VLOOKUP($A6,Население!$A$1:$B$30,2,FALSE)*100000</f>
        <v>0</v>
      </c>
      <c r="U6" s="104">
        <f>R6/VLOOKUP($A6,Население!$A$1:$B$30,2,FALSE)*100000</f>
        <v>6.2964362171011201</v>
      </c>
      <c r="V6" s="102" t="e">
        <f t="shared" si="9"/>
        <v>#DIV/0!</v>
      </c>
      <c r="W6" s="475">
        <f>T6/T28</f>
        <v>0</v>
      </c>
      <c r="X6" s="101">
        <f>VLOOKUP($A6,Grig1!$A$6:$P$58,11,FALSE)</f>
        <v>2</v>
      </c>
      <c r="Y6" s="101">
        <f>VLOOKUP($A6,Grig1!$A$6:$P$58,12,FALSE)</f>
        <v>1</v>
      </c>
      <c r="Z6" s="102">
        <f t="shared" si="10"/>
        <v>-0.5</v>
      </c>
      <c r="AA6" s="104">
        <f>X6/VLOOKUP($A6,Население!$A$1:$B$30,2,FALSE)*100000</f>
        <v>12.59287243420224</v>
      </c>
      <c r="AB6" s="104">
        <f>Y6/VLOOKUP($A6,Население!$A$1:$B$30,2,FALSE)*100000</f>
        <v>6.2964362171011201</v>
      </c>
      <c r="AC6" s="102">
        <f t="shared" si="11"/>
        <v>-0.5</v>
      </c>
      <c r="AD6" s="104">
        <f>AA6/AA28</f>
        <v>2.5101717911533039</v>
      </c>
      <c r="AE6" s="104">
        <f>H6/H28</f>
        <v>1.7685301255852826</v>
      </c>
    </row>
    <row r="7" spans="1:31" ht="18.75" x14ac:dyDescent="0.2">
      <c r="A7" s="99" t="str">
        <f>Grig1!A$15</f>
        <v>Батыревский</v>
      </c>
      <c r="B7" s="100">
        <f>VLOOKUP($A7,Grig1!$A$6:$P$58,2,FALSE)</f>
        <v>34</v>
      </c>
      <c r="C7" s="101">
        <f>VLOOKUP($A7,Grig1!$A$6:$P$58,3,FALSE)</f>
        <v>32</v>
      </c>
      <c r="D7" s="102" t="str">
        <f t="shared" si="3"/>
        <v>-5,9</v>
      </c>
      <c r="E7" s="154">
        <f>VLOOKUP($A7,Grig1!$A$6:$P$58,5,FALSE)</f>
        <v>4310000</v>
      </c>
      <c r="F7" s="155">
        <f>VLOOKUP($A7,Grig1!$A$6:$P$58,6,FALSE)</f>
        <v>3072000</v>
      </c>
      <c r="G7" s="102" t="str">
        <f t="shared" si="4"/>
        <v>-28,7</v>
      </c>
      <c r="H7" s="103">
        <f>B7/VLOOKUP($A7,Население!$A$1:$B$30,2,FALSE)*100000</f>
        <v>98.56215213358071</v>
      </c>
      <c r="I7" s="104">
        <f>C7/VLOOKUP($A7,Население!$A$1:$B$30,2,FALSE)*100000</f>
        <v>92.764378478664199</v>
      </c>
      <c r="J7" s="102">
        <f t="shared" si="5"/>
        <v>-5.8823529411764636E-2</v>
      </c>
      <c r="K7" s="154">
        <f t="shared" si="12"/>
        <v>126764.70588235294</v>
      </c>
      <c r="L7" s="155">
        <f t="shared" si="12"/>
        <v>96000</v>
      </c>
      <c r="M7" s="102">
        <f t="shared" si="6"/>
        <v>-0.24269141531322502</v>
      </c>
      <c r="N7" s="103">
        <f>E7/VLOOKUP($A7,Население!$A$1:$B$30,2,FALSE)</f>
        <v>124.94202226345084</v>
      </c>
      <c r="O7" s="104">
        <f>F7/VLOOKUP($A7,Население!$A$1:$B$30,2,FALSE)</f>
        <v>89.053803339517629</v>
      </c>
      <c r="P7" s="102">
        <f t="shared" si="7"/>
        <v>-0.28723897911832935</v>
      </c>
      <c r="Q7" s="100">
        <f>VLOOKUP($A7,Grig1!$A$6:$P$58,8,FALSE)</f>
        <v>1</v>
      </c>
      <c r="R7" s="101">
        <f>VLOOKUP($A7,Grig1!$A$6:$P$58,9,FALSE)</f>
        <v>1</v>
      </c>
      <c r="S7" s="102">
        <f t="shared" si="8"/>
        <v>0</v>
      </c>
      <c r="T7" s="103">
        <f>Q7/VLOOKUP($A7,Население!$A$1:$B$30,2,FALSE)*100000</f>
        <v>2.8988868274582562</v>
      </c>
      <c r="U7" s="104">
        <f>R7/VLOOKUP($A7,Население!$A$1:$B$30,2,FALSE)*100000</f>
        <v>2.8988868274582562</v>
      </c>
      <c r="V7" s="102">
        <f t="shared" si="9"/>
        <v>0</v>
      </c>
      <c r="W7" s="475">
        <f>T7/T28</f>
        <v>0.62853104758649869</v>
      </c>
      <c r="X7" s="101">
        <f>VLOOKUP($A7,Grig1!$A$6:$P$58,11,FALSE)</f>
        <v>2</v>
      </c>
      <c r="Y7" s="101">
        <f>VLOOKUP($A7,Grig1!$A$6:$P$58,12,FALSE)</f>
        <v>1</v>
      </c>
      <c r="Z7" s="102">
        <f t="shared" si="10"/>
        <v>-0.5</v>
      </c>
      <c r="AA7" s="104">
        <f>X7/VLOOKUP($A7,Население!$A$1:$B$30,2,FALSE)*100000</f>
        <v>5.7977736549165124</v>
      </c>
      <c r="AB7" s="104">
        <f>Y7/VLOOKUP($A7,Население!$A$1:$B$30,2,FALSE)*100000</f>
        <v>2.8988868274582562</v>
      </c>
      <c r="AC7" s="102">
        <f t="shared" si="11"/>
        <v>-0.5</v>
      </c>
      <c r="AD7" s="104">
        <f>AA7/AA28</f>
        <v>1.1556861197558204</v>
      </c>
      <c r="AE7" s="104">
        <f>H7/H28</f>
        <v>1.628466805110474</v>
      </c>
    </row>
    <row r="8" spans="1:31" ht="18.75" x14ac:dyDescent="0.2">
      <c r="A8" s="99" t="str">
        <f>Grig1!A$17</f>
        <v>Вурнарский</v>
      </c>
      <c r="B8" s="100">
        <f>VLOOKUP($A8,Grig1!$A$6:$P$58,2,FALSE)</f>
        <v>37</v>
      </c>
      <c r="C8" s="101">
        <f>VLOOKUP($A8,Grig1!$A$6:$P$58,3,FALSE)</f>
        <v>30</v>
      </c>
      <c r="D8" s="102" t="str">
        <f t="shared" si="3"/>
        <v>-18,9</v>
      </c>
      <c r="E8" s="154">
        <f>VLOOKUP($A8,Grig1!$A$6:$P$58,5,FALSE)</f>
        <v>4361781</v>
      </c>
      <c r="F8" s="155">
        <f>VLOOKUP($A8,Grig1!$A$6:$P$58,6,FALSE)</f>
        <v>5429780</v>
      </c>
      <c r="G8" s="102" t="str">
        <f t="shared" si="4"/>
        <v>24,5</v>
      </c>
      <c r="H8" s="103">
        <f>B8/VLOOKUP($A8,Население!$A$1:$B$30,2,FALSE)*100000</f>
        <v>114.83194190124452</v>
      </c>
      <c r="I8" s="104">
        <f>C8/VLOOKUP($A8,Население!$A$1:$B$30,2,FALSE)*100000</f>
        <v>93.106979919927994</v>
      </c>
      <c r="J8" s="102">
        <f t="shared" si="5"/>
        <v>-0.18918918918918906</v>
      </c>
      <c r="K8" s="154">
        <f t="shared" si="12"/>
        <v>117885.97297297297</v>
      </c>
      <c r="L8" s="155">
        <f t="shared" si="12"/>
        <v>180992.66666666666</v>
      </c>
      <c r="M8" s="102">
        <f t="shared" si="6"/>
        <v>0.5353197848921496</v>
      </c>
      <c r="N8" s="103">
        <f>E8/VLOOKUP($A8,Население!$A$1:$B$30,2,FALSE)</f>
        <v>135.37075199404114</v>
      </c>
      <c r="O8" s="104">
        <f>F8/VLOOKUP($A8,Население!$A$1:$B$30,2,FALSE)</f>
        <v>168.51680580987554</v>
      </c>
      <c r="P8" s="102">
        <f t="shared" si="7"/>
        <v>0.24485387964228381</v>
      </c>
      <c r="Q8" s="100">
        <f>VLOOKUP($A8,Grig1!$A$6:$P$58,8,FALSE)</f>
        <v>3</v>
      </c>
      <c r="R8" s="101">
        <f>VLOOKUP($A8,Grig1!$A$6:$P$58,9,FALSE)</f>
        <v>3</v>
      </c>
      <c r="S8" s="102">
        <f t="shared" si="8"/>
        <v>0</v>
      </c>
      <c r="T8" s="103">
        <f>Q8/VLOOKUP($A8,Население!$A$1:$B$30,2,FALSE)*100000</f>
        <v>9.3106979919928001</v>
      </c>
      <c r="U8" s="104">
        <f>R8/VLOOKUP($A8,Население!$A$1:$B$30,2,FALSE)*100000</f>
        <v>9.3106979919928001</v>
      </c>
      <c r="V8" s="102">
        <f t="shared" si="9"/>
        <v>0</v>
      </c>
      <c r="W8" s="475">
        <f>T8/T28</f>
        <v>2.0187275706102099</v>
      </c>
      <c r="X8" s="101">
        <f>VLOOKUP($A8,Grig1!$A$6:$P$58,11,FALSE)</f>
        <v>3</v>
      </c>
      <c r="Y8" s="101">
        <f>VLOOKUP($A8,Grig1!$A$6:$P$58,12,FALSE)</f>
        <v>0</v>
      </c>
      <c r="Z8" s="102" t="str">
        <f t="shared" si="10"/>
        <v>--</v>
      </c>
      <c r="AA8" s="104">
        <f>X8/VLOOKUP($A8,Население!$A$1:$B$30,2,FALSE)*100000</f>
        <v>9.3106979919928001</v>
      </c>
      <c r="AB8" s="104">
        <f>Y8/VLOOKUP($A8,Население!$A$1:$B$30,2,FALSE)*100000</f>
        <v>0</v>
      </c>
      <c r="AC8" s="102" t="str">
        <f t="shared" si="11"/>
        <v>--</v>
      </c>
      <c r="AD8" s="104">
        <f>AA8/AA28</f>
        <v>1.8559269600771289</v>
      </c>
      <c r="AE8" s="104">
        <f>H8/H28</f>
        <v>1.8972800563355317</v>
      </c>
    </row>
    <row r="9" spans="1:31" ht="18.75" x14ac:dyDescent="0.2">
      <c r="A9" s="99" t="str">
        <f>Grig1!A$19</f>
        <v>Ибресинский</v>
      </c>
      <c r="B9" s="100">
        <f>VLOOKUP($A9,Grig1!$A$6:$P$58,2,FALSE)</f>
        <v>25</v>
      </c>
      <c r="C9" s="101">
        <f>VLOOKUP($A9,Grig1!$A$6:$P$58,3,FALSE)</f>
        <v>21</v>
      </c>
      <c r="D9" s="102" t="str">
        <f t="shared" si="3"/>
        <v>-16,0</v>
      </c>
      <c r="E9" s="154">
        <f>VLOOKUP($A9,Grig1!$A$6:$P$58,5,FALSE)</f>
        <v>3743928</v>
      </c>
      <c r="F9" s="155">
        <f>VLOOKUP($A9,Grig1!$A$6:$P$58,6,FALSE)</f>
        <v>5727487</v>
      </c>
      <c r="G9" s="102" t="str">
        <f t="shared" si="4"/>
        <v>53,0</v>
      </c>
      <c r="H9" s="103">
        <f>B9/VLOOKUP($A9,Население!$A$1:$B$30,2,FALSE)*100000</f>
        <v>106.29703643862409</v>
      </c>
      <c r="I9" s="104">
        <f>C9/VLOOKUP($A9,Население!$A$1:$B$30,2,FALSE)*100000</f>
        <v>89.289510608444232</v>
      </c>
      <c r="J9" s="102">
        <f t="shared" si="5"/>
        <v>-0.16</v>
      </c>
      <c r="K9" s="154">
        <f t="shared" si="12"/>
        <v>149757.12</v>
      </c>
      <c r="L9" s="155">
        <f t="shared" si="12"/>
        <v>272737.47619047621</v>
      </c>
      <c r="M9" s="102">
        <f t="shared" si="6"/>
        <v>0.82119872624738122</v>
      </c>
      <c r="N9" s="103">
        <f>E9/VLOOKUP($A9,Население!$A$1:$B$30,2,FALSE)</f>
        <v>159.18738041583401</v>
      </c>
      <c r="O9" s="104">
        <f>F9/VLOOKUP($A9,Население!$A$1:$B$30,2,FALSE)</f>
        <v>243.52595773629832</v>
      </c>
      <c r="P9" s="102">
        <f t="shared" si="7"/>
        <v>0.52980693004780022</v>
      </c>
      <c r="Q9" s="100">
        <f>VLOOKUP($A9,Grig1!$A$6:$P$58,8,FALSE)</f>
        <v>1</v>
      </c>
      <c r="R9" s="101">
        <f>VLOOKUP($A9,Grig1!$A$6:$P$58,9,FALSE)</f>
        <v>1</v>
      </c>
      <c r="S9" s="102">
        <f t="shared" si="8"/>
        <v>0</v>
      </c>
      <c r="T9" s="103">
        <f>Q9/VLOOKUP($A9,Население!$A$1:$B$30,2,FALSE)*100000</f>
        <v>4.2518814575449637</v>
      </c>
      <c r="U9" s="104">
        <f>R9/VLOOKUP($A9,Население!$A$1:$B$30,2,FALSE)*100000</f>
        <v>4.2518814575449637</v>
      </c>
      <c r="V9" s="102">
        <f t="shared" si="9"/>
        <v>0</v>
      </c>
      <c r="W9" s="475">
        <f>T9/T28</f>
        <v>0.92188473223962997</v>
      </c>
      <c r="X9" s="101">
        <f>VLOOKUP($A9,Grig1!$A$6:$P$58,11,FALSE)</f>
        <v>3</v>
      </c>
      <c r="Y9" s="101">
        <f>VLOOKUP($A9,Grig1!$A$6:$P$58,12,FALSE)</f>
        <v>3</v>
      </c>
      <c r="Z9" s="102">
        <f t="shared" si="10"/>
        <v>0</v>
      </c>
      <c r="AA9" s="104">
        <f>X9/VLOOKUP($A9,Население!$A$1:$B$30,2,FALSE)*100000</f>
        <v>12.75564437263489</v>
      </c>
      <c r="AB9" s="104">
        <f>Y9/VLOOKUP($A9,Население!$A$1:$B$30,2,FALSE)*100000</f>
        <v>12.75564437263489</v>
      </c>
      <c r="AC9" s="102">
        <f t="shared" si="11"/>
        <v>0</v>
      </c>
      <c r="AD9" s="104">
        <f>AA9/AA28</f>
        <v>2.5426175679512379</v>
      </c>
      <c r="AE9" s="104">
        <f>H9/H28</f>
        <v>1.7562643628896697</v>
      </c>
    </row>
    <row r="10" spans="1:31" ht="18.75" x14ac:dyDescent="0.2">
      <c r="A10" s="99" t="str">
        <f>Grig1!A$22</f>
        <v>Канашский</v>
      </c>
      <c r="B10" s="101">
        <f>Grig1!$B$61</f>
        <v>48</v>
      </c>
      <c r="C10" s="84">
        <f>Grig1!$C$61</f>
        <v>74</v>
      </c>
      <c r="D10" s="102" t="str">
        <f t="shared" si="3"/>
        <v>54,2</v>
      </c>
      <c r="E10" s="154">
        <f>Grig1!E61</f>
        <v>4780500</v>
      </c>
      <c r="F10" s="155">
        <f>Grig1!F61</f>
        <v>8360000</v>
      </c>
      <c r="G10" s="102" t="str">
        <f t="shared" si="4"/>
        <v>74,9</v>
      </c>
      <c r="H10" s="103">
        <f>B10/VLOOKUP($A10,Население!$A$1:$B$30,2,FALSE)*100000</f>
        <v>134.46131435934785</v>
      </c>
      <c r="I10" s="104">
        <f>B10/VLOOKUP($A10,Население!$A$1:$B$30,2,FALSE)*100000</f>
        <v>134.46131435934785</v>
      </c>
      <c r="J10" s="102">
        <f t="shared" si="5"/>
        <v>0</v>
      </c>
      <c r="K10" s="154">
        <f>E10/B10</f>
        <v>99593.75</v>
      </c>
      <c r="L10" s="155">
        <f>F10/B10</f>
        <v>174166.66666666666</v>
      </c>
      <c r="M10" s="102">
        <f t="shared" si="6"/>
        <v>0.74877104905344594</v>
      </c>
      <c r="N10" s="103">
        <f>E10/VLOOKUP($A10,Население!$A$1:$B$30,2,FALSE)</f>
        <v>133.91506526976301</v>
      </c>
      <c r="O10" s="104">
        <f>F10/VLOOKUP($A10,Население!$A$1:$B$30,2,FALSE)</f>
        <v>234.18678917586419</v>
      </c>
      <c r="P10" s="102">
        <f t="shared" si="7"/>
        <v>0.74877104905344627</v>
      </c>
      <c r="Q10" s="100">
        <f>VLOOKUP($A10,Grig1!$A$6:$P$58,8,FALSE)</f>
        <v>4</v>
      </c>
      <c r="R10" s="101">
        <f>VLOOKUP($A10,Grig1!$A$6:$P$58,9,FALSE)</f>
        <v>5</v>
      </c>
      <c r="S10" s="102">
        <f t="shared" si="8"/>
        <v>0.25</v>
      </c>
      <c r="T10" s="103">
        <f>Q10/VLOOKUP($A10,Население!$A$1:$B$30,2,FALSE)*100000</f>
        <v>11.205109529945654</v>
      </c>
      <c r="U10" s="104">
        <f>R10/VLOOKUP($A10,Население!$A$1:$B$30,2,FALSE)*100000</f>
        <v>14.006386912432069</v>
      </c>
      <c r="V10" s="102">
        <f t="shared" si="9"/>
        <v>0.25000000000000017</v>
      </c>
      <c r="W10" s="475">
        <f>T10/T28</f>
        <v>2.4294702243872321</v>
      </c>
      <c r="X10" s="101">
        <f>VLOOKUP($A10,Grig1!$A$6:$P$58,11,FALSE)</f>
        <v>2</v>
      </c>
      <c r="Y10" s="101">
        <f>VLOOKUP($A10,Grig1!$A$6:$P$58,12,FALSE)</f>
        <v>3</v>
      </c>
      <c r="Z10" s="102">
        <f t="shared" si="10"/>
        <v>0.5</v>
      </c>
      <c r="AA10" s="104">
        <f>X10/VLOOKUP($A10,Население!$A$1:$B$30,2,FALSE)*100000</f>
        <v>5.6025547649728269</v>
      </c>
      <c r="AB10" s="104">
        <f>Y10/VLOOKUP($A10,Население!$A$1:$B$30,2,FALSE)*100000</f>
        <v>8.4038321474592408</v>
      </c>
      <c r="AC10" s="102">
        <f t="shared" si="11"/>
        <v>0.5</v>
      </c>
      <c r="AD10" s="104">
        <f>AA10/AA28</f>
        <v>1.1167726031457441</v>
      </c>
      <c r="AE10" s="104">
        <f>H10/H28</f>
        <v>2.2216011142792342</v>
      </c>
    </row>
    <row r="11" spans="1:31" ht="18.75" x14ac:dyDescent="0.2">
      <c r="A11" s="99" t="str">
        <f>Grig1!A$24</f>
        <v>Козловский</v>
      </c>
      <c r="B11" s="100">
        <f>VLOOKUP($A11,Grig1!$A$6:$P$58,2,FALSE)</f>
        <v>23</v>
      </c>
      <c r="C11" s="101">
        <f>VLOOKUP($A11,Grig1!$A$6:$P$58,3,FALSE)</f>
        <v>15</v>
      </c>
      <c r="D11" s="102" t="str">
        <f t="shared" si="3"/>
        <v>-34,8</v>
      </c>
      <c r="E11" s="154">
        <f>VLOOKUP($A11,Grig1!$A$6:$P$58,5,FALSE)</f>
        <v>2788097</v>
      </c>
      <c r="F11" s="155">
        <f>VLOOKUP($A11,Grig1!$A$6:$P$58,6,FALSE)</f>
        <v>3525000</v>
      </c>
      <c r="G11" s="102" t="str">
        <f t="shared" si="4"/>
        <v>26,4</v>
      </c>
      <c r="H11" s="103">
        <f>B11/VLOOKUP($A11,Население!$A$1:$B$30,2,FALSE)*100000</f>
        <v>119.33793389716185</v>
      </c>
      <c r="I11" s="104">
        <f>C11/VLOOKUP($A11,Население!$A$1:$B$30,2,FALSE)*100000</f>
        <v>77.829087324235971</v>
      </c>
      <c r="J11" s="102">
        <f t="shared" si="5"/>
        <v>-0.34782608695652184</v>
      </c>
      <c r="K11" s="154">
        <f t="shared" si="12"/>
        <v>121221.60869565218</v>
      </c>
      <c r="L11" s="155">
        <f t="shared" si="12"/>
        <v>235000</v>
      </c>
      <c r="M11" s="102">
        <f t="shared" si="6"/>
        <v>0.93859826254251544</v>
      </c>
      <c r="N11" s="103">
        <f>E11/VLOOKUP($A11,Население!$A$1:$B$30,2,FALSE)</f>
        <v>144.66336325429356</v>
      </c>
      <c r="O11" s="104">
        <f>F11/VLOOKUP($A11,Население!$A$1:$B$30,2,FALSE)</f>
        <v>182.89835521195454</v>
      </c>
      <c r="P11" s="102">
        <f t="shared" si="7"/>
        <v>0.26430321470164075</v>
      </c>
      <c r="Q11" s="100">
        <f>VLOOKUP($A11,Grig1!$A$6:$P$58,8,FALSE)</f>
        <v>5</v>
      </c>
      <c r="R11" s="101">
        <f>VLOOKUP($A11,Grig1!$A$6:$P$58,9,FALSE)</f>
        <v>2</v>
      </c>
      <c r="S11" s="102">
        <f t="shared" si="8"/>
        <v>-0.6</v>
      </c>
      <c r="T11" s="103">
        <f>Q11/VLOOKUP($A11,Население!$A$1:$B$30,2,FALSE)*100000</f>
        <v>25.943029108078658</v>
      </c>
      <c r="U11" s="104">
        <f>R11/VLOOKUP($A11,Население!$A$1:$B$30,2,FALSE)*100000</f>
        <v>10.377211643231464</v>
      </c>
      <c r="V11" s="102">
        <f t="shared" si="9"/>
        <v>-0.6</v>
      </c>
      <c r="W11" s="475">
        <f>T11/T28</f>
        <v>5.6249175057188436</v>
      </c>
      <c r="X11" s="101">
        <f>VLOOKUP($A11,Grig1!$A$6:$P$58,11,FALSE)</f>
        <v>3</v>
      </c>
      <c r="Y11" s="101">
        <f>VLOOKUP($A11,Grig1!$A$6:$P$58,12,FALSE)</f>
        <v>1</v>
      </c>
      <c r="Z11" s="102">
        <f t="shared" si="10"/>
        <v>-0.66666666666666652</v>
      </c>
      <c r="AA11" s="104">
        <f>X11/VLOOKUP($A11,Население!$A$1:$B$30,2,FALSE)*100000</f>
        <v>15.565817464847196</v>
      </c>
      <c r="AB11" s="104">
        <f>Y11/VLOOKUP($A11,Население!$A$1:$B$30,2,FALSE)*100000</f>
        <v>5.1886058216157318</v>
      </c>
      <c r="AC11" s="102">
        <f t="shared" si="11"/>
        <v>-0.66666666666666652</v>
      </c>
      <c r="AD11" s="104">
        <f>AA11/AA28</f>
        <v>3.1027770757352342</v>
      </c>
      <c r="AE11" s="104">
        <f>H11/H28</f>
        <v>1.9717291042773815</v>
      </c>
    </row>
    <row r="12" spans="1:31" ht="18.75" x14ac:dyDescent="0.2">
      <c r="A12" s="99" t="str">
        <f>Grig1!A$26</f>
        <v>Комсомольский</v>
      </c>
      <c r="B12" s="100">
        <f>VLOOKUP($A12,Grig1!$A$6:$P$58,2,FALSE)</f>
        <v>23</v>
      </c>
      <c r="C12" s="101">
        <f>VLOOKUP($A12,Grig1!$A$6:$P$58,3,FALSE)</f>
        <v>23</v>
      </c>
      <c r="D12" s="102" t="str">
        <f t="shared" si="3"/>
        <v>0,0</v>
      </c>
      <c r="E12" s="154">
        <f>VLOOKUP($A12,Grig1!$A$6:$P$58,5,FALSE)</f>
        <v>7835887</v>
      </c>
      <c r="F12" s="155">
        <f>VLOOKUP($A12,Grig1!$A$6:$P$58,6,FALSE)</f>
        <v>3491326</v>
      </c>
      <c r="G12" s="102" t="str">
        <f t="shared" si="4"/>
        <v>-55,4</v>
      </c>
      <c r="H12" s="103">
        <f>B12/VLOOKUP($A12,Население!$A$1:$B$30,2,FALSE)*100000</f>
        <v>91.208311853114964</v>
      </c>
      <c r="I12" s="104">
        <f>C12/VLOOKUP($A12,Население!$A$1:$B$30,2,FALSE)*100000</f>
        <v>91.208311853114964</v>
      </c>
      <c r="J12" s="102">
        <f t="shared" si="5"/>
        <v>-1.4210854715202004E-16</v>
      </c>
      <c r="K12" s="154">
        <f t="shared" si="12"/>
        <v>340690.73913043475</v>
      </c>
      <c r="L12" s="155">
        <f t="shared" si="12"/>
        <v>151796.78260869565</v>
      </c>
      <c r="M12" s="102">
        <f t="shared" si="6"/>
        <v>-0.55444405974716071</v>
      </c>
      <c r="N12" s="103">
        <f>E12/VLOOKUP($A12,Население!$A$1:$B$30,2,FALSE)</f>
        <v>310.73827180076933</v>
      </c>
      <c r="O12" s="104">
        <f>F12/VLOOKUP($A12,Население!$A$1:$B$30,2,FALSE)</f>
        <v>138.45128286473411</v>
      </c>
      <c r="P12" s="102">
        <f t="shared" si="7"/>
        <v>-0.55444405974716071</v>
      </c>
      <c r="Q12" s="100">
        <f>VLOOKUP($A12,Grig1!$A$6:$P$58,8,FALSE)</f>
        <v>2</v>
      </c>
      <c r="R12" s="101">
        <f>VLOOKUP($A12,Grig1!$A$6:$P$58,9,FALSE)</f>
        <v>1</v>
      </c>
      <c r="S12" s="102">
        <f t="shared" si="8"/>
        <v>-0.5</v>
      </c>
      <c r="T12" s="103">
        <f>Q12/VLOOKUP($A12,Население!$A$1:$B$30,2,FALSE)*100000</f>
        <v>7.9311575524447786</v>
      </c>
      <c r="U12" s="104">
        <f>R12/VLOOKUP($A12,Население!$A$1:$B$30,2,FALSE)*100000</f>
        <v>3.9655787762223893</v>
      </c>
      <c r="V12" s="102">
        <f t="shared" si="9"/>
        <v>-0.5</v>
      </c>
      <c r="W12" s="475">
        <f>T12/T28</f>
        <v>1.7196182747784317</v>
      </c>
      <c r="X12" s="101">
        <f>VLOOKUP($A12,Grig1!$A$6:$P$58,11,FALSE)</f>
        <v>0</v>
      </c>
      <c r="Y12" s="101">
        <f>VLOOKUP($A12,Grig1!$A$6:$P$58,12,FALSE)</f>
        <v>1</v>
      </c>
      <c r="Z12" s="102" t="e">
        <f t="shared" si="10"/>
        <v>#DIV/0!</v>
      </c>
      <c r="AA12" s="104">
        <f>X12/VLOOKUP($A12,Население!$A$1:$B$30,2,FALSE)*100000</f>
        <v>0</v>
      </c>
      <c r="AB12" s="104">
        <f>Y12/VLOOKUP($A12,Население!$A$1:$B$30,2,FALSE)*100000</f>
        <v>3.9655787762223893</v>
      </c>
      <c r="AC12" s="102" t="e">
        <f t="shared" si="11"/>
        <v>#DIV/0!</v>
      </c>
      <c r="AD12" s="104">
        <f>AA12/AA28</f>
        <v>0</v>
      </c>
      <c r="AE12" s="104">
        <f>H12/H28</f>
        <v>1.5069649453439335</v>
      </c>
    </row>
    <row r="13" spans="1:31" ht="18.75" x14ac:dyDescent="0.2">
      <c r="A13" s="99" t="str">
        <f>Grig1!A$28</f>
        <v>Красноармейский</v>
      </c>
      <c r="B13" s="100">
        <f>VLOOKUP($A13,Grig1!$A$6:$P$58,2,FALSE)</f>
        <v>12</v>
      </c>
      <c r="C13" s="101">
        <f>VLOOKUP($A13,Grig1!$A$6:$P$58,3,FALSE)</f>
        <v>9</v>
      </c>
      <c r="D13" s="102" t="str">
        <f t="shared" si="3"/>
        <v>-25,0</v>
      </c>
      <c r="E13" s="154">
        <f>VLOOKUP($A13,Grig1!$A$6:$P$58,5,FALSE)</f>
        <v>1534000</v>
      </c>
      <c r="F13" s="155">
        <f>VLOOKUP($A13,Grig1!$A$6:$P$58,6,FALSE)</f>
        <v>834500</v>
      </c>
      <c r="G13" s="102" t="str">
        <f t="shared" si="4"/>
        <v>-45,6</v>
      </c>
      <c r="H13" s="103">
        <f>B13/VLOOKUP($A13,Население!$A$1:$B$30,2,FALSE)*100000</f>
        <v>84.039498564325228</v>
      </c>
      <c r="I13" s="104">
        <f>C13/VLOOKUP($A13,Население!$A$1:$B$30,2,FALSE)*100000</f>
        <v>63.029623923243925</v>
      </c>
      <c r="J13" s="102">
        <f t="shared" si="5"/>
        <v>-0.25</v>
      </c>
      <c r="K13" s="154">
        <f t="shared" si="12"/>
        <v>127833.33333333333</v>
      </c>
      <c r="L13" s="155">
        <f t="shared" si="12"/>
        <v>92722.222222222219</v>
      </c>
      <c r="M13" s="102">
        <f t="shared" si="6"/>
        <v>-0.27466318991742722</v>
      </c>
      <c r="N13" s="103">
        <f>E13/VLOOKUP($A13,Население!$A$1:$B$30,2,FALSE)</f>
        <v>107.43049233139575</v>
      </c>
      <c r="O13" s="104">
        <f>F13/VLOOKUP($A13,Население!$A$1:$B$30,2,FALSE)</f>
        <v>58.442467959941169</v>
      </c>
      <c r="P13" s="102">
        <f t="shared" si="7"/>
        <v>-0.45599739243807041</v>
      </c>
      <c r="Q13" s="100">
        <f>VLOOKUP($A13,Grig1!$A$6:$P$58,8,FALSE)</f>
        <v>0</v>
      </c>
      <c r="R13" s="101">
        <f>VLOOKUP($A13,Grig1!$A$6:$P$58,9,FALSE)</f>
        <v>0</v>
      </c>
      <c r="S13" s="102" t="str">
        <f t="shared" si="8"/>
        <v>--</v>
      </c>
      <c r="T13" s="103">
        <f>Q13/VLOOKUP($A13,Население!$A$1:$B$30,2,FALSE)*100000</f>
        <v>0</v>
      </c>
      <c r="U13" s="104">
        <f>R13/VLOOKUP($A13,Население!$A$1:$B$30,2,FALSE)*100000</f>
        <v>0</v>
      </c>
      <c r="V13" s="102" t="str">
        <f t="shared" si="9"/>
        <v>--</v>
      </c>
      <c r="W13" s="475">
        <f>T13/T28</f>
        <v>0</v>
      </c>
      <c r="X13" s="101">
        <f>VLOOKUP($A13,Grig1!$A$6:$P$58,11,FALSE)</f>
        <v>0</v>
      </c>
      <c r="Y13" s="101">
        <f>VLOOKUP($A13,Grig1!$A$6:$P$58,12,FALSE)</f>
        <v>0</v>
      </c>
      <c r="Z13" s="102" t="str">
        <f t="shared" si="10"/>
        <v>--</v>
      </c>
      <c r="AA13" s="104">
        <f>X13/VLOOKUP($A13,Население!$A$1:$B$30,2,FALSE)*100000</f>
        <v>0</v>
      </c>
      <c r="AB13" s="104">
        <f>Y13/VLOOKUP($A13,Население!$A$1:$B$30,2,FALSE)*100000</f>
        <v>0</v>
      </c>
      <c r="AC13" s="102" t="str">
        <f t="shared" si="11"/>
        <v>--</v>
      </c>
      <c r="AD13" s="104">
        <f>AA13/AA28</f>
        <v>0</v>
      </c>
      <c r="AE13" s="104">
        <f>H13/H28</f>
        <v>1.388520144574902</v>
      </c>
    </row>
    <row r="14" spans="1:31" ht="18.75" x14ac:dyDescent="0.2">
      <c r="A14" s="99" t="str">
        <f>Grig1!A$30</f>
        <v>Красночетайский</v>
      </c>
      <c r="B14" s="100">
        <f>VLOOKUP($A14,Grig1!$A$6:$P$58,2,FALSE)</f>
        <v>15</v>
      </c>
      <c r="C14" s="101">
        <f>VLOOKUP($A14,Grig1!$A$6:$P$58,3,FALSE)</f>
        <v>22</v>
      </c>
      <c r="D14" s="102" t="str">
        <f t="shared" si="3"/>
        <v>46,7</v>
      </c>
      <c r="E14" s="154">
        <f>VLOOKUP($A14,Grig1!$A$6:$P$58,5,FALSE)</f>
        <v>531000</v>
      </c>
      <c r="F14" s="155">
        <f>VLOOKUP($A14,Grig1!$A$6:$P$58,6,FALSE)</f>
        <v>3270000</v>
      </c>
      <c r="G14" s="102" t="str">
        <f t="shared" si="4"/>
        <v>515,8</v>
      </c>
      <c r="H14" s="103">
        <f>B14/VLOOKUP($A14,Население!$A$1:$B$30,2,FALSE)*100000</f>
        <v>103.97892693747401</v>
      </c>
      <c r="I14" s="104">
        <f>C14/VLOOKUP($A14,Население!$A$1:$B$30,2,FALSE)*100000</f>
        <v>152.50242617496187</v>
      </c>
      <c r="J14" s="102">
        <f t="shared" si="5"/>
        <v>0.46666666666666656</v>
      </c>
      <c r="K14" s="154">
        <f t="shared" si="12"/>
        <v>35400</v>
      </c>
      <c r="L14" s="155">
        <f t="shared" si="12"/>
        <v>148636.36363636365</v>
      </c>
      <c r="M14" s="102">
        <f t="shared" si="6"/>
        <v>3.1987673343605554</v>
      </c>
      <c r="N14" s="103">
        <f>E14/VLOOKUP($A14,Население!$A$1:$B$30,2,FALSE)</f>
        <v>36.808540135865798</v>
      </c>
      <c r="O14" s="104">
        <f>F14/VLOOKUP($A14,Население!$A$1:$B$30,2,FALSE)</f>
        <v>226.67406072369334</v>
      </c>
      <c r="P14" s="102">
        <f t="shared" si="7"/>
        <v>5.1581920903954801</v>
      </c>
      <c r="Q14" s="100">
        <f>VLOOKUP($A14,Grig1!$A$6:$P$58,8,FALSE)</f>
        <v>1</v>
      </c>
      <c r="R14" s="101">
        <f>VLOOKUP($A14,Grig1!$A$6:$P$58,9,FALSE)</f>
        <v>2</v>
      </c>
      <c r="S14" s="102">
        <f t="shared" si="8"/>
        <v>1</v>
      </c>
      <c r="T14" s="103">
        <f>Q14/VLOOKUP($A14,Население!$A$1:$B$30,2,FALSE)*100000</f>
        <v>6.9319284624982673</v>
      </c>
      <c r="U14" s="104">
        <f>R14/VLOOKUP($A14,Население!$A$1:$B$30,2,FALSE)*100000</f>
        <v>13.863856924996535</v>
      </c>
      <c r="V14" s="102">
        <f t="shared" si="9"/>
        <v>1</v>
      </c>
      <c r="W14" s="475">
        <f>T14/T28</f>
        <v>1.5029673518330693</v>
      </c>
      <c r="X14" s="101">
        <f>VLOOKUP($A14,Grig1!$A$6:$P$58,11,FALSE)</f>
        <v>0</v>
      </c>
      <c r="Y14" s="101">
        <f>VLOOKUP($A14,Grig1!$A$6:$P$58,12,FALSE)</f>
        <v>0</v>
      </c>
      <c r="Z14" s="102" t="str">
        <f t="shared" si="10"/>
        <v>--</v>
      </c>
      <c r="AA14" s="104">
        <f>X14/VLOOKUP($A14,Население!$A$1:$B$30,2,FALSE)*100000</f>
        <v>0</v>
      </c>
      <c r="AB14" s="104">
        <f>Y14/VLOOKUP($A14,Население!$A$1:$B$30,2,FALSE)*100000</f>
        <v>0</v>
      </c>
      <c r="AC14" s="102" t="str">
        <f t="shared" si="11"/>
        <v>--</v>
      </c>
      <c r="AD14" s="104">
        <f>AA14/AA28</f>
        <v>0</v>
      </c>
      <c r="AE14" s="104">
        <f>H14/H28</f>
        <v>1.7179640184722922</v>
      </c>
    </row>
    <row r="15" spans="1:31" ht="18.75" x14ac:dyDescent="0.2">
      <c r="A15" s="99" t="str">
        <f>Grig1!A$32</f>
        <v>Марпосадский</v>
      </c>
      <c r="B15" s="100">
        <f>VLOOKUP($A15,Grig1!$A$6:$P$58,2,FALSE)</f>
        <v>17</v>
      </c>
      <c r="C15" s="101">
        <f>VLOOKUP($A15,Grig1!$A$6:$P$58,3,FALSE)</f>
        <v>18</v>
      </c>
      <c r="D15" s="102" t="str">
        <f t="shared" si="3"/>
        <v>5,9</v>
      </c>
      <c r="E15" s="154">
        <f>VLOOKUP($A15,Grig1!$A$6:$P$58,5,FALSE)</f>
        <v>2221000</v>
      </c>
      <c r="F15" s="155">
        <f>VLOOKUP($A15,Grig1!$A$6:$P$58,6,FALSE)</f>
        <v>2640000</v>
      </c>
      <c r="G15" s="102" t="str">
        <f t="shared" si="4"/>
        <v>18,9</v>
      </c>
      <c r="H15" s="103">
        <f>B15/VLOOKUP($A15,Население!$A$1:$B$30,2,FALSE)*100000</f>
        <v>75.855606621748251</v>
      </c>
      <c r="I15" s="104">
        <f>C15/VLOOKUP($A15,Население!$A$1:$B$30,2,FALSE)*100000</f>
        <v>80.317701128909903</v>
      </c>
      <c r="J15" s="102">
        <f t="shared" si="5"/>
        <v>5.8823529411764636E-2</v>
      </c>
      <c r="K15" s="154">
        <f t="shared" si="12"/>
        <v>130647.05882352941</v>
      </c>
      <c r="L15" s="155">
        <f t="shared" si="12"/>
        <v>146666.66666666666</v>
      </c>
      <c r="M15" s="102">
        <f t="shared" si="6"/>
        <v>0.12261743959177536</v>
      </c>
      <c r="N15" s="103">
        <f>E15/VLOOKUP($A15,Население!$A$1:$B$30,2,FALSE)</f>
        <v>99.103119004060503</v>
      </c>
      <c r="O15" s="104">
        <f>F15/VLOOKUP($A15,Население!$A$1:$B$30,2,FALSE)</f>
        <v>117.79929498906787</v>
      </c>
      <c r="P15" s="102">
        <f t="shared" si="7"/>
        <v>0.18865375956776234</v>
      </c>
      <c r="Q15" s="100">
        <f>VLOOKUP($A15,Grig1!$A$6:$P$58,8,FALSE)</f>
        <v>4</v>
      </c>
      <c r="R15" s="101">
        <f>VLOOKUP($A15,Grig1!$A$6:$P$58,9,FALSE)</f>
        <v>2</v>
      </c>
      <c r="S15" s="102">
        <f t="shared" si="8"/>
        <v>-0.5</v>
      </c>
      <c r="T15" s="103">
        <f>Q15/VLOOKUP($A15,Население!$A$1:$B$30,2,FALSE)*100000</f>
        <v>17.848378028646646</v>
      </c>
      <c r="U15" s="104">
        <f>R15/VLOOKUP($A15,Население!$A$1:$B$30,2,FALSE)*100000</f>
        <v>8.9241890143233231</v>
      </c>
      <c r="V15" s="102">
        <f t="shared" si="9"/>
        <v>-0.5</v>
      </c>
      <c r="W15" s="475">
        <f>T15/T28</f>
        <v>3.8698508799328644</v>
      </c>
      <c r="X15" s="101">
        <f>VLOOKUP($A15,Grig1!$A$6:$P$58,11,FALSE)</f>
        <v>1</v>
      </c>
      <c r="Y15" s="101">
        <f>VLOOKUP($A15,Grig1!$A$6:$P$58,12,FALSE)</f>
        <v>0</v>
      </c>
      <c r="Z15" s="102" t="str">
        <f t="shared" si="10"/>
        <v>--</v>
      </c>
      <c r="AA15" s="104">
        <f>X15/VLOOKUP($A15,Население!$A$1:$B$30,2,FALSE)*100000</f>
        <v>4.4620945071616616</v>
      </c>
      <c r="AB15" s="104">
        <f>Y15/VLOOKUP($A15,Население!$A$1:$B$30,2,FALSE)*100000</f>
        <v>0</v>
      </c>
      <c r="AC15" s="102" t="str">
        <f t="shared" si="11"/>
        <v>--</v>
      </c>
      <c r="AD15" s="104">
        <f>AA15/AA28</f>
        <v>0.8894415328877957</v>
      </c>
      <c r="AE15" s="104">
        <f>H15/H28</f>
        <v>1.2533039781600757</v>
      </c>
    </row>
    <row r="16" spans="1:31" ht="18.75" x14ac:dyDescent="0.2">
      <c r="A16" s="99" t="str">
        <f>Grig1!A$34</f>
        <v>Моргаушский</v>
      </c>
      <c r="B16" s="100">
        <f>VLOOKUP($A16,Grig1!$A$6:$P$58,2,FALSE)</f>
        <v>33</v>
      </c>
      <c r="C16" s="101">
        <f>VLOOKUP($A16,Grig1!$A$6:$P$58,3,FALSE)</f>
        <v>34</v>
      </c>
      <c r="D16" s="102" t="str">
        <f t="shared" si="3"/>
        <v>3,0</v>
      </c>
      <c r="E16" s="154">
        <f>VLOOKUP($A16,Grig1!$A$6:$P$58,5,FALSE)</f>
        <v>3552400</v>
      </c>
      <c r="F16" s="155">
        <f>VLOOKUP($A16,Grig1!$A$6:$P$58,6,FALSE)</f>
        <v>5243000</v>
      </c>
      <c r="G16" s="102" t="str">
        <f t="shared" si="4"/>
        <v>47,6</v>
      </c>
      <c r="H16" s="103">
        <f>B16/VLOOKUP($A16,Население!$A$1:$B$30,2,FALSE)*100000</f>
        <v>99.972734708715805</v>
      </c>
      <c r="I16" s="104">
        <f>C16/VLOOKUP($A16,Население!$A$1:$B$30,2,FALSE)*100000</f>
        <v>103.00221151807084</v>
      </c>
      <c r="J16" s="102">
        <f t="shared" si="5"/>
        <v>3.0303030303030311E-2</v>
      </c>
      <c r="K16" s="154">
        <f t="shared" si="12"/>
        <v>107648.48484848485</v>
      </c>
      <c r="L16" s="155">
        <f t="shared" si="12"/>
        <v>154205.88235294117</v>
      </c>
      <c r="M16" s="102">
        <f t="shared" si="6"/>
        <v>0.43249468462083629</v>
      </c>
      <c r="N16" s="103">
        <f>E16/VLOOKUP($A16,Население!$A$1:$B$30,2,FALSE)</f>
        <v>107.61913417552789</v>
      </c>
      <c r="O16" s="104">
        <f>F16/VLOOKUP($A16,Население!$A$1:$B$30,2,FALSE)</f>
        <v>158.83546911448394</v>
      </c>
      <c r="P16" s="102">
        <f t="shared" si="7"/>
        <v>0.47590361445783147</v>
      </c>
      <c r="Q16" s="100">
        <f>VLOOKUP($A16,Grig1!$A$6:$P$58,8,FALSE)</f>
        <v>4</v>
      </c>
      <c r="R16" s="101">
        <f>VLOOKUP($A16,Grig1!$A$6:$P$58,9,FALSE)</f>
        <v>4</v>
      </c>
      <c r="S16" s="102">
        <f t="shared" si="8"/>
        <v>0</v>
      </c>
      <c r="T16" s="103">
        <f>Q16/VLOOKUP($A16,Население!$A$1:$B$30,2,FALSE)*100000</f>
        <v>12.117907237420098</v>
      </c>
      <c r="U16" s="104">
        <f>R16/VLOOKUP($A16,Население!$A$1:$B$30,2,FALSE)*100000</f>
        <v>12.117907237420098</v>
      </c>
      <c r="V16" s="102">
        <f t="shared" si="9"/>
        <v>1.4210854715202004E-16</v>
      </c>
      <c r="W16" s="475">
        <f>T16/T28</f>
        <v>2.6273812617824057</v>
      </c>
      <c r="X16" s="101">
        <f>VLOOKUP($A16,Grig1!$A$6:$P$58,11,FALSE)</f>
        <v>4</v>
      </c>
      <c r="Y16" s="101">
        <f>VLOOKUP($A16,Grig1!$A$6:$P$58,12,FALSE)</f>
        <v>0</v>
      </c>
      <c r="Z16" s="102" t="str">
        <f t="shared" si="10"/>
        <v>--</v>
      </c>
      <c r="AA16" s="104">
        <f>X16/VLOOKUP($A16,Население!$A$1:$B$30,2,FALSE)*100000</f>
        <v>12.117907237420098</v>
      </c>
      <c r="AB16" s="104">
        <f>Y16/VLOOKUP($A16,Население!$A$1:$B$30,2,FALSE)*100000</f>
        <v>0</v>
      </c>
      <c r="AC16" s="102" t="str">
        <f t="shared" si="11"/>
        <v>--</v>
      </c>
      <c r="AD16" s="104">
        <f>AA16/AA28</f>
        <v>2.415495676154793</v>
      </c>
      <c r="AE16" s="104">
        <f>H16/H28</f>
        <v>1.6517727785470273</v>
      </c>
    </row>
    <row r="17" spans="1:31" ht="18.75" x14ac:dyDescent="0.2">
      <c r="A17" s="99" t="str">
        <f>Grig1!A$37</f>
        <v>г.Новочебоксарск</v>
      </c>
      <c r="B17" s="100">
        <f>VLOOKUP($A17,Grig1!$A$6:$P$58,2,FALSE)</f>
        <v>28</v>
      </c>
      <c r="C17" s="101">
        <f>VLOOKUP($A17,Grig1!$A$6:$P$58,3,FALSE)</f>
        <v>50</v>
      </c>
      <c r="D17" s="102" t="str">
        <f t="shared" si="3"/>
        <v>78,6</v>
      </c>
      <c r="E17" s="154">
        <f>VLOOKUP($A17,Grig1!$A$6:$P$58,5,FALSE)</f>
        <v>4400546</v>
      </c>
      <c r="F17" s="155">
        <f>VLOOKUP($A17,Grig1!$A$6:$P$58,6,FALSE)</f>
        <v>4944595</v>
      </c>
      <c r="G17" s="102" t="str">
        <f t="shared" si="4"/>
        <v>12,4</v>
      </c>
      <c r="H17" s="103">
        <f>B17/VLOOKUP($A17,Население!$A$1:$B$30,2,FALSE)*100000</f>
        <v>22.209531061615586</v>
      </c>
      <c r="I17" s="104">
        <f>C17/VLOOKUP($A17,Население!$A$1:$B$30,2,FALSE)*100000</f>
        <v>39.659876895742116</v>
      </c>
      <c r="J17" s="102">
        <f t="shared" si="5"/>
        <v>0.78571428571428581</v>
      </c>
      <c r="K17" s="154">
        <f t="shared" si="12"/>
        <v>157162.35714285713</v>
      </c>
      <c r="L17" s="155">
        <f t="shared" si="12"/>
        <v>98891.9</v>
      </c>
      <c r="M17" s="102">
        <f t="shared" si="6"/>
        <v>-0.37076599131107818</v>
      </c>
      <c r="N17" s="103">
        <f>E17/VLOOKUP($A17,Население!$A$1:$B$30,2,FALSE)</f>
        <v>34.905022526810079</v>
      </c>
      <c r="O17" s="104">
        <f>F17/VLOOKUP($A17,Население!$A$1:$B$30,2,FALSE)</f>
        <v>39.220405799860394</v>
      </c>
      <c r="P17" s="102">
        <f t="shared" si="7"/>
        <v>0.12363215837307451</v>
      </c>
      <c r="Q17" s="100">
        <f>VLOOKUP($A17,Grig1!$A$6:$P$58,8,FALSE)</f>
        <v>1</v>
      </c>
      <c r="R17" s="101">
        <f>VLOOKUP($A17,Grig1!$A$6:$P$58,9,FALSE)</f>
        <v>1</v>
      </c>
      <c r="S17" s="102">
        <f t="shared" si="8"/>
        <v>0</v>
      </c>
      <c r="T17" s="103">
        <f>Q17/VLOOKUP($A17,Население!$A$1:$B$30,2,FALSE)*100000</f>
        <v>0.79319753791484238</v>
      </c>
      <c r="U17" s="104">
        <f>R17/VLOOKUP($A17,Население!$A$1:$B$30,2,FALSE)*100000</f>
        <v>0.79319753791484238</v>
      </c>
      <c r="V17" s="102">
        <f t="shared" si="9"/>
        <v>-1.4210854715202004E-16</v>
      </c>
      <c r="W17" s="475">
        <f>T17/T28</f>
        <v>0.17197955943860538</v>
      </c>
      <c r="X17" s="101">
        <f>VLOOKUP($A17,Grig1!$A$6:$P$58,11,FALSE)</f>
        <v>3</v>
      </c>
      <c r="Y17" s="101">
        <f>VLOOKUP($A17,Grig1!$A$6:$P$58,12,FALSE)</f>
        <v>11</v>
      </c>
      <c r="Z17" s="102">
        <f t="shared" si="10"/>
        <v>2.666666666666667</v>
      </c>
      <c r="AA17" s="104">
        <f>X17/VLOOKUP($A17,Население!$A$1:$B$30,2,FALSE)*100000</f>
        <v>2.3795926137445269</v>
      </c>
      <c r="AB17" s="104">
        <f>Y17/VLOOKUP($A17,Население!$A$1:$B$30,2,FALSE)*100000</f>
        <v>8.725172917063265</v>
      </c>
      <c r="AC17" s="102">
        <f t="shared" si="11"/>
        <v>2.666666666666667</v>
      </c>
      <c r="AD17" s="104">
        <f>AA17/AA28</f>
        <v>0.47433072038712137</v>
      </c>
      <c r="AE17" s="104">
        <f>H17/H28</f>
        <v>0.36695103858825434</v>
      </c>
    </row>
    <row r="18" spans="1:31" ht="18.75" x14ac:dyDescent="0.2">
      <c r="A18" s="99" t="str">
        <f>Grig1!A$38</f>
        <v>Порецкий</v>
      </c>
      <c r="B18" s="100">
        <f>VLOOKUP($A18,Grig1!$A$6:$P$58,2,FALSE)</f>
        <v>13</v>
      </c>
      <c r="C18" s="101">
        <f>VLOOKUP($A18,Grig1!$A$6:$P$58,3,FALSE)</f>
        <v>14</v>
      </c>
      <c r="D18" s="102" t="str">
        <f t="shared" si="3"/>
        <v>7,7</v>
      </c>
      <c r="E18" s="154">
        <f>VLOOKUP($A18,Grig1!$A$6:$P$58,5,FALSE)</f>
        <v>1065700</v>
      </c>
      <c r="F18" s="155">
        <f>VLOOKUP($A18,Grig1!$A$6:$P$58,6,FALSE)</f>
        <v>4295500</v>
      </c>
      <c r="G18" s="102" t="str">
        <f t="shared" si="4"/>
        <v>303,1</v>
      </c>
      <c r="H18" s="103">
        <f>B18/VLOOKUP($A18,Население!$A$1:$B$30,2,FALSE)*100000</f>
        <v>103.12549579565287</v>
      </c>
      <c r="I18" s="104">
        <f>C18/VLOOKUP($A18,Население!$A$1:$B$30,2,FALSE)*100000</f>
        <v>111.05822624147231</v>
      </c>
      <c r="J18" s="102">
        <f t="shared" si="5"/>
        <v>7.6923076923076789E-2</v>
      </c>
      <c r="K18" s="154">
        <f t="shared" si="12"/>
        <v>81976.923076923078</v>
      </c>
      <c r="L18" s="155">
        <f t="shared" si="12"/>
        <v>306821.42857142858</v>
      </c>
      <c r="M18" s="102">
        <f t="shared" si="6"/>
        <v>2.7427780533251114</v>
      </c>
      <c r="N18" s="103">
        <f>E18/VLOOKUP($A18,Население!$A$1:$B$30,2,FALSE)</f>
        <v>84.539108361097888</v>
      </c>
      <c r="O18" s="104">
        <f>F18/VLOOKUP($A18,Население!$A$1:$B$30,2,FALSE)</f>
        <v>340.7504363001745</v>
      </c>
      <c r="P18" s="102">
        <f t="shared" si="7"/>
        <v>3.0306840574270426</v>
      </c>
      <c r="Q18" s="100">
        <f>VLOOKUP($A18,Grig1!$A$6:$P$58,8,FALSE)</f>
        <v>0</v>
      </c>
      <c r="R18" s="101">
        <f>VLOOKUP($A18,Grig1!$A$6:$P$58,9,FALSE)</f>
        <v>1</v>
      </c>
      <c r="S18" s="102" t="e">
        <f t="shared" si="8"/>
        <v>#DIV/0!</v>
      </c>
      <c r="T18" s="103">
        <f>Q18/VLOOKUP($A18,Население!$A$1:$B$30,2,FALSE)*100000</f>
        <v>0</v>
      </c>
      <c r="U18" s="104">
        <f>R18/VLOOKUP($A18,Население!$A$1:$B$30,2,FALSE)*100000</f>
        <v>7.9327304458194519</v>
      </c>
      <c r="V18" s="102" t="e">
        <f t="shared" si="9"/>
        <v>#DIV/0!</v>
      </c>
      <c r="W18" s="475">
        <f>T18/T28</f>
        <v>0</v>
      </c>
      <c r="X18" s="101">
        <f>VLOOKUP($A18,Grig1!$A$6:$P$58,11,FALSE)</f>
        <v>1</v>
      </c>
      <c r="Y18" s="101">
        <f>VLOOKUP($A18,Grig1!$A$6:$P$58,12,FALSE)</f>
        <v>2</v>
      </c>
      <c r="Z18" s="102">
        <f t="shared" si="10"/>
        <v>1</v>
      </c>
      <c r="AA18" s="104">
        <f>X18/VLOOKUP($A18,Население!$A$1:$B$30,2,FALSE)*100000</f>
        <v>7.9327304458194519</v>
      </c>
      <c r="AB18" s="104">
        <f>Y18/VLOOKUP($A18,Население!$A$1:$B$30,2,FALSE)*100000</f>
        <v>15.865460891638904</v>
      </c>
      <c r="AC18" s="102">
        <f t="shared" si="11"/>
        <v>1</v>
      </c>
      <c r="AD18" s="104">
        <f>AA18/AA28</f>
        <v>1.5812529108002848</v>
      </c>
      <c r="AE18" s="104">
        <f>H18/H28</f>
        <v>1.7038634306216971</v>
      </c>
    </row>
    <row r="19" spans="1:31" ht="18.75" x14ac:dyDescent="0.2">
      <c r="A19" s="99" t="str">
        <f>Grig1!A$40</f>
        <v>Урмарский</v>
      </c>
      <c r="B19" s="100">
        <f>VLOOKUP($A19,Grig1!$A$6:$P$58,2,FALSE)</f>
        <v>20</v>
      </c>
      <c r="C19" s="101">
        <f>VLOOKUP($A19,Grig1!$A$6:$P$58,3,FALSE)</f>
        <v>24</v>
      </c>
      <c r="D19" s="102" t="str">
        <f t="shared" si="3"/>
        <v>20,0</v>
      </c>
      <c r="E19" s="154">
        <f>VLOOKUP($A19,Grig1!$A$6:$P$58,5,FALSE)</f>
        <v>2736242</v>
      </c>
      <c r="F19" s="155">
        <f>VLOOKUP($A19,Grig1!$A$6:$P$58,6,FALSE)</f>
        <v>4055000</v>
      </c>
      <c r="G19" s="102" t="str">
        <f t="shared" si="4"/>
        <v>48,2</v>
      </c>
      <c r="H19" s="103">
        <f>B19/VLOOKUP($A19,Население!$A$1:$B$30,2,FALSE)*100000</f>
        <v>86.986778009742522</v>
      </c>
      <c r="I19" s="104">
        <f>C19/VLOOKUP($A19,Население!$A$1:$B$30,2,FALSE)*100000</f>
        <v>104.38413361169101</v>
      </c>
      <c r="J19" s="102">
        <f t="shared" si="5"/>
        <v>0.19999999999999984</v>
      </c>
      <c r="K19" s="154">
        <f t="shared" si="12"/>
        <v>136812.1</v>
      </c>
      <c r="L19" s="155">
        <f t="shared" si="12"/>
        <v>168958.33333333334</v>
      </c>
      <c r="M19" s="102">
        <f t="shared" si="6"/>
        <v>0.23496630293178269</v>
      </c>
      <c r="N19" s="103">
        <f>E19/VLOOKUP($A19,Население!$A$1:$B$30,2,FALSE)</f>
        <v>119.00843771746695</v>
      </c>
      <c r="O19" s="104">
        <f>F19/VLOOKUP($A19,Население!$A$1:$B$30,2,FALSE)</f>
        <v>176.36569241475297</v>
      </c>
      <c r="P19" s="102">
        <f t="shared" si="7"/>
        <v>0.48195956351813918</v>
      </c>
      <c r="Q19" s="100">
        <f>VLOOKUP($A19,Grig1!$A$6:$P$58,8,FALSE)</f>
        <v>1</v>
      </c>
      <c r="R19" s="101">
        <f>VLOOKUP($A19,Grig1!$A$6:$P$58,9,FALSE)</f>
        <v>3</v>
      </c>
      <c r="S19" s="102">
        <f t="shared" si="8"/>
        <v>2</v>
      </c>
      <c r="T19" s="103">
        <f>Q19/VLOOKUP($A19,Население!$A$1:$B$30,2,FALSE)*100000</f>
        <v>4.3493389004871261</v>
      </c>
      <c r="U19" s="104">
        <f>R19/VLOOKUP($A19,Население!$A$1:$B$30,2,FALSE)*100000</f>
        <v>13.048016701461377</v>
      </c>
      <c r="V19" s="102">
        <f t="shared" si="9"/>
        <v>1.9999999999999993</v>
      </c>
      <c r="W19" s="475">
        <f>T19/T28</f>
        <v>0.94301526694258253</v>
      </c>
      <c r="X19" s="101">
        <f>VLOOKUP($A19,Grig1!$A$6:$P$58,11,FALSE)</f>
        <v>1</v>
      </c>
      <c r="Y19" s="101">
        <f>VLOOKUP($A19,Grig1!$A$6:$P$58,12,FALSE)</f>
        <v>2</v>
      </c>
      <c r="Z19" s="102">
        <f t="shared" si="10"/>
        <v>1</v>
      </c>
      <c r="AA19" s="104">
        <f>X19/VLOOKUP($A19,Население!$A$1:$B$30,2,FALSE)*100000</f>
        <v>4.3493389004871261</v>
      </c>
      <c r="AB19" s="104">
        <f>Y19/VLOOKUP($A19,Население!$A$1:$B$30,2,FALSE)*100000</f>
        <v>8.6986778009742522</v>
      </c>
      <c r="AC19" s="102">
        <f t="shared" si="11"/>
        <v>1</v>
      </c>
      <c r="AD19" s="104">
        <f>AA19/AA28</f>
        <v>0.86696564864076153</v>
      </c>
      <c r="AE19" s="104">
        <f>H19/H28</f>
        <v>1.4372157811691768</v>
      </c>
    </row>
    <row r="20" spans="1:31" ht="18.75" x14ac:dyDescent="0.2">
      <c r="A20" s="99" t="str">
        <f>Grig1!A$42</f>
        <v>Цивильский</v>
      </c>
      <c r="B20" s="100">
        <f>VLOOKUP($A20,Grig1!$A$6:$P$58,2,FALSE)</f>
        <v>39</v>
      </c>
      <c r="C20" s="101">
        <f>VLOOKUP($A20,Grig1!$A$6:$P$58,3,FALSE)</f>
        <v>27</v>
      </c>
      <c r="D20" s="102" t="str">
        <f t="shared" si="3"/>
        <v>-30,8</v>
      </c>
      <c r="E20" s="154">
        <f>VLOOKUP($A20,Grig1!$A$6:$P$58,5,FALSE)</f>
        <v>4217000</v>
      </c>
      <c r="F20" s="155">
        <f>VLOOKUP($A20,Grig1!$A$6:$P$58,6,FALSE)</f>
        <v>4650100</v>
      </c>
      <c r="G20" s="102" t="str">
        <f t="shared" si="4"/>
        <v>10,3</v>
      </c>
      <c r="H20" s="103">
        <f>B20/VLOOKUP($A20,Население!$A$1:$B$30,2,FALSE)*100000</f>
        <v>108.26416456153014</v>
      </c>
      <c r="I20" s="104">
        <f>C20/VLOOKUP($A20,Население!$A$1:$B$30,2,FALSE)*100000</f>
        <v>74.952113927213162</v>
      </c>
      <c r="J20" s="102">
        <f t="shared" si="5"/>
        <v>-0.30769230769230788</v>
      </c>
      <c r="K20" s="154">
        <f t="shared" si="12"/>
        <v>108128.20512820513</v>
      </c>
      <c r="L20" s="155">
        <f t="shared" si="12"/>
        <v>172225.92592592593</v>
      </c>
      <c r="M20" s="102">
        <f t="shared" si="6"/>
        <v>0.59279371854662344</v>
      </c>
      <c r="N20" s="103">
        <f>E20/VLOOKUP($A20,Население!$A$1:$B$30,2,FALSE)</f>
        <v>117.06409793742887</v>
      </c>
      <c r="O20" s="104">
        <f>F20/VLOOKUP($A20,Население!$A$1:$B$30,2,FALSE)</f>
        <v>129.08697221219776</v>
      </c>
      <c r="P20" s="102">
        <f t="shared" si="7"/>
        <v>0.10270334360920075</v>
      </c>
      <c r="Q20" s="100">
        <f>VLOOKUP($A20,Grig1!$A$6:$P$58,8,FALSE)</f>
        <v>1</v>
      </c>
      <c r="R20" s="101">
        <f>VLOOKUP($A20,Grig1!$A$6:$P$58,9,FALSE)</f>
        <v>2</v>
      </c>
      <c r="S20" s="102">
        <f t="shared" si="8"/>
        <v>1</v>
      </c>
      <c r="T20" s="103">
        <f>Q20/VLOOKUP($A20,Население!$A$1:$B$30,2,FALSE)*100000</f>
        <v>2.7760042195264139</v>
      </c>
      <c r="U20" s="104">
        <f>R20/VLOOKUP($A20,Население!$A$1:$B$30,2,FALSE)*100000</f>
        <v>5.5520084390528277</v>
      </c>
      <c r="V20" s="102">
        <f t="shared" si="9"/>
        <v>1</v>
      </c>
      <c r="W20" s="475">
        <f>T20/T28</f>
        <v>0.60188787767659158</v>
      </c>
      <c r="X20" s="101">
        <f>VLOOKUP($A20,Grig1!$A$6:$P$58,11,FALSE)</f>
        <v>4</v>
      </c>
      <c r="Y20" s="101">
        <f>VLOOKUP($A20,Grig1!$A$6:$P$58,12,FALSE)</f>
        <v>7</v>
      </c>
      <c r="Z20" s="102">
        <f t="shared" si="10"/>
        <v>0.75</v>
      </c>
      <c r="AA20" s="104">
        <f>X20/VLOOKUP($A20,Население!$A$1:$B$30,2,FALSE)*100000</f>
        <v>11.104016878105655</v>
      </c>
      <c r="AB20" s="104">
        <f>Y20/VLOOKUP($A20,Население!$A$1:$B$30,2,FALSE)*100000</f>
        <v>19.432029536684894</v>
      </c>
      <c r="AC20" s="102">
        <f t="shared" si="11"/>
        <v>0.74999999999999967</v>
      </c>
      <c r="AD20" s="104">
        <f>AA20/AA28</f>
        <v>2.2133941308106921</v>
      </c>
      <c r="AE20" s="104">
        <f>H20/H28</f>
        <v>1.7887657113302986</v>
      </c>
    </row>
    <row r="21" spans="1:31" ht="18.75" x14ac:dyDescent="0.2">
      <c r="A21" s="99" t="str">
        <f>Grig1!A$44</f>
        <v>Чебоксарский</v>
      </c>
      <c r="B21" s="100">
        <f>VLOOKUP($A21,Grig1!$A$6:$P$58,2,FALSE)</f>
        <v>57</v>
      </c>
      <c r="C21" s="101">
        <f>VLOOKUP($A21,Grig1!$A$6:$P$58,3,FALSE)</f>
        <v>55</v>
      </c>
      <c r="D21" s="102" t="str">
        <f t="shared" si="3"/>
        <v>-3,5</v>
      </c>
      <c r="E21" s="154">
        <f>VLOOKUP($A21,Grig1!$A$6:$P$58,5,FALSE)</f>
        <v>14510418</v>
      </c>
      <c r="F21" s="155">
        <f>VLOOKUP($A21,Grig1!$A$6:$P$58,6,FALSE)</f>
        <v>7905161</v>
      </c>
      <c r="G21" s="102" t="str">
        <f t="shared" si="4"/>
        <v>-45,5</v>
      </c>
      <c r="H21" s="103">
        <f>B21/VLOOKUP($A21,Население!$A$1:$B$30,2,FALSE)*100000</f>
        <v>91.578034124867457</v>
      </c>
      <c r="I21" s="104">
        <f>C21/VLOOKUP($A21,Население!$A$1:$B$30,2,FALSE)*100000</f>
        <v>88.364769769608941</v>
      </c>
      <c r="J21" s="102">
        <f t="shared" si="5"/>
        <v>-3.5087719298245758E-2</v>
      </c>
      <c r="K21" s="154">
        <f t="shared" si="12"/>
        <v>254568.73684210525</v>
      </c>
      <c r="L21" s="155">
        <f t="shared" si="12"/>
        <v>143730.20000000001</v>
      </c>
      <c r="M21" s="102">
        <f t="shared" si="6"/>
        <v>-0.43539728490247476</v>
      </c>
      <c r="N21" s="103">
        <f>E21/VLOOKUP($A21,Население!$A$1:$B$30,2,FALSE)</f>
        <v>233.12904469650718</v>
      </c>
      <c r="O21" s="104">
        <f>F21/VLOOKUP($A21,Население!$A$1:$B$30,2,FALSE)</f>
        <v>127.00686031939847</v>
      </c>
      <c r="P21" s="102">
        <f t="shared" si="7"/>
        <v>-0.45520790648484422</v>
      </c>
      <c r="Q21" s="100">
        <f>VLOOKUP($A21,Grig1!$A$6:$P$58,8,FALSE)</f>
        <v>6</v>
      </c>
      <c r="R21" s="101">
        <f>VLOOKUP($A21,Grig1!$A$6:$P$58,9,FALSE)</f>
        <v>3</v>
      </c>
      <c r="S21" s="102">
        <f t="shared" si="8"/>
        <v>-0.5</v>
      </c>
      <c r="T21" s="103">
        <f>Q21/VLOOKUP($A21,Население!$A$1:$B$30,2,FALSE)*100000</f>
        <v>9.6397930657755211</v>
      </c>
      <c r="U21" s="104">
        <f>R21/VLOOKUP($A21,Население!$A$1:$B$30,2,FALSE)*100000</f>
        <v>4.8198965328877605</v>
      </c>
      <c r="V21" s="102">
        <f t="shared" si="9"/>
        <v>-0.5</v>
      </c>
      <c r="W21" s="475">
        <f>T21/T28</f>
        <v>2.0900813294120231</v>
      </c>
      <c r="X21" s="101">
        <f>VLOOKUP($A21,Grig1!$A$6:$P$58,11,FALSE)</f>
        <v>4</v>
      </c>
      <c r="Y21" s="101">
        <f>VLOOKUP($A21,Grig1!$A$6:$P$58,12,FALSE)</f>
        <v>2</v>
      </c>
      <c r="Z21" s="102">
        <f t="shared" si="10"/>
        <v>-0.5</v>
      </c>
      <c r="AA21" s="104">
        <f>X21/VLOOKUP($A21,Население!$A$1:$B$30,2,FALSE)*100000</f>
        <v>6.4265287105170144</v>
      </c>
      <c r="AB21" s="104">
        <f>Y21/VLOOKUP($A21,Население!$A$1:$B$30,2,FALSE)*100000</f>
        <v>3.2132643552585072</v>
      </c>
      <c r="AC21" s="102">
        <f t="shared" si="11"/>
        <v>-0.49999999999999994</v>
      </c>
      <c r="AD21" s="104">
        <f>AA21/AA28</f>
        <v>1.2810175889944662</v>
      </c>
      <c r="AE21" s="104">
        <f>H21/H28</f>
        <v>1.5130735827227417</v>
      </c>
    </row>
    <row r="22" spans="1:31" ht="18.75" x14ac:dyDescent="0.2">
      <c r="A22" s="99" t="str">
        <f>Grig1!A$46</f>
        <v>Шемуршинский</v>
      </c>
      <c r="B22" s="100">
        <f>VLOOKUP($A22,Grig1!$A$6:$P$58,2,FALSE)</f>
        <v>9</v>
      </c>
      <c r="C22" s="101">
        <f>VLOOKUP($A22,Grig1!$A$6:$P$58,3,FALSE)</f>
        <v>16</v>
      </c>
      <c r="D22" s="102" t="str">
        <f t="shared" si="3"/>
        <v>77,8</v>
      </c>
      <c r="E22" s="154">
        <f>VLOOKUP($A22,Grig1!$A$6:$P$58,5,FALSE)</f>
        <v>906000</v>
      </c>
      <c r="F22" s="155">
        <f>VLOOKUP($A22,Grig1!$A$6:$P$58,6,FALSE)</f>
        <v>2231136</v>
      </c>
      <c r="G22" s="102" t="str">
        <f t="shared" si="4"/>
        <v>146,3</v>
      </c>
      <c r="H22" s="103">
        <f>B22/VLOOKUP($A22,Население!$A$1:$B$30,2,FALSE)*100000</f>
        <v>71.604741825125316</v>
      </c>
      <c r="I22" s="104">
        <f>C22/VLOOKUP($A22,Население!$A$1:$B$30,2,FALSE)*100000</f>
        <v>127.29731880022277</v>
      </c>
      <c r="J22" s="102">
        <f t="shared" si="5"/>
        <v>0.77777777777777746</v>
      </c>
      <c r="K22" s="154">
        <f t="shared" si="12"/>
        <v>100666.66666666667</v>
      </c>
      <c r="L22" s="155">
        <f t="shared" si="12"/>
        <v>139446</v>
      </c>
      <c r="M22" s="102">
        <f t="shared" si="6"/>
        <v>0.38522516556291381</v>
      </c>
      <c r="N22" s="103">
        <f>E22/VLOOKUP($A22,Население!$A$1:$B$30,2,FALSE)</f>
        <v>72.08210677062614</v>
      </c>
      <c r="O22" s="104">
        <f>F22/VLOOKUP($A22,Население!$A$1:$B$30,2,FALSE)</f>
        <v>177.51101917415863</v>
      </c>
      <c r="P22" s="102">
        <f t="shared" si="7"/>
        <v>1.4626225165562914</v>
      </c>
      <c r="Q22" s="100">
        <f>VLOOKUP($A22,Grig1!$A$6:$P$58,8,FALSE)</f>
        <v>1</v>
      </c>
      <c r="R22" s="101">
        <f>VLOOKUP($A22,Grig1!$A$6:$P$58,9,FALSE)</f>
        <v>2</v>
      </c>
      <c r="S22" s="102">
        <f t="shared" si="8"/>
        <v>1</v>
      </c>
      <c r="T22" s="103">
        <f>Q22/VLOOKUP($A22,Население!$A$1:$B$30,2,FALSE)*100000</f>
        <v>7.956082425013923</v>
      </c>
      <c r="U22" s="104">
        <f>R22/VLOOKUP($A22,Население!$A$1:$B$30,2,FALSE)*100000</f>
        <v>15.912164850027846</v>
      </c>
      <c r="V22" s="102">
        <f t="shared" si="9"/>
        <v>1</v>
      </c>
      <c r="W22" s="475">
        <f>T22/T28</f>
        <v>1.7250224375482421</v>
      </c>
      <c r="X22" s="101">
        <f>VLOOKUP($A22,Grig1!$A$6:$P$58,11,FALSE)</f>
        <v>1</v>
      </c>
      <c r="Y22" s="101">
        <f>VLOOKUP($A22,Grig1!$A$6:$P$58,12,FALSE)</f>
        <v>1</v>
      </c>
      <c r="Z22" s="102">
        <f t="shared" si="10"/>
        <v>0</v>
      </c>
      <c r="AA22" s="104">
        <f>X22/VLOOKUP($A22,Население!$A$1:$B$30,2,FALSE)*100000</f>
        <v>7.956082425013923</v>
      </c>
      <c r="AB22" s="104">
        <f>Y22/VLOOKUP($A22,Население!$A$1:$B$30,2,FALSE)*100000</f>
        <v>7.956082425013923</v>
      </c>
      <c r="AC22" s="102">
        <f t="shared" si="11"/>
        <v>0</v>
      </c>
      <c r="AD22" s="104">
        <f>AA22/AA28</f>
        <v>1.5859077248427391</v>
      </c>
      <c r="AE22" s="104">
        <f>H22/H28</f>
        <v>1.1830702011527388</v>
      </c>
    </row>
    <row r="23" spans="1:31" ht="18.75" x14ac:dyDescent="0.2">
      <c r="A23" s="99" t="str">
        <f>Grig1!A$48</f>
        <v>Шумерлинский</v>
      </c>
      <c r="B23" s="101">
        <f>Grig1!$B$62</f>
        <v>40</v>
      </c>
      <c r="C23" s="84">
        <f>Grig1!$C$62</f>
        <v>33</v>
      </c>
      <c r="D23" s="102" t="str">
        <f t="shared" si="3"/>
        <v>-17,5</v>
      </c>
      <c r="E23" s="154">
        <f>Grig1!E62</f>
        <v>6400750</v>
      </c>
      <c r="F23" s="155">
        <f>Grig1!F62</f>
        <v>4501500</v>
      </c>
      <c r="G23" s="102" t="str">
        <f t="shared" si="4"/>
        <v>-29,7</v>
      </c>
      <c r="H23" s="103">
        <f>B23/VLOOKUP($A23,Население!$A$1:$B$30,2,FALSE)*100000</f>
        <v>438.26010737372627</v>
      </c>
      <c r="I23" s="104">
        <f>B23/VLOOKUP($A23,Население!$A$1:$B$30,2,FALSE)*100000</f>
        <v>438.26010737372627</v>
      </c>
      <c r="J23" s="102">
        <f t="shared" si="5"/>
        <v>0</v>
      </c>
      <c r="K23" s="154">
        <f>E23/B23</f>
        <v>160018.75</v>
      </c>
      <c r="L23" s="155">
        <f>F23/B23</f>
        <v>112537.5</v>
      </c>
      <c r="M23" s="102">
        <f t="shared" si="6"/>
        <v>-0.29672304026871854</v>
      </c>
      <c r="N23" s="103">
        <f>E23/VLOOKUP($A23,Население!$A$1:$B$30,2,FALSE)</f>
        <v>701.29834556809465</v>
      </c>
      <c r="O23" s="104">
        <f>F23/VLOOKUP($A23,Население!$A$1:$B$30,2,FALSE)</f>
        <v>493.20696833570724</v>
      </c>
      <c r="P23" s="102">
        <f t="shared" si="7"/>
        <v>-0.29672304026871843</v>
      </c>
      <c r="Q23" s="100">
        <f>VLOOKUP($A23,Grig1!$A$6:$P$58,8,FALSE)</f>
        <v>0</v>
      </c>
      <c r="R23" s="101">
        <f>VLOOKUP($A23,Grig1!$A$6:$P$58,9,FALSE)</f>
        <v>3</v>
      </c>
      <c r="S23" s="102" t="e">
        <f t="shared" si="8"/>
        <v>#DIV/0!</v>
      </c>
      <c r="T23" s="103">
        <f>Q23/VLOOKUP($A23,Население!$A$1:$B$30,2,FALSE)*100000</f>
        <v>0</v>
      </c>
      <c r="U23" s="104">
        <f>R23/VLOOKUP($A23,Население!$A$1:$B$30,2,FALSE)*100000</f>
        <v>32.86950805302947</v>
      </c>
      <c r="V23" s="102" t="e">
        <f t="shared" si="9"/>
        <v>#DIV/0!</v>
      </c>
      <c r="W23" s="475">
        <f>T23/T28</f>
        <v>0</v>
      </c>
      <c r="X23" s="101">
        <f>VLOOKUP($A23,Grig1!$A$6:$P$58,11,FALSE)</f>
        <v>0</v>
      </c>
      <c r="Y23" s="101">
        <f>VLOOKUP($A23,Grig1!$A$6:$P$58,12,FALSE)</f>
        <v>2</v>
      </c>
      <c r="Z23" s="102" t="e">
        <f t="shared" si="10"/>
        <v>#DIV/0!</v>
      </c>
      <c r="AA23" s="104">
        <f>X23/VLOOKUP($A23,Население!$A$1:$B$30,2,FALSE)*100000</f>
        <v>0</v>
      </c>
      <c r="AB23" s="104">
        <f>Y23/VLOOKUP($A23,Население!$A$1:$B$30,2,FALSE)*100000</f>
        <v>21.913005368686317</v>
      </c>
      <c r="AC23" s="102" t="e">
        <f t="shared" si="11"/>
        <v>#DIV/0!</v>
      </c>
      <c r="AD23" s="104">
        <f>AA23/AA28</f>
        <v>0</v>
      </c>
      <c r="AE23" s="104">
        <f>H23/H28</f>
        <v>7.2410354422355017</v>
      </c>
    </row>
    <row r="24" spans="1:31" ht="18.75" x14ac:dyDescent="0.2">
      <c r="A24" s="99" t="str">
        <f>Grig1!A$50</f>
        <v>Ядринский</v>
      </c>
      <c r="B24" s="100">
        <f>VLOOKUP($A24,Grig1!$A$6:$P$58,2,FALSE)</f>
        <v>29</v>
      </c>
      <c r="C24" s="101">
        <f>VLOOKUP($A24,Grig1!$A$6:$P$58,3,FALSE)</f>
        <v>25</v>
      </c>
      <c r="D24" s="102" t="str">
        <f t="shared" si="3"/>
        <v>-13,8</v>
      </c>
      <c r="E24" s="154">
        <f>VLOOKUP($A24,Grig1!$A$6:$P$58,5,FALSE)</f>
        <v>6138347</v>
      </c>
      <c r="F24" s="155">
        <f>VLOOKUP($A24,Grig1!$A$6:$P$58,6,FALSE)</f>
        <v>3005000</v>
      </c>
      <c r="G24" s="102" t="str">
        <f t="shared" si="4"/>
        <v>-51,0</v>
      </c>
      <c r="H24" s="103">
        <f>B24/VLOOKUP($A24,Население!$A$1:$B$30,2,FALSE)*100000</f>
        <v>111.26031076155763</v>
      </c>
      <c r="I24" s="104">
        <f>C24/VLOOKUP($A24,Население!$A$1:$B$30,2,FALSE)*100000</f>
        <v>95.914061001342787</v>
      </c>
      <c r="J24" s="102">
        <f t="shared" si="5"/>
        <v>-0.13793103448275873</v>
      </c>
      <c r="K24" s="154">
        <f t="shared" si="12"/>
        <v>211667.13793103449</v>
      </c>
      <c r="L24" s="155">
        <f t="shared" si="12"/>
        <v>120200</v>
      </c>
      <c r="M24" s="102">
        <f t="shared" si="6"/>
        <v>-0.43212724858988916</v>
      </c>
      <c r="N24" s="103">
        <f>E24/VLOOKUP($A24,Население!$A$1:$B$30,2,FALSE)</f>
        <v>235.50151544216382</v>
      </c>
      <c r="O24" s="104">
        <f>F24/VLOOKUP($A24,Население!$A$1:$B$30,2,FALSE)</f>
        <v>115.28870132361403</v>
      </c>
      <c r="P24" s="102">
        <f t="shared" si="7"/>
        <v>-0.51045452464645613</v>
      </c>
      <c r="Q24" s="100">
        <f>VLOOKUP($A24,Grig1!$A$6:$P$58,8,FALSE)</f>
        <v>1</v>
      </c>
      <c r="R24" s="101">
        <f>VLOOKUP($A24,Grig1!$A$6:$P$58,9,FALSE)</f>
        <v>4</v>
      </c>
      <c r="S24" s="102">
        <f t="shared" si="8"/>
        <v>3</v>
      </c>
      <c r="T24" s="103">
        <f>Q24/VLOOKUP($A24,Население!$A$1:$B$30,2,FALSE)*100000</f>
        <v>3.8365624400537115</v>
      </c>
      <c r="U24" s="104">
        <f>R24/VLOOKUP($A24,Население!$A$1:$B$30,2,FALSE)*100000</f>
        <v>15.346249760214846</v>
      </c>
      <c r="V24" s="102">
        <f t="shared" si="9"/>
        <v>3</v>
      </c>
      <c r="W24" s="475">
        <f>T24/T28</f>
        <v>0.83183606436001745</v>
      </c>
      <c r="X24" s="101">
        <f>VLOOKUP($A24,Grig1!$A$6:$P$58,11,FALSE)</f>
        <v>1</v>
      </c>
      <c r="Y24" s="101">
        <f>VLOOKUP($A24,Grig1!$A$6:$P$58,12,FALSE)</f>
        <v>3</v>
      </c>
      <c r="Z24" s="102">
        <f t="shared" si="10"/>
        <v>2</v>
      </c>
      <c r="AA24" s="104">
        <f>X24/VLOOKUP($A24,Население!$A$1:$B$30,2,FALSE)*100000</f>
        <v>3.8365624400537115</v>
      </c>
      <c r="AB24" s="104">
        <f>Y24/VLOOKUP($A24,Население!$A$1:$B$30,2,FALSE)*100000</f>
        <v>11.509687320161136</v>
      </c>
      <c r="AC24" s="102">
        <f t="shared" si="11"/>
        <v>2.0000000000000004</v>
      </c>
      <c r="AD24" s="104">
        <f>AA24/AA28</f>
        <v>0.76475251078259687</v>
      </c>
      <c r="AE24" s="104">
        <f>H24/H28</f>
        <v>1.8382687358116432</v>
      </c>
    </row>
    <row r="25" spans="1:31" ht="18.75" x14ac:dyDescent="0.2">
      <c r="A25" s="99" t="str">
        <f>Grig1!A$52</f>
        <v>Яльчикский</v>
      </c>
      <c r="B25" s="100">
        <f>VLOOKUP($A25,Grig1!$A$6:$P$58,2,FALSE)</f>
        <v>14</v>
      </c>
      <c r="C25" s="101">
        <f>VLOOKUP($A25,Grig1!$A$6:$P$58,3,FALSE)</f>
        <v>15</v>
      </c>
      <c r="D25" s="102" t="str">
        <f t="shared" si="3"/>
        <v>7,1</v>
      </c>
      <c r="E25" s="154">
        <f>VLOOKUP($A25,Grig1!$A$6:$P$58,5,FALSE)</f>
        <v>784000</v>
      </c>
      <c r="F25" s="155">
        <f>VLOOKUP($A25,Grig1!$A$6:$P$58,6,FALSE)</f>
        <v>1374528</v>
      </c>
      <c r="G25" s="102" t="str">
        <f t="shared" si="4"/>
        <v>75,3</v>
      </c>
      <c r="H25" s="103">
        <f>B25/VLOOKUP($A25,Население!$A$1:$B$30,2,FALSE)*100000</f>
        <v>80.789428126262337</v>
      </c>
      <c r="I25" s="104">
        <f>C25/VLOOKUP($A25,Население!$A$1:$B$30,2,FALSE)*100000</f>
        <v>86.560101563852498</v>
      </c>
      <c r="J25" s="102">
        <f t="shared" si="5"/>
        <v>7.1428571428571383E-2</v>
      </c>
      <c r="K25" s="154">
        <f t="shared" si="12"/>
        <v>56000</v>
      </c>
      <c r="L25" s="155">
        <f t="shared" si="12"/>
        <v>91635.199999999997</v>
      </c>
      <c r="M25" s="102">
        <f t="shared" si="6"/>
        <v>0.6363428571428571</v>
      </c>
      <c r="N25" s="103">
        <f>E25/VLOOKUP($A25,Население!$A$1:$B$30,2,FALSE)</f>
        <v>45.242079750706907</v>
      </c>
      <c r="O25" s="104">
        <f>F25/VLOOKUP($A25,Население!$A$1:$B$30,2,FALSE)</f>
        <v>79.319522188239361</v>
      </c>
      <c r="P25" s="102">
        <f t="shared" si="7"/>
        <v>0.75322448979591827</v>
      </c>
      <c r="Q25" s="100">
        <f>VLOOKUP($A25,Grig1!$A$6:$P$58,8,FALSE)</f>
        <v>2</v>
      </c>
      <c r="R25" s="101">
        <f>VLOOKUP($A25,Grig1!$A$6:$P$58,9,FALSE)</f>
        <v>5</v>
      </c>
      <c r="S25" s="102">
        <f t="shared" si="8"/>
        <v>1.5</v>
      </c>
      <c r="T25" s="103">
        <f>Q25/VLOOKUP($A25,Население!$A$1:$B$30,2,FALSE)*100000</f>
        <v>11.541346875180334</v>
      </c>
      <c r="U25" s="104">
        <f>R25/VLOOKUP($A25,Население!$A$1:$B$30,2,FALSE)*100000</f>
        <v>28.853367187950834</v>
      </c>
      <c r="V25" s="102">
        <f t="shared" si="9"/>
        <v>1.5</v>
      </c>
      <c r="W25" s="475">
        <f>T25/T28</f>
        <v>2.5023725567019284</v>
      </c>
      <c r="X25" s="101">
        <f>VLOOKUP($A25,Grig1!$A$6:$P$58,11,FALSE)</f>
        <v>2</v>
      </c>
      <c r="Y25" s="101">
        <f>VLOOKUP($A25,Grig1!$A$6:$P$58,12,FALSE)</f>
        <v>0</v>
      </c>
      <c r="Z25" s="102" t="str">
        <f t="shared" si="10"/>
        <v>--</v>
      </c>
      <c r="AA25" s="104">
        <f>X25/VLOOKUP($A25,Население!$A$1:$B$30,2,FALSE)*100000</f>
        <v>11.541346875180334</v>
      </c>
      <c r="AB25" s="104">
        <f>Y25/VLOOKUP($A25,Население!$A$1:$B$30,2,FALSE)*100000</f>
        <v>0</v>
      </c>
      <c r="AC25" s="102" t="str">
        <f t="shared" si="11"/>
        <v>--</v>
      </c>
      <c r="AD25" s="104">
        <f>AA25/AA28</f>
        <v>2.3005683182582248</v>
      </c>
      <c r="AE25" s="104">
        <f>H25/H28</f>
        <v>1.3348217247647989</v>
      </c>
    </row>
    <row r="26" spans="1:31" ht="18.75" x14ac:dyDescent="0.2">
      <c r="A26" s="99" t="str">
        <f>Grig1!A$54</f>
        <v>Янтиковский</v>
      </c>
      <c r="B26" s="100">
        <f>VLOOKUP($A26,Grig1!$A$6:$P$58,2,FALSE)</f>
        <v>8</v>
      </c>
      <c r="C26" s="101">
        <f>VLOOKUP($A26,Grig1!$A$6:$P$58,3,FALSE)</f>
        <v>11</v>
      </c>
      <c r="D26" s="102" t="str">
        <f t="shared" si="3"/>
        <v>37,5</v>
      </c>
      <c r="E26" s="154">
        <f>VLOOKUP($A26,Grig1!$A$6:$P$58,5,FALSE)</f>
        <v>938800</v>
      </c>
      <c r="F26" s="155">
        <f>VLOOKUP($A26,Grig1!$A$6:$P$58,6,FALSE)</f>
        <v>5335325</v>
      </c>
      <c r="G26" s="102" t="str">
        <f t="shared" si="4"/>
        <v>468,3</v>
      </c>
      <c r="H26" s="103">
        <f>B26/VLOOKUP($A26,Население!$A$1:$B$30,2,FALSE)*100000</f>
        <v>53.988392495613446</v>
      </c>
      <c r="I26" s="104">
        <f>C26/VLOOKUP($A26,Население!$A$1:$B$30,2,FALSE)*100000</f>
        <v>74.234039681468488</v>
      </c>
      <c r="J26" s="102">
        <f t="shared" si="5"/>
        <v>0.375</v>
      </c>
      <c r="K26" s="154">
        <f t="shared" si="12"/>
        <v>117350</v>
      </c>
      <c r="L26" s="155">
        <f t="shared" si="12"/>
        <v>485029.54545454547</v>
      </c>
      <c r="M26" s="102">
        <f t="shared" si="6"/>
        <v>3.1331874346360928</v>
      </c>
      <c r="N26" s="103">
        <f>E26/VLOOKUP($A26,Население!$A$1:$B$30,2,FALSE)</f>
        <v>63.355378593602374</v>
      </c>
      <c r="O26" s="104">
        <f>F26/VLOOKUP($A26,Население!$A$1:$B$30,2,FALSE)</f>
        <v>360.05702523957348</v>
      </c>
      <c r="P26" s="102">
        <f t="shared" si="7"/>
        <v>4.6831327226246273</v>
      </c>
      <c r="Q26" s="100">
        <f>VLOOKUP($A26,Grig1!$A$6:$P$58,8,FALSE)</f>
        <v>3</v>
      </c>
      <c r="R26" s="101">
        <f>VLOOKUP($A26,Grig1!$A$6:$P$58,9,FALSE)</f>
        <v>1</v>
      </c>
      <c r="S26" s="102">
        <f t="shared" si="8"/>
        <v>-0.66666666666666652</v>
      </c>
      <c r="T26" s="103">
        <f>Q26/VLOOKUP($A26,Население!$A$1:$B$30,2,FALSE)*100000</f>
        <v>20.245647185855042</v>
      </c>
      <c r="U26" s="104">
        <f>R26/VLOOKUP($A26,Население!$A$1:$B$30,2,FALSE)*100000</f>
        <v>6.7485490619516808</v>
      </c>
      <c r="V26" s="102">
        <f t="shared" si="9"/>
        <v>-0.66666666666666652</v>
      </c>
      <c r="W26" s="475">
        <f>T26/T28</f>
        <v>4.3896221522898884</v>
      </c>
      <c r="X26" s="101">
        <f>VLOOKUP($A26,Grig1!$A$6:$P$58,11,FALSE)</f>
        <v>0</v>
      </c>
      <c r="Y26" s="101">
        <f>VLOOKUP($A26,Grig1!$A$6:$P$58,12,FALSE)</f>
        <v>0</v>
      </c>
      <c r="Z26" s="102" t="str">
        <f t="shared" si="10"/>
        <v>--</v>
      </c>
      <c r="AA26" s="104">
        <f>X26/VLOOKUP($A26,Население!$A$1:$B$30,2,FALSE)*100000</f>
        <v>0</v>
      </c>
      <c r="AB26" s="104">
        <f>Y26/VLOOKUP($A26,Население!$A$1:$B$30,2,FALSE)*100000</f>
        <v>0</v>
      </c>
      <c r="AC26" s="102" t="str">
        <f t="shared" si="11"/>
        <v>--</v>
      </c>
      <c r="AD26" s="104">
        <f>AA26/AA28</f>
        <v>0</v>
      </c>
      <c r="AE26" s="104">
        <f>H26/H28</f>
        <v>0.89200877960971026</v>
      </c>
    </row>
    <row r="27" spans="1:31" ht="19.5" thickBot="1" x14ac:dyDescent="0.25">
      <c r="A27" s="105" t="str">
        <f>Grig1!A$6</f>
        <v>г.Чебоксары</v>
      </c>
      <c r="B27" s="106">
        <f>VLOOKUP($A27,Grig1!$A$6:$P$58,2,FALSE)</f>
        <v>153</v>
      </c>
      <c r="C27" s="107">
        <f>VLOOKUP($A27,Grig1!$A$6:$P$58,3,FALSE)</f>
        <v>162</v>
      </c>
      <c r="D27" s="108" t="str">
        <f t="shared" si="3"/>
        <v>5,9</v>
      </c>
      <c r="E27" s="156">
        <f>VLOOKUP($A27,Grig1!$A$6:$P$58,5,FALSE)</f>
        <v>16416473</v>
      </c>
      <c r="F27" s="157">
        <f>VLOOKUP($A27,Grig1!$A$6:$P$58,6,FALSE)</f>
        <v>22023412</v>
      </c>
      <c r="G27" s="108" t="str">
        <f t="shared" si="4"/>
        <v>34,2</v>
      </c>
      <c r="H27" s="109">
        <f>B27/VLOOKUP($A27,Население!$A$1:$B$30,2,FALSE)*100000</f>
        <v>31.2565117732861</v>
      </c>
      <c r="I27" s="110">
        <f>C27/VLOOKUP($A27,Население!$A$1:$B$30,2,FALSE)*100000</f>
        <v>33.095130112891162</v>
      </c>
      <c r="J27" s="102">
        <f t="shared" si="5"/>
        <v>5.8823529411764636E-2</v>
      </c>
      <c r="K27" s="156">
        <f>E27/B27</f>
        <v>107297.2091503268</v>
      </c>
      <c r="L27" s="157">
        <f>F27/C27</f>
        <v>135946.98765432098</v>
      </c>
      <c r="M27" s="102">
        <f t="shared" si="6"/>
        <v>0.26701326838664502</v>
      </c>
      <c r="N27" s="109">
        <f>E27/VLOOKUP($A27,Население!$A$1:$B$30,2,FALSE)</f>
        <v>33.537364810479311</v>
      </c>
      <c r="O27" s="110">
        <f>F27/VLOOKUP($A27,Население!$A$1:$B$30,2,FALSE)</f>
        <v>44.99183244875362</v>
      </c>
      <c r="P27" s="102">
        <f t="shared" si="7"/>
        <v>0.34154346064468283</v>
      </c>
      <c r="Q27" s="106">
        <f>VLOOKUP($A27,Grig1!$A$6:$P$58,8,FALSE)</f>
        <v>9</v>
      </c>
      <c r="R27" s="107">
        <f>VLOOKUP($A27,Grig1!$A$6:$P$58,9,FALSE)</f>
        <v>7</v>
      </c>
      <c r="S27" s="102">
        <f t="shared" si="8"/>
        <v>-0.22222222222222229</v>
      </c>
      <c r="T27" s="109">
        <f>Q27/VLOOKUP($A27,Население!$A$1:$B$30,2,FALSE)*100000</f>
        <v>1.8386183396050648</v>
      </c>
      <c r="U27" s="110">
        <f>R27/VLOOKUP($A27,Население!$A$1:$B$30,2,FALSE)*100000</f>
        <v>1.4300364863594948</v>
      </c>
      <c r="V27" s="102">
        <f t="shared" si="9"/>
        <v>-0.22222222222222229</v>
      </c>
      <c r="W27" s="476">
        <f>T27/T28</f>
        <v>0.39864568018233931</v>
      </c>
      <c r="X27" s="101">
        <f>VLOOKUP($A27,Grig1!$A$6:$P$58,11,FALSE)</f>
        <v>18</v>
      </c>
      <c r="Y27" s="101">
        <f>VLOOKUP($A27,Grig1!$A$6:$P$58,12,FALSE)</f>
        <v>21</v>
      </c>
      <c r="Z27" s="102">
        <f t="shared" si="10"/>
        <v>0.16666666666666671</v>
      </c>
      <c r="AA27" s="104">
        <f>X27/VLOOKUP($A27,Население!$A$1:$B$30,2,FALSE)*100000</f>
        <v>3.6772366792101296</v>
      </c>
      <c r="AB27" s="104">
        <f>Y27/VLOOKUP($A27,Население!$A$1:$B$30,2,FALSE)*100000</f>
        <v>4.2901094590784847</v>
      </c>
      <c r="AC27" s="102">
        <f t="shared" si="11"/>
        <v>0.16666666666666671</v>
      </c>
      <c r="AD27" s="104">
        <f>AA27/AA28</f>
        <v>0.73299367001268856</v>
      </c>
      <c r="AE27" s="104">
        <f>H27/H28</f>
        <v>0.51642735841803056</v>
      </c>
    </row>
    <row r="28" spans="1:31" ht="19.5" thickBot="1" x14ac:dyDescent="0.25">
      <c r="A28" s="111" t="str">
        <f>Grig1!A$58</f>
        <v>По республике</v>
      </c>
      <c r="B28" s="589">
        <f>Grig1!B58</f>
        <v>748</v>
      </c>
      <c r="C28" s="590">
        <f>Grig1!C58</f>
        <v>778</v>
      </c>
      <c r="D28" s="114" t="str">
        <f t="shared" si="3"/>
        <v>4,0</v>
      </c>
      <c r="E28" s="158">
        <f>Grig1!E58</f>
        <v>104171269</v>
      </c>
      <c r="F28" s="159">
        <f>Grig1!F58</f>
        <v>119476550</v>
      </c>
      <c r="G28" s="114" t="str">
        <f t="shared" si="4"/>
        <v>14,7</v>
      </c>
      <c r="H28" s="115">
        <f>B28/VLOOKUP($A28,Население!$A$1:$B$30,2,FALSE)*100000</f>
        <v>60.524507975398564</v>
      </c>
      <c r="I28" s="116">
        <f>C28/VLOOKUP($A28,Население!$A$1:$B$30,2,FALSE)*100000</f>
        <v>62.95196150382364</v>
      </c>
      <c r="J28" s="102">
        <f t="shared" si="5"/>
        <v>4.0106951871657796E-2</v>
      </c>
      <c r="K28" s="158">
        <f t="shared" si="12"/>
        <v>139266.40240641712</v>
      </c>
      <c r="L28" s="159">
        <f t="shared" si="12"/>
        <v>153568.83033419022</v>
      </c>
      <c r="M28" s="102">
        <f t="shared" si="6"/>
        <v>0.1026983370047482</v>
      </c>
      <c r="N28" s="115">
        <f>E28/VLOOKUP($A28,Население!$A$1:$B$30,2,FALSE)</f>
        <v>84.29030483152259</v>
      </c>
      <c r="O28" s="116">
        <f>F28/VLOOKUP($A28,Население!$A$1:$B$30,2,FALSE)</f>
        <v>96.674590953851677</v>
      </c>
      <c r="P28" s="102">
        <f t="shared" si="7"/>
        <v>0.14692420613595472</v>
      </c>
      <c r="Q28" s="112">
        <f>VLOOKUP($A28,Grig1!$A$6:$P$58,8,FALSE)</f>
        <v>57</v>
      </c>
      <c r="R28" s="113">
        <f>VLOOKUP($A28,Grig1!$A$6:$P$58,9,FALSE)</f>
        <v>59</v>
      </c>
      <c r="S28" s="102">
        <f t="shared" si="8"/>
        <v>3.5087719298245619E-2</v>
      </c>
      <c r="T28" s="115">
        <f>Q28/VLOOKUP($A28,Население!$A$1:$B$30,2,FALSE)*100000</f>
        <v>4.6121617040076455</v>
      </c>
      <c r="U28" s="116">
        <f>R28/VLOOKUP($A28,Население!$A$1:$B$30,2,FALSE)*100000</f>
        <v>4.7739919392359838</v>
      </c>
      <c r="V28" s="102">
        <f t="shared" si="9"/>
        <v>3.5087719298245619E-2</v>
      </c>
      <c r="W28" s="476">
        <f>T28/T28</f>
        <v>1</v>
      </c>
      <c r="X28" s="101">
        <f>VLOOKUP($A28,Grig1!$A$6:$P$58,11,FALSE)</f>
        <v>62</v>
      </c>
      <c r="Y28" s="101">
        <f>VLOOKUP($A28,Grig1!$A$6:$P$58,12,FALSE)</f>
        <v>72</v>
      </c>
      <c r="Z28" s="102">
        <f t="shared" si="10"/>
        <v>0.16129032258064513</v>
      </c>
      <c r="AA28" s="104">
        <f>X28/VLOOKUP($A28,Население!$A$1:$B$30,2,FALSE)*100000</f>
        <v>5.0167372920784903</v>
      </c>
      <c r="AB28" s="104">
        <f>Y28/VLOOKUP($A28,Население!$A$1:$B$30,2,FALSE)*100000</f>
        <v>5.8258884682201826</v>
      </c>
      <c r="AC28" s="102">
        <f t="shared" si="11"/>
        <v>0.16129032258064513</v>
      </c>
      <c r="AD28" s="104">
        <f>AA28/AA28</f>
        <v>1</v>
      </c>
      <c r="AE28" s="104">
        <f>H28/H28</f>
        <v>1</v>
      </c>
    </row>
  </sheetData>
  <mergeCells count="3">
    <mergeCell ref="T3:V3"/>
    <mergeCell ref="X3:Z3"/>
    <mergeCell ref="AA3:AC3"/>
  </mergeCells>
  <pageMargins left="0.39370078740157483" right="0.39370078740157483" top="0.78740157480314965" bottom="0.39370078740157483" header="0.51181102362204722" footer="0.51181102362204722"/>
  <pageSetup paperSize="9" scale="3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39"/>
  <sheetViews>
    <sheetView view="pageBreakPreview" zoomScaleNormal="100" zoomScaleSheetLayoutView="100" workbookViewId="0">
      <selection activeCell="F29" sqref="F29"/>
    </sheetView>
  </sheetViews>
  <sheetFormatPr defaultColWidth="9.140625" defaultRowHeight="12" x14ac:dyDescent="0.2"/>
  <cols>
    <col min="1" max="1" width="34.140625" style="193" bestFit="1" customWidth="1"/>
    <col min="2" max="2" width="5" style="3" bestFit="1" customWidth="1"/>
    <col min="3" max="3" width="5.140625" style="3" bestFit="1" customWidth="1"/>
    <col min="4" max="4" width="6" style="3" bestFit="1" customWidth="1"/>
    <col min="5" max="5" width="9.85546875" style="3" bestFit="1" customWidth="1"/>
    <col min="6" max="6" width="11.42578125" style="3" customWidth="1"/>
    <col min="7" max="7" width="6.42578125" style="3" bestFit="1" customWidth="1"/>
    <col min="8" max="8" width="5.140625" style="3" bestFit="1" customWidth="1"/>
    <col min="9" max="9" width="5" style="3" bestFit="1" customWidth="1"/>
    <col min="10" max="10" width="6" style="3" bestFit="1" customWidth="1"/>
    <col min="11" max="12" width="5" style="3" bestFit="1" customWidth="1"/>
    <col min="13" max="13" width="6" style="3" bestFit="1" customWidth="1"/>
    <col min="14" max="15" width="5" style="3" bestFit="1" customWidth="1"/>
    <col min="16" max="16" width="6" style="3" bestFit="1" customWidth="1"/>
    <col min="17" max="16384" width="9.140625" style="3"/>
  </cols>
  <sheetData>
    <row r="1" spans="1:18" ht="12" customHeight="1" x14ac:dyDescent="0.2">
      <c r="A1" s="628" t="str">
        <f>Grig1!A2</f>
        <v xml:space="preserve"> Сведения по пожарам в Чувашской Республике с 00 ч.00мин. 01.01. по 00 ч.00мин. 16.11.2018 г.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</row>
    <row r="2" spans="1:18" x14ac:dyDescent="0.2">
      <c r="A2" s="618"/>
      <c r="B2" s="624"/>
      <c r="C2" s="625"/>
      <c r="D2" s="624"/>
      <c r="E2" s="624"/>
      <c r="F2" s="624"/>
      <c r="G2" s="624"/>
      <c r="H2" s="624"/>
      <c r="I2" s="624"/>
      <c r="J2" s="624"/>
    </row>
    <row r="3" spans="1:18" ht="12.75" thickBot="1" x14ac:dyDescent="0.25">
      <c r="A3" s="618"/>
      <c r="B3" s="624"/>
      <c r="C3" s="625"/>
      <c r="D3" s="624"/>
      <c r="E3" s="624"/>
      <c r="F3" s="624"/>
      <c r="G3" s="624"/>
      <c r="H3" s="624"/>
      <c r="I3" s="624"/>
      <c r="J3" s="624"/>
    </row>
    <row r="4" spans="1:18" ht="12" customHeight="1" x14ac:dyDescent="0.2">
      <c r="A4" s="385" t="s">
        <v>216</v>
      </c>
      <c r="B4" s="629" t="s">
        <v>8</v>
      </c>
      <c r="C4" s="630"/>
      <c r="D4" s="631"/>
      <c r="E4" s="629" t="s">
        <v>9</v>
      </c>
      <c r="F4" s="630"/>
      <c r="G4" s="631"/>
      <c r="H4" s="632" t="s">
        <v>10</v>
      </c>
      <c r="I4" s="633"/>
      <c r="J4" s="634"/>
      <c r="K4" s="629" t="s">
        <v>15</v>
      </c>
      <c r="L4" s="630"/>
      <c r="M4" s="631"/>
      <c r="N4" s="629" t="s">
        <v>16</v>
      </c>
      <c r="O4" s="630"/>
      <c r="P4" s="631"/>
    </row>
    <row r="5" spans="1:18" ht="12.75" thickBot="1" x14ac:dyDescent="0.25">
      <c r="A5" s="386"/>
      <c r="B5" s="580">
        <v>2017</v>
      </c>
      <c r="C5" s="392">
        <v>2018</v>
      </c>
      <c r="D5" s="389" t="s">
        <v>11</v>
      </c>
      <c r="E5" s="580">
        <f>B5</f>
        <v>2017</v>
      </c>
      <c r="F5" s="392">
        <f>C5</f>
        <v>2018</v>
      </c>
      <c r="G5" s="389" t="s">
        <v>11</v>
      </c>
      <c r="H5" s="387">
        <f>B5</f>
        <v>2017</v>
      </c>
      <c r="I5" s="392">
        <f>C5</f>
        <v>2018</v>
      </c>
      <c r="J5" s="583" t="s">
        <v>11</v>
      </c>
      <c r="K5" s="387">
        <f>B5</f>
        <v>2017</v>
      </c>
      <c r="L5" s="392">
        <f>C5</f>
        <v>2018</v>
      </c>
      <c r="M5" s="389" t="s">
        <v>11</v>
      </c>
      <c r="N5" s="387">
        <f>B5</f>
        <v>2017</v>
      </c>
      <c r="O5" s="392">
        <f>C5</f>
        <v>2018</v>
      </c>
      <c r="P5" s="388" t="s">
        <v>11</v>
      </c>
    </row>
    <row r="6" spans="1:18" x14ac:dyDescent="0.2">
      <c r="A6" s="390" t="s">
        <v>18</v>
      </c>
      <c r="B6" s="577">
        <f>Grig1!B58</f>
        <v>748</v>
      </c>
      <c r="C6" s="578">
        <f>Grig1!C58</f>
        <v>778</v>
      </c>
      <c r="D6" s="581" t="str">
        <f t="shared" ref="D6:D39" si="0">IF(B6&lt;&gt;0,TEXT(((C6-B6)/B6)*100,"0,0"),"--")</f>
        <v>4,0</v>
      </c>
      <c r="E6" s="577">
        <f>Grig1!E58</f>
        <v>104171269</v>
      </c>
      <c r="F6" s="582">
        <f>Grig1!F58</f>
        <v>119476550</v>
      </c>
      <c r="G6" s="581" t="str">
        <f t="shared" ref="G6:G39" si="1">IF(E6&lt;&gt;0,TEXT(((F6-E6)/E6)*100,"0,0"),"--")</f>
        <v>14,7</v>
      </c>
      <c r="H6" s="578">
        <f>Grig1!H58</f>
        <v>57</v>
      </c>
      <c r="I6" s="578">
        <f>Grig1!I58</f>
        <v>59</v>
      </c>
      <c r="J6" s="584" t="str">
        <f t="shared" ref="J6:J39" si="2">IF(H6&lt;&gt;0,TEXT(((I6-H6)/H6)*100,"0,0"),"--")</f>
        <v>3,5</v>
      </c>
      <c r="K6" s="577">
        <f>Grig1!K58</f>
        <v>62</v>
      </c>
      <c r="L6" s="582">
        <f>Grig1!L58</f>
        <v>72</v>
      </c>
      <c r="M6" s="581" t="str">
        <f t="shared" ref="M6:M39" si="3">IF(K6&lt;&gt;0,TEXT(((L6-K6)/K6)*100,"0,0"),"--")</f>
        <v>16,1</v>
      </c>
      <c r="N6" s="577">
        <f>Grig1!N58</f>
        <v>200</v>
      </c>
      <c r="O6" s="578">
        <f>Grig1!O58</f>
        <v>339</v>
      </c>
      <c r="P6" s="579" t="str">
        <f t="shared" ref="P6:P39" si="4">IF(N6&lt;&gt;0,TEXT(((O6-N6)/N6)*100,"0,0"),"--")</f>
        <v>69,5</v>
      </c>
    </row>
    <row r="7" spans="1:18" ht="12.75" thickBot="1" x14ac:dyDescent="0.25">
      <c r="A7" s="391" t="s">
        <v>19</v>
      </c>
      <c r="B7" s="576"/>
      <c r="C7" s="426"/>
      <c r="D7" s="401" t="str">
        <f t="shared" si="0"/>
        <v>--</v>
      </c>
      <c r="E7" s="576"/>
      <c r="F7" s="426"/>
      <c r="G7" s="401" t="str">
        <f t="shared" si="1"/>
        <v>--</v>
      </c>
      <c r="H7" s="426"/>
      <c r="I7" s="426"/>
      <c r="J7" s="585" t="str">
        <f t="shared" si="2"/>
        <v>--</v>
      </c>
      <c r="K7" s="576"/>
      <c r="L7" s="426"/>
      <c r="M7" s="401" t="str">
        <f t="shared" si="3"/>
        <v>--</v>
      </c>
      <c r="N7" s="576"/>
      <c r="O7" s="426"/>
      <c r="P7" s="400" t="str">
        <f t="shared" si="4"/>
        <v>--</v>
      </c>
    </row>
    <row r="8" spans="1:18" x14ac:dyDescent="0.2">
      <c r="A8" s="390" t="s">
        <v>335</v>
      </c>
      <c r="B8" s="619">
        <f>'2017-2018'!B60</f>
        <v>10</v>
      </c>
      <c r="C8" s="620">
        <f>'2017-2018'!T60</f>
        <v>14</v>
      </c>
      <c r="D8" s="622" t="str">
        <f t="shared" si="0"/>
        <v>40,0</v>
      </c>
      <c r="E8" s="619">
        <f>'2017-2018'!C60</f>
        <v>1549090</v>
      </c>
      <c r="F8" s="620">
        <f>'2017-2018'!U60</f>
        <v>1400491</v>
      </c>
      <c r="G8" s="622" t="str">
        <f t="shared" si="1"/>
        <v>-9,6</v>
      </c>
      <c r="H8" s="619">
        <f>'2017-2018'!D60</f>
        <v>0</v>
      </c>
      <c r="I8" s="620">
        <f>'2017-2018'!V60</f>
        <v>0</v>
      </c>
      <c r="J8" s="623" t="str">
        <f t="shared" si="2"/>
        <v>--</v>
      </c>
      <c r="K8" s="619">
        <f>'2017-2018'!E60</f>
        <v>0</v>
      </c>
      <c r="L8" s="620">
        <f>'2017-2018'!W60</f>
        <v>0</v>
      </c>
      <c r="M8" s="622" t="str">
        <f t="shared" si="3"/>
        <v>--</v>
      </c>
      <c r="N8" s="619">
        <f>'2017-2018'!F60</f>
        <v>0</v>
      </c>
      <c r="O8" s="620">
        <f>'2017-2018'!X60</f>
        <v>0</v>
      </c>
      <c r="P8" s="621" t="str">
        <f t="shared" si="4"/>
        <v>--</v>
      </c>
      <c r="Q8" s="3">
        <f>SUM(C8:C28)-C12</f>
        <v>778</v>
      </c>
      <c r="R8" s="3">
        <f>SUM(B8:B28)-B12</f>
        <v>748</v>
      </c>
    </row>
    <row r="9" spans="1:18" x14ac:dyDescent="0.2">
      <c r="A9" s="393" t="s">
        <v>336</v>
      </c>
      <c r="B9" s="571">
        <f>'2017-2018'!B61</f>
        <v>8</v>
      </c>
      <c r="C9" s="424">
        <f>'2017-2018'!T61</f>
        <v>10</v>
      </c>
      <c r="D9" s="395" t="str">
        <f t="shared" si="0"/>
        <v>25,0</v>
      </c>
      <c r="E9" s="571">
        <f>'2017-2018'!C61</f>
        <v>684350</v>
      </c>
      <c r="F9" s="424">
        <f>'2017-2018'!U61</f>
        <v>4327331</v>
      </c>
      <c r="G9" s="395" t="str">
        <f t="shared" si="1"/>
        <v>532,3</v>
      </c>
      <c r="H9" s="571">
        <f>'2017-2018'!D61</f>
        <v>0</v>
      </c>
      <c r="I9" s="424">
        <f>'2017-2018'!V61</f>
        <v>0</v>
      </c>
      <c r="J9" s="398" t="str">
        <f t="shared" si="2"/>
        <v>--</v>
      </c>
      <c r="K9" s="571">
        <f>'2017-2018'!E61</f>
        <v>0</v>
      </c>
      <c r="L9" s="424">
        <f>'2017-2018'!W61</f>
        <v>0</v>
      </c>
      <c r="M9" s="395" t="str">
        <f t="shared" si="3"/>
        <v>--</v>
      </c>
      <c r="N9" s="571">
        <f>'2017-2018'!F61</f>
        <v>0</v>
      </c>
      <c r="O9" s="424">
        <f>'2017-2018'!X61</f>
        <v>0</v>
      </c>
      <c r="P9" s="394" t="str">
        <f t="shared" si="4"/>
        <v>--</v>
      </c>
    </row>
    <row r="10" spans="1:18" ht="36" x14ac:dyDescent="0.2">
      <c r="A10" s="393" t="s">
        <v>338</v>
      </c>
      <c r="B10" s="571">
        <f>'2017-2018'!B62</f>
        <v>14</v>
      </c>
      <c r="C10" s="424">
        <f>'2017-2018'!T62</f>
        <v>11</v>
      </c>
      <c r="D10" s="395" t="str">
        <f t="shared" si="0"/>
        <v>-21,4</v>
      </c>
      <c r="E10" s="571">
        <f>'2017-2018'!C62</f>
        <v>423400</v>
      </c>
      <c r="F10" s="424">
        <f>'2017-2018'!U62</f>
        <v>2174200</v>
      </c>
      <c r="G10" s="395" t="str">
        <f t="shared" si="1"/>
        <v>413,5</v>
      </c>
      <c r="H10" s="571">
        <f>'2017-2018'!D62</f>
        <v>0</v>
      </c>
      <c r="I10" s="424">
        <f>'2017-2018'!V62</f>
        <v>0</v>
      </c>
      <c r="J10" s="398" t="str">
        <f t="shared" si="2"/>
        <v>--</v>
      </c>
      <c r="K10" s="571">
        <f>'2017-2018'!E62</f>
        <v>0</v>
      </c>
      <c r="L10" s="424">
        <f>'2017-2018'!W62</f>
        <v>1</v>
      </c>
      <c r="M10" s="395" t="str">
        <f t="shared" si="3"/>
        <v>--</v>
      </c>
      <c r="N10" s="571">
        <f>'2017-2018'!F62</f>
        <v>0</v>
      </c>
      <c r="O10" s="424">
        <f>'2017-2018'!X62</f>
        <v>1</v>
      </c>
      <c r="P10" s="394" t="str">
        <f t="shared" si="4"/>
        <v>--</v>
      </c>
    </row>
    <row r="11" spans="1:18" ht="24" x14ac:dyDescent="0.2">
      <c r="A11" s="393" t="s">
        <v>339</v>
      </c>
      <c r="B11" s="571">
        <f>'2017-2018'!B63</f>
        <v>570</v>
      </c>
      <c r="C11" s="424">
        <f>'2017-2018'!T63</f>
        <v>622</v>
      </c>
      <c r="D11" s="395" t="str">
        <f t="shared" si="0"/>
        <v>9,1</v>
      </c>
      <c r="E11" s="571">
        <f>'2017-2018'!C63</f>
        <v>72143438</v>
      </c>
      <c r="F11" s="424">
        <f>'2017-2018'!U63</f>
        <v>90788515</v>
      </c>
      <c r="G11" s="395" t="str">
        <f t="shared" si="1"/>
        <v>25,8</v>
      </c>
      <c r="H11" s="571">
        <f>'2017-2018'!D63</f>
        <v>54</v>
      </c>
      <c r="I11" s="424">
        <f>'2017-2018'!V63</f>
        <v>57</v>
      </c>
      <c r="J11" s="398" t="str">
        <f t="shared" si="2"/>
        <v>5,6</v>
      </c>
      <c r="K11" s="571">
        <f>'2017-2018'!E63</f>
        <v>43</v>
      </c>
      <c r="L11" s="424">
        <f>'2017-2018'!W63</f>
        <v>57</v>
      </c>
      <c r="M11" s="395" t="str">
        <f t="shared" si="3"/>
        <v>32,6</v>
      </c>
      <c r="N11" s="571">
        <f>'2017-2018'!F63</f>
        <v>195</v>
      </c>
      <c r="O11" s="424">
        <f>'2017-2018'!X63</f>
        <v>335</v>
      </c>
      <c r="P11" s="394" t="str">
        <f t="shared" si="4"/>
        <v>71,8</v>
      </c>
    </row>
    <row r="12" spans="1:18" x14ac:dyDescent="0.2">
      <c r="A12" s="399" t="s">
        <v>481</v>
      </c>
      <c r="B12" s="571">
        <f>'2017-2018'!B99</f>
        <v>31</v>
      </c>
      <c r="C12" s="424">
        <f>'2017-2018'!T99</f>
        <v>33</v>
      </c>
      <c r="D12" s="395" t="str">
        <f t="shared" si="0"/>
        <v>6,5</v>
      </c>
      <c r="E12" s="571">
        <f>'2017-2018'!C99</f>
        <v>4584653</v>
      </c>
      <c r="F12" s="424">
        <f>'2017-2018'!U99</f>
        <v>3571160</v>
      </c>
      <c r="G12" s="395" t="str">
        <f t="shared" si="1"/>
        <v>-22,1</v>
      </c>
      <c r="H12" s="571">
        <f>'2017-2018'!D99</f>
        <v>3</v>
      </c>
      <c r="I12" s="424">
        <f>'2017-2018'!V99</f>
        <v>1</v>
      </c>
      <c r="J12" s="398" t="str">
        <f t="shared" si="2"/>
        <v>-66,7</v>
      </c>
      <c r="K12" s="571">
        <f>'2017-2018'!E99</f>
        <v>0</v>
      </c>
      <c r="L12" s="424">
        <f>'2017-2018'!W99</f>
        <v>1</v>
      </c>
      <c r="M12" s="395" t="str">
        <f t="shared" si="3"/>
        <v>--</v>
      </c>
      <c r="N12" s="571">
        <f>'2017-2018'!F99</f>
        <v>0</v>
      </c>
      <c r="O12" s="424">
        <f>'2017-2018'!X99</f>
        <v>1</v>
      </c>
      <c r="P12" s="394" t="str">
        <f t="shared" si="4"/>
        <v>--</v>
      </c>
    </row>
    <row r="13" spans="1:18" ht="24" x14ac:dyDescent="0.2">
      <c r="A13" s="393" t="s">
        <v>340</v>
      </c>
      <c r="B13" s="571">
        <f>'2017-2018'!B64</f>
        <v>1</v>
      </c>
      <c r="C13" s="424">
        <f>'2017-2018'!T64</f>
        <v>3</v>
      </c>
      <c r="D13" s="395" t="str">
        <f t="shared" si="0"/>
        <v>200,0</v>
      </c>
      <c r="E13" s="571">
        <f>'2017-2018'!C64</f>
        <v>60000</v>
      </c>
      <c r="F13" s="424">
        <f>'2017-2018'!U64</f>
        <v>2937127</v>
      </c>
      <c r="G13" s="395" t="str">
        <f t="shared" si="1"/>
        <v>4795,2</v>
      </c>
      <c r="H13" s="571">
        <f>'2017-2018'!D64</f>
        <v>0</v>
      </c>
      <c r="I13" s="424">
        <f>'2017-2018'!V64</f>
        <v>0</v>
      </c>
      <c r="J13" s="398" t="str">
        <f t="shared" si="2"/>
        <v>--</v>
      </c>
      <c r="K13" s="571">
        <f>'2017-2018'!E64</f>
        <v>0</v>
      </c>
      <c r="L13" s="424">
        <f>'2017-2018'!W64</f>
        <v>0</v>
      </c>
      <c r="M13" s="395" t="str">
        <f t="shared" si="3"/>
        <v>--</v>
      </c>
      <c r="N13" s="571">
        <f>'2017-2018'!F64</f>
        <v>0</v>
      </c>
      <c r="O13" s="424">
        <f>'2017-2018'!X64</f>
        <v>0</v>
      </c>
      <c r="P13" s="394" t="str">
        <f t="shared" si="4"/>
        <v>--</v>
      </c>
    </row>
    <row r="14" spans="1:18" x14ac:dyDescent="0.2">
      <c r="A14" s="393" t="s">
        <v>341</v>
      </c>
      <c r="B14" s="571">
        <f>'2017-2018'!B65</f>
        <v>0</v>
      </c>
      <c r="C14" s="424">
        <f>'2017-2018'!T65</f>
        <v>0</v>
      </c>
      <c r="D14" s="395" t="str">
        <f t="shared" si="0"/>
        <v>--</v>
      </c>
      <c r="E14" s="571">
        <f>'2017-2018'!C65</f>
        <v>0</v>
      </c>
      <c r="F14" s="424">
        <f>'2017-2018'!U65</f>
        <v>0</v>
      </c>
      <c r="G14" s="395" t="str">
        <f t="shared" si="1"/>
        <v>--</v>
      </c>
      <c r="H14" s="571">
        <f>'2017-2018'!D65</f>
        <v>0</v>
      </c>
      <c r="I14" s="424">
        <f>'2017-2018'!V65</f>
        <v>0</v>
      </c>
      <c r="J14" s="398" t="str">
        <f t="shared" si="2"/>
        <v>--</v>
      </c>
      <c r="K14" s="571">
        <f>'2017-2018'!E65</f>
        <v>0</v>
      </c>
      <c r="L14" s="424">
        <f>'2017-2018'!W65</f>
        <v>0</v>
      </c>
      <c r="M14" s="395" t="str">
        <f t="shared" si="3"/>
        <v>--</v>
      </c>
      <c r="N14" s="571">
        <f>'2017-2018'!F65</f>
        <v>0</v>
      </c>
      <c r="O14" s="424">
        <f>'2017-2018'!X65</f>
        <v>0</v>
      </c>
      <c r="P14" s="394" t="str">
        <f t="shared" si="4"/>
        <v>--</v>
      </c>
    </row>
    <row r="15" spans="1:18" x14ac:dyDescent="0.2">
      <c r="A15" s="393" t="s">
        <v>342</v>
      </c>
      <c r="B15" s="571">
        <f>'2017-2018'!B67</f>
        <v>0</v>
      </c>
      <c r="C15" s="424">
        <f>'2017-2018'!T67</f>
        <v>0</v>
      </c>
      <c r="D15" s="395" t="str">
        <f t="shared" si="0"/>
        <v>--</v>
      </c>
      <c r="E15" s="571">
        <f>'2017-2018'!C67</f>
        <v>0</v>
      </c>
      <c r="F15" s="424">
        <f>'2017-2018'!U67</f>
        <v>0</v>
      </c>
      <c r="G15" s="395" t="str">
        <f t="shared" si="1"/>
        <v>--</v>
      </c>
      <c r="H15" s="571">
        <f>'2017-2018'!D67</f>
        <v>0</v>
      </c>
      <c r="I15" s="424">
        <f>'2017-2018'!V67</f>
        <v>0</v>
      </c>
      <c r="J15" s="398" t="str">
        <f t="shared" si="2"/>
        <v>--</v>
      </c>
      <c r="K15" s="571">
        <f>'2017-2018'!E67</f>
        <v>0</v>
      </c>
      <c r="L15" s="424">
        <f>'2017-2018'!W67</f>
        <v>0</v>
      </c>
      <c r="M15" s="395" t="str">
        <f t="shared" si="3"/>
        <v>--</v>
      </c>
      <c r="N15" s="571">
        <f>'2017-2018'!F67</f>
        <v>0</v>
      </c>
      <c r="O15" s="424">
        <f>'2017-2018'!X67</f>
        <v>0</v>
      </c>
      <c r="P15" s="394" t="str">
        <f t="shared" si="4"/>
        <v>--</v>
      </c>
    </row>
    <row r="16" spans="1:18" ht="24" x14ac:dyDescent="0.2">
      <c r="A16" s="393" t="s">
        <v>343</v>
      </c>
      <c r="B16" s="571">
        <f>'2017-2018'!B69</f>
        <v>0</v>
      </c>
      <c r="C16" s="424">
        <f>'2017-2018'!T69</f>
        <v>4</v>
      </c>
      <c r="D16" s="395" t="str">
        <f t="shared" si="0"/>
        <v>--</v>
      </c>
      <c r="E16" s="571">
        <f>'2017-2018'!C69</f>
        <v>0</v>
      </c>
      <c r="F16" s="424">
        <f>'2017-2018'!U69</f>
        <v>4120991</v>
      </c>
      <c r="G16" s="395" t="str">
        <f t="shared" si="1"/>
        <v>--</v>
      </c>
      <c r="H16" s="571">
        <f>'2017-2018'!D69</f>
        <v>0</v>
      </c>
      <c r="I16" s="424">
        <f>'2017-2018'!V69</f>
        <v>0</v>
      </c>
      <c r="J16" s="398" t="str">
        <f t="shared" si="2"/>
        <v>--</v>
      </c>
      <c r="K16" s="571">
        <f>'2017-2018'!E69</f>
        <v>0</v>
      </c>
      <c r="L16" s="424">
        <f>'2017-2018'!W69</f>
        <v>0</v>
      </c>
      <c r="M16" s="395" t="str">
        <f t="shared" si="3"/>
        <v>--</v>
      </c>
      <c r="N16" s="571">
        <f>'2017-2018'!F69</f>
        <v>0</v>
      </c>
      <c r="O16" s="424">
        <f>'2017-2018'!X69</f>
        <v>0</v>
      </c>
      <c r="P16" s="394" t="str">
        <f t="shared" si="4"/>
        <v>--</v>
      </c>
    </row>
    <row r="17" spans="1:18" ht="24" x14ac:dyDescent="0.2">
      <c r="A17" s="393" t="s">
        <v>344</v>
      </c>
      <c r="B17" s="571">
        <f>'2017-2018'!B70</f>
        <v>7</v>
      </c>
      <c r="C17" s="424">
        <f>'2017-2018'!T70</f>
        <v>4</v>
      </c>
      <c r="D17" s="395" t="str">
        <f t="shared" si="0"/>
        <v>-42,9</v>
      </c>
      <c r="E17" s="571">
        <f>'2017-2018'!C70</f>
        <v>275000</v>
      </c>
      <c r="F17" s="424">
        <f>'2017-2018'!U70</f>
        <v>420000</v>
      </c>
      <c r="G17" s="395" t="str">
        <f t="shared" si="1"/>
        <v>52,7</v>
      </c>
      <c r="H17" s="571">
        <f>'2017-2018'!D70</f>
        <v>0</v>
      </c>
      <c r="I17" s="424">
        <f>'2017-2018'!V70</f>
        <v>1</v>
      </c>
      <c r="J17" s="398" t="str">
        <f t="shared" si="2"/>
        <v>--</v>
      </c>
      <c r="K17" s="571">
        <f>'2017-2018'!E70</f>
        <v>0</v>
      </c>
      <c r="L17" s="424">
        <f>'2017-2018'!W70</f>
        <v>0</v>
      </c>
      <c r="M17" s="395" t="str">
        <f t="shared" si="3"/>
        <v>--</v>
      </c>
      <c r="N17" s="571">
        <f>'2017-2018'!F70</f>
        <v>1</v>
      </c>
      <c r="O17" s="424">
        <f>'2017-2018'!X70</f>
        <v>0</v>
      </c>
      <c r="P17" s="394" t="str">
        <f t="shared" si="4"/>
        <v>-100,0</v>
      </c>
    </row>
    <row r="18" spans="1:18" s="181" customFormat="1" ht="24" x14ac:dyDescent="0.2">
      <c r="A18" s="397" t="s">
        <v>345</v>
      </c>
      <c r="B18" s="572">
        <f>'2017-2018'!B71</f>
        <v>1</v>
      </c>
      <c r="C18" s="425">
        <f>'2017-2018'!T71</f>
        <v>3</v>
      </c>
      <c r="D18" s="398" t="str">
        <f t="shared" si="0"/>
        <v>200,0</v>
      </c>
      <c r="E18" s="572">
        <f>'2017-2018'!C71</f>
        <v>0</v>
      </c>
      <c r="F18" s="425">
        <f>'2017-2018'!U71</f>
        <v>150000</v>
      </c>
      <c r="G18" s="398" t="str">
        <f t="shared" si="1"/>
        <v>--</v>
      </c>
      <c r="H18" s="572">
        <f>'2017-2018'!D71</f>
        <v>0</v>
      </c>
      <c r="I18" s="425">
        <f>'2017-2018'!V71</f>
        <v>0</v>
      </c>
      <c r="J18" s="398" t="str">
        <f t="shared" si="2"/>
        <v>--</v>
      </c>
      <c r="K18" s="572">
        <f>'2017-2018'!E71</f>
        <v>0</v>
      </c>
      <c r="L18" s="425">
        <f>'2017-2018'!W71</f>
        <v>0</v>
      </c>
      <c r="M18" s="398" t="str">
        <f t="shared" si="3"/>
        <v>--</v>
      </c>
      <c r="N18" s="572">
        <f>'2017-2018'!F71</f>
        <v>0</v>
      </c>
      <c r="O18" s="425">
        <f>'2017-2018'!X71</f>
        <v>0</v>
      </c>
      <c r="P18" s="396" t="str">
        <f t="shared" si="4"/>
        <v>--</v>
      </c>
    </row>
    <row r="19" spans="1:18" x14ac:dyDescent="0.2">
      <c r="A19" s="393" t="s">
        <v>337</v>
      </c>
      <c r="B19" s="571">
        <f>'2017-2018'!B72</f>
        <v>91</v>
      </c>
      <c r="C19" s="424">
        <f>'2017-2018'!T72</f>
        <v>62</v>
      </c>
      <c r="D19" s="395" t="str">
        <f t="shared" si="0"/>
        <v>-31,9</v>
      </c>
      <c r="E19" s="571">
        <f>'2017-2018'!C72</f>
        <v>21453904</v>
      </c>
      <c r="F19" s="424">
        <f>'2017-2018'!U72</f>
        <v>8826013</v>
      </c>
      <c r="G19" s="395" t="str">
        <f t="shared" si="1"/>
        <v>-58,9</v>
      </c>
      <c r="H19" s="571">
        <f>'2017-2018'!D72</f>
        <v>2</v>
      </c>
      <c r="I19" s="424">
        <f>'2017-2018'!V72</f>
        <v>0</v>
      </c>
      <c r="J19" s="398" t="str">
        <f t="shared" si="2"/>
        <v>-100,0</v>
      </c>
      <c r="K19" s="571">
        <f>'2017-2018'!E72</f>
        <v>1</v>
      </c>
      <c r="L19" s="424">
        <f>'2017-2018'!W72</f>
        <v>1</v>
      </c>
      <c r="M19" s="395" t="str">
        <f t="shared" si="3"/>
        <v>0,0</v>
      </c>
      <c r="N19" s="571">
        <f>'2017-2018'!F72</f>
        <v>1</v>
      </c>
      <c r="O19" s="424">
        <f>'2017-2018'!X72</f>
        <v>1</v>
      </c>
      <c r="P19" s="394" t="str">
        <f t="shared" si="4"/>
        <v>0,0</v>
      </c>
    </row>
    <row r="20" spans="1:18" ht="24" x14ac:dyDescent="0.2">
      <c r="A20" s="393" t="s">
        <v>346</v>
      </c>
      <c r="B20" s="571">
        <f>'2017-2018'!B73</f>
        <v>16</v>
      </c>
      <c r="C20" s="424">
        <f>'2017-2018'!T73</f>
        <v>12</v>
      </c>
      <c r="D20" s="395" t="str">
        <f t="shared" si="0"/>
        <v>-25,0</v>
      </c>
      <c r="E20" s="571">
        <f>'2017-2018'!C73</f>
        <v>6299109</v>
      </c>
      <c r="F20" s="424">
        <f>'2017-2018'!U73</f>
        <v>2354767</v>
      </c>
      <c r="G20" s="395" t="str">
        <f t="shared" si="1"/>
        <v>-62,6</v>
      </c>
      <c r="H20" s="571">
        <f>'2017-2018'!D73</f>
        <v>0</v>
      </c>
      <c r="I20" s="424">
        <f>'2017-2018'!V73</f>
        <v>0</v>
      </c>
      <c r="J20" s="398" t="str">
        <f t="shared" si="2"/>
        <v>--</v>
      </c>
      <c r="K20" s="571">
        <f>'2017-2018'!E73</f>
        <v>1</v>
      </c>
      <c r="L20" s="424">
        <f>'2017-2018'!W73</f>
        <v>0</v>
      </c>
      <c r="M20" s="395" t="str">
        <f t="shared" si="3"/>
        <v>-100,0</v>
      </c>
      <c r="N20" s="571">
        <f>'2017-2018'!F73</f>
        <v>1</v>
      </c>
      <c r="O20" s="424">
        <f>'2017-2018'!X73</f>
        <v>0</v>
      </c>
      <c r="P20" s="394" t="str">
        <f t="shared" si="4"/>
        <v>-100,0</v>
      </c>
    </row>
    <row r="21" spans="1:18" ht="24" x14ac:dyDescent="0.2">
      <c r="A21" s="393" t="s">
        <v>347</v>
      </c>
      <c r="B21" s="571">
        <f>'2017-2018'!B74</f>
        <v>0</v>
      </c>
      <c r="C21" s="424">
        <f>'2017-2018'!T74</f>
        <v>0</v>
      </c>
      <c r="D21" s="395" t="str">
        <f t="shared" si="0"/>
        <v>--</v>
      </c>
      <c r="E21" s="571">
        <f>'2017-2018'!C74</f>
        <v>0</v>
      </c>
      <c r="F21" s="424">
        <f>'2017-2018'!U74</f>
        <v>0</v>
      </c>
      <c r="G21" s="395" t="str">
        <f t="shared" si="1"/>
        <v>--</v>
      </c>
      <c r="H21" s="571">
        <f>'2017-2018'!D74</f>
        <v>0</v>
      </c>
      <c r="I21" s="424">
        <f>'2017-2018'!V74</f>
        <v>0</v>
      </c>
      <c r="J21" s="398" t="str">
        <f t="shared" si="2"/>
        <v>--</v>
      </c>
      <c r="K21" s="571">
        <f>'2017-2018'!E74</f>
        <v>0</v>
      </c>
      <c r="L21" s="424">
        <f>'2017-2018'!W74</f>
        <v>0</v>
      </c>
      <c r="M21" s="395" t="str">
        <f t="shared" si="3"/>
        <v>--</v>
      </c>
      <c r="N21" s="571">
        <f>'2017-2018'!F74</f>
        <v>0</v>
      </c>
      <c r="O21" s="424">
        <f>'2017-2018'!X74</f>
        <v>0</v>
      </c>
      <c r="P21" s="394" t="str">
        <f t="shared" si="4"/>
        <v>--</v>
      </c>
    </row>
    <row r="22" spans="1:18" ht="36" x14ac:dyDescent="0.2">
      <c r="A22" s="393" t="s">
        <v>348</v>
      </c>
      <c r="B22" s="571">
        <f>'2017-2018'!B75</f>
        <v>1</v>
      </c>
      <c r="C22" s="424">
        <f>'2017-2018'!T75</f>
        <v>0</v>
      </c>
      <c r="D22" s="395" t="str">
        <f t="shared" si="0"/>
        <v>-100,0</v>
      </c>
      <c r="E22" s="571">
        <f>'2017-2018'!C75</f>
        <v>3781</v>
      </c>
      <c r="F22" s="424">
        <f>'2017-2018'!U75</f>
        <v>0</v>
      </c>
      <c r="G22" s="395" t="str">
        <f t="shared" si="1"/>
        <v>-100,0</v>
      </c>
      <c r="H22" s="571">
        <f>'2017-2018'!D75</f>
        <v>0</v>
      </c>
      <c r="I22" s="424">
        <f>'2017-2018'!V75</f>
        <v>0</v>
      </c>
      <c r="J22" s="398" t="str">
        <f t="shared" si="2"/>
        <v>--</v>
      </c>
      <c r="K22" s="571">
        <f>'2017-2018'!E75</f>
        <v>0</v>
      </c>
      <c r="L22" s="424">
        <f>'2017-2018'!W75</f>
        <v>0</v>
      </c>
      <c r="M22" s="395" t="str">
        <f t="shared" si="3"/>
        <v>--</v>
      </c>
      <c r="N22" s="571">
        <f>'2017-2018'!F75</f>
        <v>0</v>
      </c>
      <c r="O22" s="424">
        <f>'2017-2018'!X75</f>
        <v>0</v>
      </c>
      <c r="P22" s="394" t="str">
        <f t="shared" si="4"/>
        <v>--</v>
      </c>
    </row>
    <row r="23" spans="1:18" ht="24" x14ac:dyDescent="0.2">
      <c r="A23" s="393" t="s">
        <v>380</v>
      </c>
      <c r="B23" s="571">
        <f>'2017-2018'!B76</f>
        <v>4</v>
      </c>
      <c r="C23" s="424">
        <f>'2017-2018'!T76</f>
        <v>6</v>
      </c>
      <c r="D23" s="395" t="str">
        <f t="shared" si="0"/>
        <v>50,0</v>
      </c>
      <c r="E23" s="571">
        <f>'2017-2018'!C76</f>
        <v>387000</v>
      </c>
      <c r="F23" s="424">
        <f>'2017-2018'!U76</f>
        <v>134000</v>
      </c>
      <c r="G23" s="395" t="str">
        <f t="shared" si="1"/>
        <v>-65,4</v>
      </c>
      <c r="H23" s="571">
        <f>'2017-2018'!D76</f>
        <v>0</v>
      </c>
      <c r="I23" s="424">
        <f>'2017-2018'!V76</f>
        <v>0</v>
      </c>
      <c r="J23" s="398" t="str">
        <f t="shared" si="2"/>
        <v>--</v>
      </c>
      <c r="K23" s="571">
        <f>'2017-2018'!E76</f>
        <v>1</v>
      </c>
      <c r="L23" s="424">
        <f>'2017-2018'!W76</f>
        <v>0</v>
      </c>
      <c r="M23" s="395" t="str">
        <f t="shared" si="3"/>
        <v>-100,0</v>
      </c>
      <c r="N23" s="571">
        <f>'2017-2018'!F76</f>
        <v>1</v>
      </c>
      <c r="O23" s="424">
        <f>'2017-2018'!X76</f>
        <v>0</v>
      </c>
      <c r="P23" s="394" t="str">
        <f t="shared" si="4"/>
        <v>-100,0</v>
      </c>
    </row>
    <row r="24" spans="1:18" x14ac:dyDescent="0.2">
      <c r="A24" s="393" t="s">
        <v>349</v>
      </c>
      <c r="B24" s="571">
        <f>'2017-2018'!B77</f>
        <v>2</v>
      </c>
      <c r="C24" s="424">
        <f>'2017-2018'!T77</f>
        <v>3</v>
      </c>
      <c r="D24" s="395" t="str">
        <f t="shared" si="0"/>
        <v>50,0</v>
      </c>
      <c r="E24" s="571">
        <f>'2017-2018'!C77</f>
        <v>650000</v>
      </c>
      <c r="F24" s="424">
        <f>'2017-2018'!U77</f>
        <v>250015</v>
      </c>
      <c r="G24" s="395" t="str">
        <f t="shared" si="1"/>
        <v>-61,5</v>
      </c>
      <c r="H24" s="571">
        <f>'2017-2018'!D77</f>
        <v>0</v>
      </c>
      <c r="I24" s="424">
        <f>'2017-2018'!V77</f>
        <v>0</v>
      </c>
      <c r="J24" s="398" t="str">
        <f t="shared" si="2"/>
        <v>--</v>
      </c>
      <c r="K24" s="571">
        <f>'2017-2018'!E77</f>
        <v>0</v>
      </c>
      <c r="L24" s="424">
        <f>'2017-2018'!W77</f>
        <v>0</v>
      </c>
      <c r="M24" s="395" t="str">
        <f t="shared" si="3"/>
        <v>--</v>
      </c>
      <c r="N24" s="571">
        <f>'2017-2018'!F77</f>
        <v>0</v>
      </c>
      <c r="O24" s="424">
        <f>'2017-2018'!X77</f>
        <v>0</v>
      </c>
      <c r="P24" s="394" t="str">
        <f t="shared" si="4"/>
        <v>--</v>
      </c>
    </row>
    <row r="25" spans="1:18" ht="36" x14ac:dyDescent="0.2">
      <c r="A25" s="393" t="s">
        <v>533</v>
      </c>
      <c r="B25" s="571">
        <f>'2017-2018'!B78</f>
        <v>1</v>
      </c>
      <c r="C25" s="424">
        <f>'2017-2018'!T78</f>
        <v>1</v>
      </c>
      <c r="D25" s="395" t="str">
        <f t="shared" si="0"/>
        <v>0,0</v>
      </c>
      <c r="E25" s="571">
        <f>'2017-2018'!C78</f>
        <v>17600</v>
      </c>
      <c r="F25" s="424">
        <f>'2017-2018'!U78</f>
        <v>0</v>
      </c>
      <c r="G25" s="395" t="str">
        <f t="shared" si="1"/>
        <v>-100,0</v>
      </c>
      <c r="H25" s="571">
        <f>'2017-2018'!D78</f>
        <v>0</v>
      </c>
      <c r="I25" s="424">
        <f>'2017-2018'!V78</f>
        <v>0</v>
      </c>
      <c r="J25" s="398" t="str">
        <f t="shared" si="2"/>
        <v>--</v>
      </c>
      <c r="K25" s="571">
        <f>'2017-2018'!E78</f>
        <v>0</v>
      </c>
      <c r="L25" s="424">
        <f>'2017-2018'!W78</f>
        <v>0</v>
      </c>
      <c r="M25" s="395" t="str">
        <f t="shared" si="3"/>
        <v>--</v>
      </c>
      <c r="N25" s="571">
        <f>'2017-2018'!F78</f>
        <v>0</v>
      </c>
      <c r="O25" s="424">
        <f>'2017-2018'!X78</f>
        <v>0</v>
      </c>
      <c r="P25" s="394" t="str">
        <f t="shared" si="4"/>
        <v>--</v>
      </c>
    </row>
    <row r="26" spans="1:18" ht="36" x14ac:dyDescent="0.2">
      <c r="A26" s="399" t="s">
        <v>383</v>
      </c>
      <c r="B26" s="571">
        <f>'2017-2018'!B79</f>
        <v>0</v>
      </c>
      <c r="C26" s="424">
        <f>'2017-2018'!T79</f>
        <v>0</v>
      </c>
      <c r="D26" s="395" t="str">
        <f t="shared" si="0"/>
        <v>--</v>
      </c>
      <c r="E26" s="571">
        <f>'2017-2018'!C79</f>
        <v>0</v>
      </c>
      <c r="F26" s="424">
        <f>'2017-2018'!U79</f>
        <v>0</v>
      </c>
      <c r="G26" s="395" t="str">
        <f t="shared" si="1"/>
        <v>--</v>
      </c>
      <c r="H26" s="571">
        <f>'2017-2018'!D79</f>
        <v>0</v>
      </c>
      <c r="I26" s="424">
        <f>'2017-2018'!V79</f>
        <v>0</v>
      </c>
      <c r="J26" s="398" t="str">
        <f t="shared" si="2"/>
        <v>--</v>
      </c>
      <c r="K26" s="571">
        <f>'2017-2018'!E79</f>
        <v>0</v>
      </c>
      <c r="L26" s="424">
        <f>'2017-2018'!W79</f>
        <v>0</v>
      </c>
      <c r="M26" s="395" t="str">
        <f t="shared" si="3"/>
        <v>--</v>
      </c>
      <c r="N26" s="571">
        <f>'2017-2018'!F79</f>
        <v>0</v>
      </c>
      <c r="O26" s="424">
        <f>'2017-2018'!X79</f>
        <v>0</v>
      </c>
      <c r="P26" s="394" t="str">
        <f t="shared" si="4"/>
        <v>--</v>
      </c>
    </row>
    <row r="27" spans="1:18" ht="24" x14ac:dyDescent="0.2">
      <c r="A27" s="597" t="s">
        <v>530</v>
      </c>
      <c r="B27" s="571">
        <f>'2017-2018'!B100</f>
        <v>14</v>
      </c>
      <c r="C27" s="424">
        <f>'2017-2018'!T100</f>
        <v>14</v>
      </c>
      <c r="D27" s="395" t="str">
        <f t="shared" si="0"/>
        <v>0,0</v>
      </c>
      <c r="E27" s="571">
        <f>'2017-2018'!C100</f>
        <v>1500</v>
      </c>
      <c r="F27" s="424">
        <f>'2017-2018'!U100</f>
        <v>51300</v>
      </c>
      <c r="G27" s="395" t="str">
        <f t="shared" si="1"/>
        <v>3320,0</v>
      </c>
      <c r="H27" s="571">
        <f>'2017-2018'!D100</f>
        <v>0</v>
      </c>
      <c r="I27" s="424">
        <f>'2017-2018'!V100</f>
        <v>1</v>
      </c>
      <c r="J27" s="398" t="str">
        <f t="shared" si="2"/>
        <v>--</v>
      </c>
      <c r="K27" s="571">
        <f>'2017-2018'!E100</f>
        <v>15</v>
      </c>
      <c r="L27" s="424">
        <f>'2017-2018'!W100</f>
        <v>12</v>
      </c>
      <c r="M27" s="395" t="str">
        <f t="shared" si="3"/>
        <v>-20,0</v>
      </c>
      <c r="N27" s="571">
        <f>'2017-2018'!F100</f>
        <v>0</v>
      </c>
      <c r="O27" s="424">
        <f>'2017-2018'!X100</f>
        <v>1</v>
      </c>
      <c r="P27" s="394" t="str">
        <f t="shared" si="4"/>
        <v>--</v>
      </c>
    </row>
    <row r="28" spans="1:18" ht="12.75" thickBot="1" x14ac:dyDescent="0.25">
      <c r="A28" s="399" t="s">
        <v>319</v>
      </c>
      <c r="B28" s="387">
        <f>'2017-2018'!B80</f>
        <v>8</v>
      </c>
      <c r="C28" s="392">
        <f>'2017-2018'!T80</f>
        <v>9</v>
      </c>
      <c r="D28" s="389" t="str">
        <f t="shared" si="0"/>
        <v>12,5</v>
      </c>
      <c r="E28" s="387">
        <f>'2017-2018'!C80</f>
        <v>223097</v>
      </c>
      <c r="F28" s="392">
        <f>'2017-2018'!U80</f>
        <v>1541800</v>
      </c>
      <c r="G28" s="389" t="str">
        <f t="shared" si="1"/>
        <v>591,1</v>
      </c>
      <c r="H28" s="387">
        <f>'2017-2018'!D80</f>
        <v>1</v>
      </c>
      <c r="I28" s="392">
        <f>'2017-2018'!V80</f>
        <v>0</v>
      </c>
      <c r="J28" s="583" t="str">
        <f t="shared" si="2"/>
        <v>-100,0</v>
      </c>
      <c r="K28" s="387">
        <f>'2017-2018'!E80</f>
        <v>1</v>
      </c>
      <c r="L28" s="392">
        <f>'2017-2018'!W80</f>
        <v>1</v>
      </c>
      <c r="M28" s="389" t="str">
        <f t="shared" si="3"/>
        <v>0,0</v>
      </c>
      <c r="N28" s="387">
        <f>'2017-2018'!F80</f>
        <v>1</v>
      </c>
      <c r="O28" s="392">
        <f>'2017-2018'!X80</f>
        <v>1</v>
      </c>
      <c r="P28" s="388" t="str">
        <f t="shared" si="4"/>
        <v>0,0</v>
      </c>
    </row>
    <row r="29" spans="1:18" ht="36" x14ac:dyDescent="0.2">
      <c r="A29" s="402" t="s">
        <v>357</v>
      </c>
      <c r="B29" s="577">
        <f>'2017-2018'!B81</f>
        <v>86</v>
      </c>
      <c r="C29" s="578">
        <f>'2017-2018'!T81</f>
        <v>68</v>
      </c>
      <c r="D29" s="581" t="str">
        <f t="shared" si="0"/>
        <v>-20,9</v>
      </c>
      <c r="E29" s="577">
        <f>'2017-2018'!C81</f>
        <v>12163306</v>
      </c>
      <c r="F29" s="578">
        <f>'2017-2018'!U81</f>
        <v>12281000</v>
      </c>
      <c r="G29" s="581" t="str">
        <f t="shared" si="1"/>
        <v>1,0</v>
      </c>
      <c r="H29" s="619">
        <f>'2017-2018'!D81</f>
        <v>4</v>
      </c>
      <c r="I29" s="620">
        <f>'2017-2018'!V81</f>
        <v>1</v>
      </c>
      <c r="J29" s="623" t="str">
        <f t="shared" si="2"/>
        <v>-75,0</v>
      </c>
      <c r="K29" s="577">
        <f>'2017-2018'!E81</f>
        <v>6</v>
      </c>
      <c r="L29" s="578">
        <f>'2017-2018'!W81</f>
        <v>3</v>
      </c>
      <c r="M29" s="581" t="str">
        <f t="shared" si="3"/>
        <v>-50,0</v>
      </c>
      <c r="N29" s="577">
        <f>'2017-2018'!F81</f>
        <v>13</v>
      </c>
      <c r="O29" s="578">
        <f>'2017-2018'!X81</f>
        <v>32</v>
      </c>
      <c r="P29" s="579" t="str">
        <f t="shared" si="4"/>
        <v>146,2</v>
      </c>
      <c r="Q29" s="3">
        <f>SUM(C29:C34)+SUM(C37:C38)</f>
        <v>778</v>
      </c>
      <c r="R29" s="3">
        <f>SUM(B29:B34)+SUM(B37:B38)</f>
        <v>748</v>
      </c>
    </row>
    <row r="30" spans="1:18" ht="36" x14ac:dyDescent="0.2">
      <c r="A30" s="393" t="s">
        <v>350</v>
      </c>
      <c r="B30" s="571">
        <f>'2017-2018'!B82</f>
        <v>0</v>
      </c>
      <c r="C30" s="424">
        <f>'2017-2018'!T82</f>
        <v>4</v>
      </c>
      <c r="D30" s="395" t="str">
        <f t="shared" si="0"/>
        <v>--</v>
      </c>
      <c r="E30" s="571">
        <f>'2017-2018'!C82</f>
        <v>0</v>
      </c>
      <c r="F30" s="424">
        <f>'2017-2018'!U82</f>
        <v>2362491</v>
      </c>
      <c r="G30" s="395" t="str">
        <f t="shared" si="1"/>
        <v>--</v>
      </c>
      <c r="H30" s="571">
        <f>'2017-2018'!D82</f>
        <v>0</v>
      </c>
      <c r="I30" s="424">
        <f>'2017-2018'!V82</f>
        <v>0</v>
      </c>
      <c r="J30" s="398" t="str">
        <f t="shared" si="2"/>
        <v>--</v>
      </c>
      <c r="K30" s="571">
        <f>'2017-2018'!E82</f>
        <v>0</v>
      </c>
      <c r="L30" s="424">
        <f>'2017-2018'!W82</f>
        <v>0</v>
      </c>
      <c r="M30" s="395" t="str">
        <f t="shared" si="3"/>
        <v>--</v>
      </c>
      <c r="N30" s="571">
        <f>'2017-2018'!F82</f>
        <v>0</v>
      </c>
      <c r="O30" s="424">
        <f>'2017-2018'!X82</f>
        <v>0</v>
      </c>
      <c r="P30" s="394" t="str">
        <f t="shared" si="4"/>
        <v>--</v>
      </c>
    </row>
    <row r="31" spans="1:18" x14ac:dyDescent="0.2">
      <c r="A31" s="393" t="s">
        <v>351</v>
      </c>
      <c r="B31" s="571">
        <f>'2017-2018'!B83</f>
        <v>249</v>
      </c>
      <c r="C31" s="424">
        <f>'2017-2018'!T83</f>
        <v>269</v>
      </c>
      <c r="D31" s="395" t="str">
        <f t="shared" si="0"/>
        <v>8,0</v>
      </c>
      <c r="E31" s="571">
        <f>'2017-2018'!C83</f>
        <v>44642431</v>
      </c>
      <c r="F31" s="424">
        <f>'2017-2018'!U83</f>
        <v>55553570</v>
      </c>
      <c r="G31" s="395" t="str">
        <f t="shared" si="1"/>
        <v>24,4</v>
      </c>
      <c r="H31" s="571">
        <f>'2017-2018'!D83</f>
        <v>24</v>
      </c>
      <c r="I31" s="424">
        <f>'2017-2018'!V83</f>
        <v>10</v>
      </c>
      <c r="J31" s="398" t="str">
        <f t="shared" si="2"/>
        <v>-58,3</v>
      </c>
      <c r="K31" s="571">
        <f>'2017-2018'!E83</f>
        <v>14</v>
      </c>
      <c r="L31" s="424">
        <f>'2017-2018'!W83</f>
        <v>12</v>
      </c>
      <c r="M31" s="395" t="str">
        <f t="shared" si="3"/>
        <v>-14,3</v>
      </c>
      <c r="N31" s="571">
        <f>'2017-2018'!F83</f>
        <v>46</v>
      </c>
      <c r="O31" s="424">
        <f>'2017-2018'!X83</f>
        <v>96</v>
      </c>
      <c r="P31" s="394" t="str">
        <f t="shared" si="4"/>
        <v>108,7</v>
      </c>
    </row>
    <row r="32" spans="1:18" x14ac:dyDescent="0.2">
      <c r="A32" s="393" t="s">
        <v>352</v>
      </c>
      <c r="B32" s="571">
        <f>'2017-2018'!B84</f>
        <v>141</v>
      </c>
      <c r="C32" s="424">
        <f>'2017-2018'!T84</f>
        <v>151</v>
      </c>
      <c r="D32" s="395" t="str">
        <f t="shared" si="0"/>
        <v>7,1</v>
      </c>
      <c r="E32" s="571">
        <f>'2017-2018'!C84</f>
        <v>11394133</v>
      </c>
      <c r="F32" s="424">
        <f>'2017-2018'!U84</f>
        <v>14156007</v>
      </c>
      <c r="G32" s="395" t="str">
        <f t="shared" si="1"/>
        <v>24,2</v>
      </c>
      <c r="H32" s="571">
        <f>'2017-2018'!D84</f>
        <v>2</v>
      </c>
      <c r="I32" s="424">
        <f>'2017-2018'!V84</f>
        <v>4</v>
      </c>
      <c r="J32" s="398" t="str">
        <f t="shared" si="2"/>
        <v>100,0</v>
      </c>
      <c r="K32" s="571">
        <f>'2017-2018'!E84</f>
        <v>3</v>
      </c>
      <c r="L32" s="424">
        <f>'2017-2018'!W84</f>
        <v>2</v>
      </c>
      <c r="M32" s="395" t="str">
        <f t="shared" si="3"/>
        <v>-33,3</v>
      </c>
      <c r="N32" s="571">
        <f>'2017-2018'!F84</f>
        <v>3</v>
      </c>
      <c r="O32" s="424">
        <f>'2017-2018'!X84</f>
        <v>8</v>
      </c>
      <c r="P32" s="394" t="str">
        <f t="shared" si="4"/>
        <v>166,7</v>
      </c>
    </row>
    <row r="33" spans="1:16" s="181" customFormat="1" ht="24" x14ac:dyDescent="0.2">
      <c r="A33" s="397" t="s">
        <v>353</v>
      </c>
      <c r="B33" s="572">
        <f>'2017-2018'!B85</f>
        <v>1</v>
      </c>
      <c r="C33" s="425">
        <f>'2017-2018'!T85</f>
        <v>0</v>
      </c>
      <c r="D33" s="398" t="str">
        <f t="shared" si="0"/>
        <v>-100,0</v>
      </c>
      <c r="E33" s="572">
        <f>'2017-2018'!C85</f>
        <v>150000</v>
      </c>
      <c r="F33" s="425">
        <f>'2017-2018'!U85</f>
        <v>0</v>
      </c>
      <c r="G33" s="398" t="str">
        <f t="shared" si="1"/>
        <v>-100,0</v>
      </c>
      <c r="H33" s="572">
        <f>'2017-2018'!D85</f>
        <v>1</v>
      </c>
      <c r="I33" s="425">
        <f>'2017-2018'!V85</f>
        <v>0</v>
      </c>
      <c r="J33" s="398" t="str">
        <f t="shared" si="2"/>
        <v>-100,0</v>
      </c>
      <c r="K33" s="572">
        <f>'2017-2018'!E85</f>
        <v>0</v>
      </c>
      <c r="L33" s="425">
        <f>'2017-2018'!W85</f>
        <v>0</v>
      </c>
      <c r="M33" s="398" t="str">
        <f t="shared" si="3"/>
        <v>--</v>
      </c>
      <c r="N33" s="572">
        <f>'2017-2018'!F85</f>
        <v>1</v>
      </c>
      <c r="O33" s="425">
        <f>'2017-2018'!X85</f>
        <v>0</v>
      </c>
      <c r="P33" s="396" t="str">
        <f t="shared" si="4"/>
        <v>-100,0</v>
      </c>
    </row>
    <row r="34" spans="1:16" x14ac:dyDescent="0.2">
      <c r="A34" s="393" t="s">
        <v>115</v>
      </c>
      <c r="B34" s="571">
        <f>'2017-2018'!B86</f>
        <v>185</v>
      </c>
      <c r="C34" s="424">
        <f>'2017-2018'!T86</f>
        <v>202</v>
      </c>
      <c r="D34" s="395" t="str">
        <f t="shared" si="0"/>
        <v>9,2</v>
      </c>
      <c r="E34" s="571">
        <f>'2017-2018'!C86</f>
        <v>18687287</v>
      </c>
      <c r="F34" s="424">
        <f>'2017-2018'!U86</f>
        <v>18175048</v>
      </c>
      <c r="G34" s="395" t="str">
        <f t="shared" si="1"/>
        <v>-2,7</v>
      </c>
      <c r="H34" s="571">
        <f>'2017-2018'!D86</f>
        <v>25</v>
      </c>
      <c r="I34" s="424">
        <f>'2017-2018'!V86</f>
        <v>43</v>
      </c>
      <c r="J34" s="398" t="str">
        <f t="shared" si="2"/>
        <v>72,0</v>
      </c>
      <c r="K34" s="571">
        <f>'2017-2018'!E86</f>
        <v>37</v>
      </c>
      <c r="L34" s="424">
        <f>'2017-2018'!W86</f>
        <v>48</v>
      </c>
      <c r="M34" s="395" t="str">
        <f t="shared" si="3"/>
        <v>29,7</v>
      </c>
      <c r="N34" s="571">
        <f>'2017-2018'!F86</f>
        <v>135</v>
      </c>
      <c r="O34" s="424">
        <f>'2017-2018'!X86</f>
        <v>198</v>
      </c>
      <c r="P34" s="394" t="str">
        <f t="shared" si="4"/>
        <v>46,7</v>
      </c>
    </row>
    <row r="35" spans="1:16" s="456" customFormat="1" x14ac:dyDescent="0.2">
      <c r="A35" s="452" t="s">
        <v>355</v>
      </c>
      <c r="B35" s="573">
        <f>'2017-2018'!B87</f>
        <v>74</v>
      </c>
      <c r="C35" s="453">
        <f>'2017-2018'!T87</f>
        <v>114</v>
      </c>
      <c r="D35" s="455" t="str">
        <f t="shared" si="0"/>
        <v>54,1</v>
      </c>
      <c r="E35" s="573">
        <f>'2017-2018'!C87</f>
        <v>6735531</v>
      </c>
      <c r="F35" s="453">
        <f>'2017-2018'!U87</f>
        <v>9659710</v>
      </c>
      <c r="G35" s="455" t="str">
        <f t="shared" si="1"/>
        <v>43,4</v>
      </c>
      <c r="H35" s="573">
        <f>'2017-2018'!D87</f>
        <v>22</v>
      </c>
      <c r="I35" s="453">
        <f>'2017-2018'!V87</f>
        <v>36</v>
      </c>
      <c r="J35" s="455" t="str">
        <f t="shared" si="2"/>
        <v>63,6</v>
      </c>
      <c r="K35" s="573">
        <f>'2017-2018'!E87</f>
        <v>17</v>
      </c>
      <c r="L35" s="453">
        <f>'2017-2018'!W87</f>
        <v>30</v>
      </c>
      <c r="M35" s="455" t="str">
        <f t="shared" si="3"/>
        <v>76,5</v>
      </c>
      <c r="N35" s="573">
        <f>'2017-2018'!F87</f>
        <v>87</v>
      </c>
      <c r="O35" s="453">
        <f>'2017-2018'!X87</f>
        <v>179</v>
      </c>
      <c r="P35" s="454" t="str">
        <f t="shared" si="4"/>
        <v>105,7</v>
      </c>
    </row>
    <row r="36" spans="1:16" s="456" customFormat="1" ht="24" x14ac:dyDescent="0.2">
      <c r="A36" s="457" t="s">
        <v>356</v>
      </c>
      <c r="B36" s="573">
        <f>'2017-2018'!B88</f>
        <v>20</v>
      </c>
      <c r="C36" s="453">
        <f>'2017-2018'!T88</f>
        <v>15</v>
      </c>
      <c r="D36" s="455" t="str">
        <f t="shared" si="0"/>
        <v>-25,0</v>
      </c>
      <c r="E36" s="573">
        <f>'2017-2018'!C88</f>
        <v>1958097</v>
      </c>
      <c r="F36" s="453">
        <f>'2017-2018'!U88</f>
        <v>2230000</v>
      </c>
      <c r="G36" s="455" t="str">
        <f t="shared" si="1"/>
        <v>13,9</v>
      </c>
      <c r="H36" s="573">
        <f>'2017-2018'!D88</f>
        <v>0</v>
      </c>
      <c r="I36" s="453">
        <f>'2017-2018'!V88</f>
        <v>0</v>
      </c>
      <c r="J36" s="455" t="str">
        <f t="shared" si="2"/>
        <v>--</v>
      </c>
      <c r="K36" s="573">
        <f>'2017-2018'!E88</f>
        <v>5</v>
      </c>
      <c r="L36" s="453">
        <f>'2017-2018'!W88</f>
        <v>3</v>
      </c>
      <c r="M36" s="455" t="str">
        <f t="shared" si="3"/>
        <v>-40,0</v>
      </c>
      <c r="N36" s="573">
        <f>'2017-2018'!F88</f>
        <v>12</v>
      </c>
      <c r="O36" s="453">
        <f>'2017-2018'!X88</f>
        <v>4</v>
      </c>
      <c r="P36" s="454" t="str">
        <f t="shared" si="4"/>
        <v>-66,7</v>
      </c>
    </row>
    <row r="37" spans="1:16" x14ac:dyDescent="0.2">
      <c r="A37" s="393" t="s">
        <v>524</v>
      </c>
      <c r="B37" s="571">
        <f>'2017-2018'!B89</f>
        <v>60</v>
      </c>
      <c r="C37" s="424">
        <f>'2017-2018'!T89</f>
        <v>47</v>
      </c>
      <c r="D37" s="395" t="str">
        <f t="shared" si="0"/>
        <v>-21,7</v>
      </c>
      <c r="E37" s="571">
        <f>'2017-2018'!C89</f>
        <v>14073612</v>
      </c>
      <c r="F37" s="424">
        <f>'2017-2018'!U89</f>
        <v>6434713</v>
      </c>
      <c r="G37" s="395" t="str">
        <f t="shared" si="1"/>
        <v>-54,3</v>
      </c>
      <c r="H37" s="571">
        <f>'2017-2018'!D89</f>
        <v>1</v>
      </c>
      <c r="I37" s="424">
        <f>'2017-2018'!V89</f>
        <v>0</v>
      </c>
      <c r="J37" s="398" t="str">
        <f t="shared" si="2"/>
        <v>-100,0</v>
      </c>
      <c r="K37" s="571">
        <f>'2017-2018'!E89</f>
        <v>0</v>
      </c>
      <c r="L37" s="424">
        <f>'2017-2018'!W89</f>
        <v>1</v>
      </c>
      <c r="M37" s="395" t="str">
        <f t="shared" si="3"/>
        <v>--</v>
      </c>
      <c r="N37" s="571">
        <f>'2017-2018'!F89</f>
        <v>0</v>
      </c>
      <c r="O37" s="424">
        <f>'2017-2018'!X89</f>
        <v>1</v>
      </c>
      <c r="P37" s="394" t="str">
        <f t="shared" si="4"/>
        <v>--</v>
      </c>
    </row>
    <row r="38" spans="1:16" x14ac:dyDescent="0.2">
      <c r="A38" s="393" t="s">
        <v>354</v>
      </c>
      <c r="B38" s="571">
        <f>'2017-2018'!B90</f>
        <v>26</v>
      </c>
      <c r="C38" s="424">
        <f>'2017-2018'!T90</f>
        <v>37</v>
      </c>
      <c r="D38" s="395" t="str">
        <f t="shared" si="0"/>
        <v>42,3</v>
      </c>
      <c r="E38" s="571">
        <f>'2017-2018'!C90</f>
        <v>3060500</v>
      </c>
      <c r="F38" s="424">
        <f>'2017-2018'!U90</f>
        <v>10513721</v>
      </c>
      <c r="G38" s="395" t="str">
        <f t="shared" si="1"/>
        <v>243,5</v>
      </c>
      <c r="H38" s="571">
        <f>'2017-2018'!D90</f>
        <v>0</v>
      </c>
      <c r="I38" s="424">
        <f>'2017-2018'!V90</f>
        <v>1</v>
      </c>
      <c r="J38" s="398" t="str">
        <f t="shared" si="2"/>
        <v>--</v>
      </c>
      <c r="K38" s="571">
        <f>'2017-2018'!E90</f>
        <v>2</v>
      </c>
      <c r="L38" s="424">
        <f>'2017-2018'!W90</f>
        <v>6</v>
      </c>
      <c r="M38" s="395" t="str">
        <f t="shared" si="3"/>
        <v>200,0</v>
      </c>
      <c r="N38" s="571">
        <f>'2017-2018'!F90</f>
        <v>2</v>
      </c>
      <c r="O38" s="424">
        <f>'2017-2018'!X90</f>
        <v>4</v>
      </c>
      <c r="P38" s="394" t="str">
        <f t="shared" si="4"/>
        <v>100,0</v>
      </c>
    </row>
    <row r="39" spans="1:16" ht="12.75" thickBot="1" x14ac:dyDescent="0.25">
      <c r="A39" s="395" t="s">
        <v>390</v>
      </c>
      <c r="B39" s="574">
        <f>'2017-2018'!B91</f>
        <v>60</v>
      </c>
      <c r="C39" s="575">
        <f>'2017-2018'!T91</f>
        <v>85</v>
      </c>
      <c r="D39" s="389" t="str">
        <f t="shared" si="0"/>
        <v>41,7</v>
      </c>
      <c r="E39" s="574">
        <f>'2017-2018'!C91</f>
        <v>6064204</v>
      </c>
      <c r="F39" s="575">
        <f>'2017-2018'!U91</f>
        <v>9948682</v>
      </c>
      <c r="G39" s="389" t="str">
        <f t="shared" si="1"/>
        <v>64,1</v>
      </c>
      <c r="H39" s="574">
        <f>'2017-2018'!D91</f>
        <v>15</v>
      </c>
      <c r="I39" s="575">
        <f>'2017-2018'!V91</f>
        <v>27</v>
      </c>
      <c r="J39" s="583" t="str">
        <f t="shared" si="2"/>
        <v>80,0</v>
      </c>
      <c r="K39" s="574">
        <f>'2017-2018'!E91</f>
        <v>16</v>
      </c>
      <c r="L39" s="575">
        <f>'2017-2018'!W91</f>
        <v>29</v>
      </c>
      <c r="M39" s="389" t="str">
        <f t="shared" si="3"/>
        <v>81,3</v>
      </c>
      <c r="N39" s="574">
        <f>'2017-2018'!F91</f>
        <v>62</v>
      </c>
      <c r="O39" s="575">
        <f>'2017-2018'!X91</f>
        <v>154</v>
      </c>
      <c r="P39" s="388" t="str">
        <f t="shared" si="4"/>
        <v>148,4</v>
      </c>
    </row>
  </sheetData>
  <mergeCells count="6">
    <mergeCell ref="A1:P1"/>
    <mergeCell ref="N4:P4"/>
    <mergeCell ref="B4:D4"/>
    <mergeCell ref="E4:G4"/>
    <mergeCell ref="H4:J4"/>
    <mergeCell ref="K4:M4"/>
  </mergeCells>
  <phoneticPr fontId="59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66"/>
  <sheetViews>
    <sheetView zoomScaleNormal="100" workbookViewId="0">
      <pane ySplit="5" topLeftCell="A6" activePane="bottomLeft" state="frozen"/>
      <selection activeCell="A3" sqref="A3"/>
      <selection pane="bottomLeft" activeCell="C6" sqref="C6"/>
    </sheetView>
  </sheetViews>
  <sheetFormatPr defaultColWidth="9.140625" defaultRowHeight="11.25" x14ac:dyDescent="0.2"/>
  <cols>
    <col min="1" max="1" width="21" style="3" bestFit="1" customWidth="1"/>
    <col min="2" max="3" width="6" style="3" bestFit="1" customWidth="1"/>
    <col min="4" max="4" width="6.28515625" style="3" bestFit="1" customWidth="1"/>
    <col min="5" max="5" width="7" style="3" bestFit="1" customWidth="1"/>
    <col min="6" max="6" width="5.140625" style="3" bestFit="1" customWidth="1"/>
    <col min="7" max="7" width="6.28515625" style="3" bestFit="1" customWidth="1"/>
    <col min="8" max="8" width="6.140625" style="3" bestFit="1" customWidth="1"/>
    <col min="9" max="11" width="6.28515625" style="3" bestFit="1" customWidth="1"/>
    <col min="12" max="12" width="6.140625" style="3" bestFit="1" customWidth="1"/>
    <col min="13" max="13" width="6.28515625" style="3" bestFit="1" customWidth="1"/>
    <col min="14" max="16384" width="9.140625" style="3"/>
  </cols>
  <sheetData>
    <row r="1" spans="1:13" x14ac:dyDescent="0.2">
      <c r="A1" s="1" t="s">
        <v>3</v>
      </c>
      <c r="B1" s="1"/>
      <c r="C1" s="2"/>
      <c r="D1" s="1"/>
      <c r="E1" s="1"/>
      <c r="F1" s="1"/>
      <c r="G1" s="1"/>
      <c r="H1" s="1"/>
      <c r="I1" s="1"/>
      <c r="J1" s="1"/>
    </row>
    <row r="2" spans="1:13" x14ac:dyDescent="0.2">
      <c r="A2" s="1" t="str">
        <f>Grig1!A2</f>
        <v xml:space="preserve"> Сведения по пожарам в Чувашской Республике с 00 ч.00мин. 01.01. по 00 ч.00мин. 16.11.2018 г.</v>
      </c>
      <c r="B2" s="1"/>
      <c r="C2" s="2"/>
      <c r="D2" s="1"/>
      <c r="E2" s="1"/>
      <c r="F2" s="1"/>
      <c r="G2" s="1"/>
      <c r="H2" s="1"/>
      <c r="I2" s="1"/>
      <c r="J2" s="1"/>
    </row>
    <row r="3" spans="1:13" ht="12" thickBot="1" x14ac:dyDescent="0.25">
      <c r="A3" s="1"/>
      <c r="B3" s="1"/>
      <c r="C3" s="2"/>
      <c r="D3" s="1"/>
      <c r="E3" s="1"/>
      <c r="F3" s="1"/>
      <c r="G3" s="1"/>
      <c r="H3" s="1"/>
      <c r="I3" s="1"/>
      <c r="J3" s="1"/>
    </row>
    <row r="4" spans="1:13" x14ac:dyDescent="0.2">
      <c r="A4" s="4" t="s">
        <v>7</v>
      </c>
      <c r="B4" s="5" t="s">
        <v>84</v>
      </c>
      <c r="C4" s="6"/>
      <c r="D4" s="7"/>
      <c r="E4" s="5" t="s">
        <v>85</v>
      </c>
      <c r="F4" s="6"/>
      <c r="G4" s="7"/>
      <c r="H4" s="5" t="s">
        <v>86</v>
      </c>
      <c r="I4" s="6"/>
      <c r="J4" s="7"/>
      <c r="K4" s="5" t="s">
        <v>87</v>
      </c>
      <c r="L4" s="6"/>
      <c r="M4" s="7"/>
    </row>
    <row r="5" spans="1:13" ht="12.75" thickBot="1" x14ac:dyDescent="0.25">
      <c r="A5" s="8"/>
      <c r="B5" s="422">
        <v>2017</v>
      </c>
      <c r="C5" s="427">
        <v>2018</v>
      </c>
      <c r="D5" s="82" t="s">
        <v>11</v>
      </c>
      <c r="E5" s="434">
        <f>B5</f>
        <v>2017</v>
      </c>
      <c r="F5" s="427">
        <f>C5</f>
        <v>2018</v>
      </c>
      <c r="G5" s="82" t="s">
        <v>11</v>
      </c>
      <c r="H5" s="434">
        <f>B5</f>
        <v>2017</v>
      </c>
      <c r="I5" s="427">
        <f>C5</f>
        <v>2018</v>
      </c>
      <c r="J5" s="82" t="s">
        <v>11</v>
      </c>
      <c r="K5" s="434">
        <f>B5</f>
        <v>2017</v>
      </c>
      <c r="L5" s="427">
        <f>C5</f>
        <v>2018</v>
      </c>
      <c r="M5" s="82" t="s">
        <v>11</v>
      </c>
    </row>
    <row r="6" spans="1:13" ht="12" thickBot="1" x14ac:dyDescent="0.25">
      <c r="A6" s="11" t="s">
        <v>161</v>
      </c>
      <c r="B6" s="431">
        <f>'2017-2018'!D3</f>
        <v>4</v>
      </c>
      <c r="C6" s="428">
        <f>'2017-2018'!V3</f>
        <v>4</v>
      </c>
      <c r="D6" s="12" t="str">
        <f t="shared" ref="D6:D34" si="0">IF(B6&lt;&gt;0,TEXT(((C6-B6)/B6)*100,"0,0"),"--")</f>
        <v>0,0</v>
      </c>
      <c r="E6" s="431">
        <f>'2017-2018'!E3</f>
        <v>4</v>
      </c>
      <c r="F6" s="428">
        <f>'2017-2018'!W3</f>
        <v>2</v>
      </c>
      <c r="G6" s="12" t="str">
        <f t="shared" ref="G6:G34" si="1">IF(E6&lt;&gt;0,TEXT(((F6-E6)/E6)*100,"0,0"),"--")</f>
        <v>-50,0</v>
      </c>
      <c r="H6" s="431">
        <f>'2017-2018'!K3</f>
        <v>32</v>
      </c>
      <c r="I6" s="428">
        <f>'2017-2018'!AC3</f>
        <v>43</v>
      </c>
      <c r="J6" s="12" t="str">
        <f t="shared" ref="J6:J34" si="2">IF(H6&lt;&gt;0,TEXT(((I6-H6)/H6)*100,"0,0"),"--")</f>
        <v>34,4</v>
      </c>
      <c r="K6" s="431">
        <f>'2017-2018'!M3</f>
        <v>10</v>
      </c>
      <c r="L6" s="428">
        <f>'2017-2018'!AE3</f>
        <v>3</v>
      </c>
      <c r="M6" s="12" t="str">
        <f t="shared" ref="M6:M34" si="3">IF(K6&lt;&gt;0,TEXT(((L6-K6)/K6)*100,"0,0"),"--")</f>
        <v>-70,0</v>
      </c>
    </row>
    <row r="7" spans="1:13" ht="12" thickBot="1" x14ac:dyDescent="0.25">
      <c r="A7" s="11" t="s">
        <v>164</v>
      </c>
      <c r="B7" s="431">
        <f>'2017-2018'!D4</f>
        <v>0</v>
      </c>
      <c r="C7" s="428">
        <f>'2017-2018'!V4</f>
        <v>1</v>
      </c>
      <c r="D7" s="12" t="str">
        <f t="shared" si="0"/>
        <v>--</v>
      </c>
      <c r="E7" s="431">
        <f>'2017-2018'!E4</f>
        <v>2</v>
      </c>
      <c r="F7" s="428">
        <f>'2017-2018'!W4</f>
        <v>1</v>
      </c>
      <c r="G7" s="12" t="str">
        <f t="shared" si="1"/>
        <v>-50,0</v>
      </c>
      <c r="H7" s="431">
        <f>'2017-2018'!K4</f>
        <v>11</v>
      </c>
      <c r="I7" s="428">
        <f>'2017-2018'!AC4</f>
        <v>15</v>
      </c>
      <c r="J7" s="12" t="str">
        <f t="shared" si="2"/>
        <v>36,4</v>
      </c>
      <c r="K7" s="431">
        <f>'2017-2018'!M4</f>
        <v>0</v>
      </c>
      <c r="L7" s="428">
        <f>'2017-2018'!AE4</f>
        <v>0</v>
      </c>
      <c r="M7" s="12" t="str">
        <f t="shared" si="3"/>
        <v>--</v>
      </c>
    </row>
    <row r="8" spans="1:13" ht="12" thickBot="1" x14ac:dyDescent="0.25">
      <c r="A8" s="11" t="s">
        <v>166</v>
      </c>
      <c r="B8" s="431">
        <f>'2017-2018'!D5</f>
        <v>1</v>
      </c>
      <c r="C8" s="428">
        <f>'2017-2018'!V5</f>
        <v>1</v>
      </c>
      <c r="D8" s="12" t="str">
        <f t="shared" si="0"/>
        <v>0,0</v>
      </c>
      <c r="E8" s="431">
        <f>'2017-2018'!E5</f>
        <v>2</v>
      </c>
      <c r="F8" s="428">
        <f>'2017-2018'!W5</f>
        <v>1</v>
      </c>
      <c r="G8" s="12" t="str">
        <f t="shared" si="1"/>
        <v>-50,0</v>
      </c>
      <c r="H8" s="431">
        <f>'2017-2018'!K5</f>
        <v>25</v>
      </c>
      <c r="I8" s="428">
        <f>'2017-2018'!AC5</f>
        <v>17</v>
      </c>
      <c r="J8" s="12" t="str">
        <f t="shared" si="2"/>
        <v>-32,0</v>
      </c>
      <c r="K8" s="431">
        <f>'2017-2018'!M5</f>
        <v>1</v>
      </c>
      <c r="L8" s="428">
        <f>'2017-2018'!AE5</f>
        <v>2</v>
      </c>
      <c r="M8" s="12" t="str">
        <f t="shared" si="3"/>
        <v>100,0</v>
      </c>
    </row>
    <row r="9" spans="1:13" ht="12" thickBot="1" x14ac:dyDescent="0.25">
      <c r="A9" s="11" t="s">
        <v>168</v>
      </c>
      <c r="B9" s="431">
        <f>'2017-2018'!D6</f>
        <v>3</v>
      </c>
      <c r="C9" s="428">
        <f>'2017-2018'!V6</f>
        <v>3</v>
      </c>
      <c r="D9" s="12" t="str">
        <f t="shared" si="0"/>
        <v>0,0</v>
      </c>
      <c r="E9" s="431">
        <f>'2017-2018'!E6</f>
        <v>3</v>
      </c>
      <c r="F9" s="428">
        <f>'2017-2018'!W6</f>
        <v>0</v>
      </c>
      <c r="G9" s="12" t="str">
        <f t="shared" si="1"/>
        <v>-100,0</v>
      </c>
      <c r="H9" s="431">
        <f>'2017-2018'!K6</f>
        <v>31</v>
      </c>
      <c r="I9" s="428">
        <f>'2017-2018'!AC6</f>
        <v>15</v>
      </c>
      <c r="J9" s="12" t="str">
        <f t="shared" si="2"/>
        <v>-51,6</v>
      </c>
      <c r="K9" s="431">
        <f>'2017-2018'!M6</f>
        <v>2</v>
      </c>
      <c r="L9" s="428">
        <f>'2017-2018'!AE6</f>
        <v>0</v>
      </c>
      <c r="M9" s="12" t="str">
        <f t="shared" si="3"/>
        <v>-100,0</v>
      </c>
    </row>
    <row r="10" spans="1:13" ht="12" thickBot="1" x14ac:dyDescent="0.25">
      <c r="A10" s="11" t="s">
        <v>170</v>
      </c>
      <c r="B10" s="431">
        <f>'2017-2018'!D7</f>
        <v>1</v>
      </c>
      <c r="C10" s="428">
        <f>'2017-2018'!V7</f>
        <v>1</v>
      </c>
      <c r="D10" s="12" t="str">
        <f t="shared" si="0"/>
        <v>0,0</v>
      </c>
      <c r="E10" s="431">
        <f>'2017-2018'!E7</f>
        <v>3</v>
      </c>
      <c r="F10" s="428">
        <f>'2017-2018'!W7</f>
        <v>3</v>
      </c>
      <c r="G10" s="12" t="str">
        <f t="shared" si="1"/>
        <v>0,0</v>
      </c>
      <c r="H10" s="431">
        <f>'2017-2018'!K7</f>
        <v>17</v>
      </c>
      <c r="I10" s="428">
        <f>'2017-2018'!AC7</f>
        <v>21</v>
      </c>
      <c r="J10" s="12" t="str">
        <f t="shared" si="2"/>
        <v>23,5</v>
      </c>
      <c r="K10" s="431">
        <f>'2017-2018'!M7</f>
        <v>0</v>
      </c>
      <c r="L10" s="428">
        <f>'2017-2018'!AE7</f>
        <v>0</v>
      </c>
      <c r="M10" s="12" t="str">
        <f t="shared" si="3"/>
        <v>--</v>
      </c>
    </row>
    <row r="11" spans="1:13" ht="12" thickBot="1" x14ac:dyDescent="0.25">
      <c r="A11" s="11" t="s">
        <v>173</v>
      </c>
      <c r="B11" s="431">
        <f>'2017-2018'!D8</f>
        <v>5</v>
      </c>
      <c r="C11" s="428">
        <f>'2017-2018'!V8</f>
        <v>6</v>
      </c>
      <c r="D11" s="12" t="str">
        <f t="shared" si="0"/>
        <v>20,0</v>
      </c>
      <c r="E11" s="431">
        <f>'2017-2018'!E8</f>
        <v>2</v>
      </c>
      <c r="F11" s="428">
        <f>'2017-2018'!W8</f>
        <v>10</v>
      </c>
      <c r="G11" s="12" t="str">
        <f t="shared" si="1"/>
        <v>400,0</v>
      </c>
      <c r="H11" s="431">
        <f>'2017-2018'!K8</f>
        <v>20</v>
      </c>
      <c r="I11" s="428">
        <f>'2017-2018'!AC8</f>
        <v>42</v>
      </c>
      <c r="J11" s="12" t="str">
        <f t="shared" si="2"/>
        <v>110,0</v>
      </c>
      <c r="K11" s="431">
        <f>'2017-2018'!M8</f>
        <v>6</v>
      </c>
      <c r="L11" s="428">
        <f>'2017-2018'!AE8</f>
        <v>5</v>
      </c>
      <c r="M11" s="12" t="str">
        <f t="shared" si="3"/>
        <v>-16,7</v>
      </c>
    </row>
    <row r="12" spans="1:13" ht="12" thickBot="1" x14ac:dyDescent="0.25">
      <c r="A12" s="11" t="s">
        <v>175</v>
      </c>
      <c r="B12" s="431">
        <f>'2017-2018'!D9</f>
        <v>5</v>
      </c>
      <c r="C12" s="428">
        <f>'2017-2018'!V9</f>
        <v>2</v>
      </c>
      <c r="D12" s="12" t="str">
        <f t="shared" si="0"/>
        <v>-60,0</v>
      </c>
      <c r="E12" s="431">
        <f>'2017-2018'!E9</f>
        <v>3</v>
      </c>
      <c r="F12" s="428">
        <f>'2017-2018'!W9</f>
        <v>1</v>
      </c>
      <c r="G12" s="12" t="str">
        <f t="shared" si="1"/>
        <v>-66,7</v>
      </c>
      <c r="H12" s="431">
        <f>'2017-2018'!K9</f>
        <v>13</v>
      </c>
      <c r="I12" s="428">
        <f>'2017-2018'!AC9</f>
        <v>12</v>
      </c>
      <c r="J12" s="12" t="str">
        <f t="shared" si="2"/>
        <v>-7,7</v>
      </c>
      <c r="K12" s="431">
        <f>'2017-2018'!M9</f>
        <v>2</v>
      </c>
      <c r="L12" s="428">
        <f>'2017-2018'!AE9</f>
        <v>1</v>
      </c>
      <c r="M12" s="12" t="str">
        <f t="shared" si="3"/>
        <v>-50,0</v>
      </c>
    </row>
    <row r="13" spans="1:13" ht="12" thickBot="1" x14ac:dyDescent="0.25">
      <c r="A13" s="11" t="s">
        <v>177</v>
      </c>
      <c r="B13" s="431">
        <f>'2017-2018'!D10</f>
        <v>2</v>
      </c>
      <c r="C13" s="428">
        <f>'2017-2018'!V10</f>
        <v>1</v>
      </c>
      <c r="D13" s="12" t="str">
        <f t="shared" si="0"/>
        <v>-50,0</v>
      </c>
      <c r="E13" s="431">
        <f>'2017-2018'!E10</f>
        <v>0</v>
      </c>
      <c r="F13" s="428">
        <f>'2017-2018'!W10</f>
        <v>1</v>
      </c>
      <c r="G13" s="12" t="str">
        <f t="shared" si="1"/>
        <v>--</v>
      </c>
      <c r="H13" s="431">
        <f>'2017-2018'!K10</f>
        <v>9</v>
      </c>
      <c r="I13" s="428">
        <f>'2017-2018'!AC10</f>
        <v>11</v>
      </c>
      <c r="J13" s="12" t="str">
        <f t="shared" si="2"/>
        <v>22,2</v>
      </c>
      <c r="K13" s="431">
        <f>'2017-2018'!M10</f>
        <v>1</v>
      </c>
      <c r="L13" s="428">
        <f>'2017-2018'!AE10</f>
        <v>1</v>
      </c>
      <c r="M13" s="12" t="str">
        <f t="shared" si="3"/>
        <v>0,0</v>
      </c>
    </row>
    <row r="14" spans="1:13" ht="12" thickBot="1" x14ac:dyDescent="0.25">
      <c r="A14" s="11" t="s">
        <v>179</v>
      </c>
      <c r="B14" s="431">
        <f>'2017-2018'!D11</f>
        <v>0</v>
      </c>
      <c r="C14" s="428">
        <f>'2017-2018'!V11</f>
        <v>0</v>
      </c>
      <c r="D14" s="12" t="str">
        <f t="shared" si="0"/>
        <v>--</v>
      </c>
      <c r="E14" s="431">
        <f>'2017-2018'!E11</f>
        <v>0</v>
      </c>
      <c r="F14" s="428">
        <f>'2017-2018'!W11</f>
        <v>0</v>
      </c>
      <c r="G14" s="12" t="str">
        <f t="shared" si="1"/>
        <v>--</v>
      </c>
      <c r="H14" s="431">
        <f>'2017-2018'!K11</f>
        <v>6</v>
      </c>
      <c r="I14" s="428">
        <f>'2017-2018'!AC11</f>
        <v>4</v>
      </c>
      <c r="J14" s="12" t="str">
        <f t="shared" si="2"/>
        <v>-33,3</v>
      </c>
      <c r="K14" s="431">
        <f>'2017-2018'!M11</f>
        <v>0</v>
      </c>
      <c r="L14" s="428">
        <f>'2017-2018'!AE11</f>
        <v>0</v>
      </c>
      <c r="M14" s="12" t="str">
        <f t="shared" si="3"/>
        <v>--</v>
      </c>
    </row>
    <row r="15" spans="1:13" ht="12" thickBot="1" x14ac:dyDescent="0.25">
      <c r="A15" s="11" t="s">
        <v>181</v>
      </c>
      <c r="B15" s="431">
        <f>'2017-2018'!D12</f>
        <v>1</v>
      </c>
      <c r="C15" s="428">
        <f>'2017-2018'!V12</f>
        <v>2</v>
      </c>
      <c r="D15" s="12" t="str">
        <f t="shared" si="0"/>
        <v>100,0</v>
      </c>
      <c r="E15" s="431">
        <f>'2017-2018'!E12</f>
        <v>0</v>
      </c>
      <c r="F15" s="428">
        <f>'2017-2018'!W12</f>
        <v>0</v>
      </c>
      <c r="G15" s="12" t="str">
        <f t="shared" si="1"/>
        <v>--</v>
      </c>
      <c r="H15" s="431">
        <f>'2017-2018'!K12</f>
        <v>10</v>
      </c>
      <c r="I15" s="428">
        <f>'2017-2018'!AC12</f>
        <v>31</v>
      </c>
      <c r="J15" s="12" t="str">
        <f t="shared" si="2"/>
        <v>210,0</v>
      </c>
      <c r="K15" s="431">
        <f>'2017-2018'!M12</f>
        <v>0</v>
      </c>
      <c r="L15" s="428">
        <f>'2017-2018'!AE12</f>
        <v>0</v>
      </c>
      <c r="M15" s="12" t="str">
        <f t="shared" si="3"/>
        <v>--</v>
      </c>
    </row>
    <row r="16" spans="1:13" ht="12" thickBot="1" x14ac:dyDescent="0.25">
      <c r="A16" s="11" t="s">
        <v>183</v>
      </c>
      <c r="B16" s="431">
        <f>'2017-2018'!D13</f>
        <v>4</v>
      </c>
      <c r="C16" s="428">
        <f>'2017-2018'!V13</f>
        <v>2</v>
      </c>
      <c r="D16" s="12" t="str">
        <f t="shared" si="0"/>
        <v>-50,0</v>
      </c>
      <c r="E16" s="431">
        <f>'2017-2018'!E13</f>
        <v>1</v>
      </c>
      <c r="F16" s="428">
        <f>'2017-2018'!W13</f>
        <v>0</v>
      </c>
      <c r="G16" s="12" t="str">
        <f t="shared" si="1"/>
        <v>-100,0</v>
      </c>
      <c r="H16" s="431">
        <f>'2017-2018'!K13</f>
        <v>14</v>
      </c>
      <c r="I16" s="428">
        <f>'2017-2018'!AC13</f>
        <v>17</v>
      </c>
      <c r="J16" s="12" t="str">
        <f t="shared" si="2"/>
        <v>21,4</v>
      </c>
      <c r="K16" s="431">
        <f>'2017-2018'!M13</f>
        <v>2</v>
      </c>
      <c r="L16" s="428">
        <f>'2017-2018'!AE13</f>
        <v>4</v>
      </c>
      <c r="M16" s="12" t="str">
        <f t="shared" si="3"/>
        <v>100,0</v>
      </c>
    </row>
    <row r="17" spans="1:13" ht="12" thickBot="1" x14ac:dyDescent="0.25">
      <c r="A17" s="11" t="s">
        <v>185</v>
      </c>
      <c r="B17" s="431">
        <f>'2017-2018'!D14</f>
        <v>4</v>
      </c>
      <c r="C17" s="428">
        <f>'2017-2018'!V14</f>
        <v>4</v>
      </c>
      <c r="D17" s="12" t="str">
        <f t="shared" si="0"/>
        <v>0,0</v>
      </c>
      <c r="E17" s="431">
        <f>'2017-2018'!E14</f>
        <v>4</v>
      </c>
      <c r="F17" s="428">
        <f>'2017-2018'!W14</f>
        <v>0</v>
      </c>
      <c r="G17" s="12" t="str">
        <f t="shared" si="1"/>
        <v>-100,0</v>
      </c>
      <c r="H17" s="431">
        <f>'2017-2018'!K14</f>
        <v>23</v>
      </c>
      <c r="I17" s="428">
        <f>'2017-2018'!AC14</f>
        <v>42</v>
      </c>
      <c r="J17" s="12" t="str">
        <f t="shared" si="2"/>
        <v>82,6</v>
      </c>
      <c r="K17" s="431">
        <f>'2017-2018'!M14</f>
        <v>0</v>
      </c>
      <c r="L17" s="428">
        <f>'2017-2018'!AE14</f>
        <v>1</v>
      </c>
      <c r="M17" s="12" t="str">
        <f t="shared" si="3"/>
        <v>--</v>
      </c>
    </row>
    <row r="18" spans="1:13" ht="12" thickBot="1" x14ac:dyDescent="0.25">
      <c r="A18" s="9" t="s">
        <v>188</v>
      </c>
      <c r="B18" s="18">
        <f>'2017-2018'!D27</f>
        <v>1</v>
      </c>
      <c r="C18" s="380">
        <f>'2017-2018'!V27</f>
        <v>1</v>
      </c>
      <c r="D18" s="10" t="str">
        <f t="shared" si="0"/>
        <v>0,0</v>
      </c>
      <c r="E18" s="18">
        <f>'2017-2018'!E27</f>
        <v>3</v>
      </c>
      <c r="F18" s="380">
        <f>'2017-2018'!W27</f>
        <v>11</v>
      </c>
      <c r="G18" s="10" t="str">
        <f t="shared" si="1"/>
        <v>266,7</v>
      </c>
      <c r="H18" s="18">
        <f>'2017-2018'!K27</f>
        <v>3</v>
      </c>
      <c r="I18" s="380">
        <f>'2017-2018'!AC27</f>
        <v>16</v>
      </c>
      <c r="J18" s="10" t="str">
        <f t="shared" si="2"/>
        <v>433,3</v>
      </c>
      <c r="K18" s="18">
        <f>'2017-2018'!M27</f>
        <v>1</v>
      </c>
      <c r="L18" s="380">
        <f>'2017-2018'!AE27</f>
        <v>8</v>
      </c>
      <c r="M18" s="10" t="str">
        <f t="shared" si="3"/>
        <v>700,0</v>
      </c>
    </row>
    <row r="19" spans="1:13" ht="12" thickBot="1" x14ac:dyDescent="0.25">
      <c r="A19" s="11" t="s">
        <v>189</v>
      </c>
      <c r="B19" s="431">
        <f>'2017-2018'!D15</f>
        <v>0</v>
      </c>
      <c r="C19" s="428">
        <f>'2017-2018'!V15</f>
        <v>1</v>
      </c>
      <c r="D19" s="12" t="str">
        <f t="shared" si="0"/>
        <v>--</v>
      </c>
      <c r="E19" s="431">
        <f>'2017-2018'!E15</f>
        <v>1</v>
      </c>
      <c r="F19" s="428">
        <f>'2017-2018'!W15</f>
        <v>2</v>
      </c>
      <c r="G19" s="12" t="str">
        <f t="shared" si="1"/>
        <v>100,0</v>
      </c>
      <c r="H19" s="431">
        <f>'2017-2018'!K15</f>
        <v>8</v>
      </c>
      <c r="I19" s="428">
        <f>'2017-2018'!AC15</f>
        <v>11</v>
      </c>
      <c r="J19" s="12" t="str">
        <f t="shared" si="2"/>
        <v>37,5</v>
      </c>
      <c r="K19" s="431">
        <f>'2017-2018'!M15</f>
        <v>0</v>
      </c>
      <c r="L19" s="428">
        <f>'2017-2018'!AE15</f>
        <v>0</v>
      </c>
      <c r="M19" s="12" t="str">
        <f t="shared" si="3"/>
        <v>--</v>
      </c>
    </row>
    <row r="20" spans="1:13" ht="12" thickBot="1" x14ac:dyDescent="0.25">
      <c r="A20" s="11" t="s">
        <v>191</v>
      </c>
      <c r="B20" s="431">
        <f>'2017-2018'!D16</f>
        <v>1</v>
      </c>
      <c r="C20" s="428">
        <f>'2017-2018'!V16</f>
        <v>3</v>
      </c>
      <c r="D20" s="12" t="str">
        <f t="shared" si="0"/>
        <v>200,0</v>
      </c>
      <c r="E20" s="431">
        <f>'2017-2018'!E16</f>
        <v>1</v>
      </c>
      <c r="F20" s="428">
        <f>'2017-2018'!W16</f>
        <v>2</v>
      </c>
      <c r="G20" s="12" t="str">
        <f t="shared" si="1"/>
        <v>100,0</v>
      </c>
      <c r="H20" s="431">
        <f>'2017-2018'!K16</f>
        <v>10</v>
      </c>
      <c r="I20" s="428">
        <f>'2017-2018'!AC16</f>
        <v>15</v>
      </c>
      <c r="J20" s="12" t="str">
        <f t="shared" si="2"/>
        <v>50,0</v>
      </c>
      <c r="K20" s="431">
        <f>'2017-2018'!M16</f>
        <v>1</v>
      </c>
      <c r="L20" s="428">
        <f>'2017-2018'!AE16</f>
        <v>0</v>
      </c>
      <c r="M20" s="12" t="str">
        <f t="shared" si="3"/>
        <v>-100,0</v>
      </c>
    </row>
    <row r="21" spans="1:13" ht="12" thickBot="1" x14ac:dyDescent="0.25">
      <c r="A21" s="11" t="s">
        <v>193</v>
      </c>
      <c r="B21" s="431">
        <f>'2017-2018'!D17</f>
        <v>1</v>
      </c>
      <c r="C21" s="428">
        <f>'2017-2018'!V17</f>
        <v>2</v>
      </c>
      <c r="D21" s="12" t="str">
        <f t="shared" si="0"/>
        <v>100,0</v>
      </c>
      <c r="E21" s="431">
        <f>'2017-2018'!E17</f>
        <v>4</v>
      </c>
      <c r="F21" s="428">
        <f>'2017-2018'!W17</f>
        <v>7</v>
      </c>
      <c r="G21" s="12" t="str">
        <f t="shared" si="1"/>
        <v>75,0</v>
      </c>
      <c r="H21" s="431">
        <f>'2017-2018'!K17</f>
        <v>12</v>
      </c>
      <c r="I21" s="428">
        <f>'2017-2018'!AC17</f>
        <v>10</v>
      </c>
      <c r="J21" s="12" t="str">
        <f t="shared" si="2"/>
        <v>-16,7</v>
      </c>
      <c r="K21" s="431">
        <f>'2017-2018'!M17</f>
        <v>0</v>
      </c>
      <c r="L21" s="428">
        <f>'2017-2018'!AE17</f>
        <v>1</v>
      </c>
      <c r="M21" s="12" t="str">
        <f t="shared" si="3"/>
        <v>--</v>
      </c>
    </row>
    <row r="22" spans="1:13" ht="12" thickBot="1" x14ac:dyDescent="0.25">
      <c r="A22" s="11" t="s">
        <v>195</v>
      </c>
      <c r="B22" s="431">
        <f>'2017-2018'!D18</f>
        <v>6</v>
      </c>
      <c r="C22" s="428">
        <f>'2017-2018'!V18</f>
        <v>3</v>
      </c>
      <c r="D22" s="12" t="str">
        <f t="shared" si="0"/>
        <v>-50,0</v>
      </c>
      <c r="E22" s="431">
        <f>'2017-2018'!E18</f>
        <v>4</v>
      </c>
      <c r="F22" s="428">
        <f>'2017-2018'!W18</f>
        <v>2</v>
      </c>
      <c r="G22" s="12" t="str">
        <f t="shared" si="1"/>
        <v>-50,0</v>
      </c>
      <c r="H22" s="431">
        <f>'2017-2018'!K18</f>
        <v>42</v>
      </c>
      <c r="I22" s="428">
        <f>'2017-2018'!AC18</f>
        <v>26</v>
      </c>
      <c r="J22" s="12" t="str">
        <f t="shared" si="2"/>
        <v>-38,1</v>
      </c>
      <c r="K22" s="431">
        <f>'2017-2018'!M18</f>
        <v>3</v>
      </c>
      <c r="L22" s="428">
        <f>'2017-2018'!AE18</f>
        <v>4</v>
      </c>
      <c r="M22" s="12" t="str">
        <f t="shared" si="3"/>
        <v>33,3</v>
      </c>
    </row>
    <row r="23" spans="1:13" ht="12" thickBot="1" x14ac:dyDescent="0.25">
      <c r="A23" s="11" t="s">
        <v>197</v>
      </c>
      <c r="B23" s="431">
        <f>'2017-2018'!D19</f>
        <v>1</v>
      </c>
      <c r="C23" s="428">
        <f>'2017-2018'!V19</f>
        <v>2</v>
      </c>
      <c r="D23" s="12" t="str">
        <f t="shared" si="0"/>
        <v>100,0</v>
      </c>
      <c r="E23" s="431">
        <f>'2017-2018'!E19</f>
        <v>1</v>
      </c>
      <c r="F23" s="428">
        <f>'2017-2018'!W19</f>
        <v>1</v>
      </c>
      <c r="G23" s="12" t="str">
        <f t="shared" si="1"/>
        <v>0,0</v>
      </c>
      <c r="H23" s="431">
        <f>'2017-2018'!K19</f>
        <v>4</v>
      </c>
      <c r="I23" s="428">
        <f>'2017-2018'!AC19</f>
        <v>16</v>
      </c>
      <c r="J23" s="12" t="str">
        <f t="shared" si="2"/>
        <v>300,0</v>
      </c>
      <c r="K23" s="431">
        <f>'2017-2018'!M19</f>
        <v>0</v>
      </c>
      <c r="L23" s="428">
        <f>'2017-2018'!AE19</f>
        <v>0</v>
      </c>
      <c r="M23" s="12" t="str">
        <f t="shared" si="3"/>
        <v>--</v>
      </c>
    </row>
    <row r="24" spans="1:13" ht="12" thickBot="1" x14ac:dyDescent="0.25">
      <c r="A24" s="11" t="s">
        <v>199</v>
      </c>
      <c r="B24" s="431">
        <f>'2017-2018'!D20</f>
        <v>2</v>
      </c>
      <c r="C24" s="428">
        <f>'2017-2018'!V20</f>
        <v>3</v>
      </c>
      <c r="D24" s="12" t="str">
        <f t="shared" si="0"/>
        <v>50,0</v>
      </c>
      <c r="E24" s="431">
        <f>'2017-2018'!E20</f>
        <v>3</v>
      </c>
      <c r="F24" s="428">
        <f>'2017-2018'!W20</f>
        <v>4</v>
      </c>
      <c r="G24" s="12" t="str">
        <f t="shared" si="1"/>
        <v>33,3</v>
      </c>
      <c r="H24" s="431">
        <f>'2017-2018'!K20</f>
        <v>32</v>
      </c>
      <c r="I24" s="428">
        <f>'2017-2018'!AC20</f>
        <v>18</v>
      </c>
      <c r="J24" s="12" t="str">
        <f t="shared" si="2"/>
        <v>-43,8</v>
      </c>
      <c r="K24" s="431">
        <f>'2017-2018'!M20</f>
        <v>1</v>
      </c>
      <c r="L24" s="428">
        <f>'2017-2018'!AE20</f>
        <v>3</v>
      </c>
      <c r="M24" s="12" t="str">
        <f t="shared" si="3"/>
        <v>200,0</v>
      </c>
    </row>
    <row r="25" spans="1:13" ht="12" thickBot="1" x14ac:dyDescent="0.25">
      <c r="A25" s="11" t="s">
        <v>201</v>
      </c>
      <c r="B25" s="431">
        <f>'2017-2018'!D21</f>
        <v>1</v>
      </c>
      <c r="C25" s="428">
        <f>'2017-2018'!V21</f>
        <v>4</v>
      </c>
      <c r="D25" s="12" t="str">
        <f t="shared" si="0"/>
        <v>300,0</v>
      </c>
      <c r="E25" s="431">
        <f>'2017-2018'!E21</f>
        <v>1</v>
      </c>
      <c r="F25" s="428">
        <f>'2017-2018'!W21</f>
        <v>3</v>
      </c>
      <c r="G25" s="12" t="str">
        <f t="shared" si="1"/>
        <v>200,0</v>
      </c>
      <c r="H25" s="431">
        <f>'2017-2018'!K21</f>
        <v>28</v>
      </c>
      <c r="I25" s="428">
        <f>'2017-2018'!AC21</f>
        <v>18</v>
      </c>
      <c r="J25" s="12" t="str">
        <f t="shared" si="2"/>
        <v>-35,7</v>
      </c>
      <c r="K25" s="431">
        <f>'2017-2018'!M21</f>
        <v>3</v>
      </c>
      <c r="L25" s="428">
        <f>'2017-2018'!AE21</f>
        <v>1</v>
      </c>
      <c r="M25" s="12" t="str">
        <f t="shared" si="3"/>
        <v>-66,7</v>
      </c>
    </row>
    <row r="26" spans="1:13" ht="12" thickBot="1" x14ac:dyDescent="0.25">
      <c r="A26" s="11" t="s">
        <v>203</v>
      </c>
      <c r="B26" s="431">
        <f>'2017-2018'!D22</f>
        <v>2</v>
      </c>
      <c r="C26" s="428">
        <f>'2017-2018'!V22</f>
        <v>5</v>
      </c>
      <c r="D26" s="12" t="str">
        <f t="shared" si="0"/>
        <v>150,0</v>
      </c>
      <c r="E26" s="431">
        <f>'2017-2018'!E22</f>
        <v>2</v>
      </c>
      <c r="F26" s="428">
        <f>'2017-2018'!W22</f>
        <v>0</v>
      </c>
      <c r="G26" s="12" t="str">
        <f t="shared" si="1"/>
        <v>-100,0</v>
      </c>
      <c r="H26" s="431">
        <f>'2017-2018'!K22</f>
        <v>2</v>
      </c>
      <c r="I26" s="428">
        <f>'2017-2018'!AC22</f>
        <v>4</v>
      </c>
      <c r="J26" s="12" t="str">
        <f t="shared" si="2"/>
        <v>100,0</v>
      </c>
      <c r="K26" s="431">
        <f>'2017-2018'!M22</f>
        <v>0</v>
      </c>
      <c r="L26" s="428">
        <f>'2017-2018'!AE22</f>
        <v>0</v>
      </c>
      <c r="M26" s="12" t="str">
        <f t="shared" si="3"/>
        <v>--</v>
      </c>
    </row>
    <row r="27" spans="1:13" ht="12" thickBot="1" x14ac:dyDescent="0.25">
      <c r="A27" s="11" t="s">
        <v>205</v>
      </c>
      <c r="B27" s="431">
        <f>'2017-2018'!D23</f>
        <v>3</v>
      </c>
      <c r="C27" s="428">
        <f>'2017-2018'!V23</f>
        <v>1</v>
      </c>
      <c r="D27" s="12" t="str">
        <f t="shared" si="0"/>
        <v>-66,7</v>
      </c>
      <c r="E27" s="431">
        <f>'2017-2018'!E23</f>
        <v>0</v>
      </c>
      <c r="F27" s="428">
        <f>'2017-2018'!W23</f>
        <v>0</v>
      </c>
      <c r="G27" s="12" t="str">
        <f t="shared" si="1"/>
        <v>--</v>
      </c>
      <c r="H27" s="431">
        <f>'2017-2018'!K23</f>
        <v>8</v>
      </c>
      <c r="I27" s="428">
        <f>'2017-2018'!AC23</f>
        <v>4</v>
      </c>
      <c r="J27" s="12" t="str">
        <f t="shared" si="2"/>
        <v>-50,0</v>
      </c>
      <c r="K27" s="431">
        <f>'2017-2018'!M23</f>
        <v>1</v>
      </c>
      <c r="L27" s="428">
        <f>'2017-2018'!AE23</f>
        <v>0</v>
      </c>
      <c r="M27" s="12" t="str">
        <f t="shared" si="3"/>
        <v>-100,0</v>
      </c>
    </row>
    <row r="28" spans="1:13" x14ac:dyDescent="0.2">
      <c r="A28" s="11" t="s">
        <v>158</v>
      </c>
      <c r="B28" s="431">
        <f>'2017-2018'!D24</f>
        <v>5</v>
      </c>
      <c r="C28" s="428">
        <f>'2017-2018'!V24</f>
        <v>0</v>
      </c>
      <c r="D28" s="12" t="str">
        <f t="shared" si="0"/>
        <v>-100,0</v>
      </c>
      <c r="E28" s="431">
        <f>'2017-2018'!E24</f>
        <v>7</v>
      </c>
      <c r="F28" s="428">
        <f>'2017-2018'!W24</f>
        <v>4</v>
      </c>
      <c r="G28" s="12" t="str">
        <f t="shared" si="1"/>
        <v>-42,9</v>
      </c>
      <c r="H28" s="431">
        <f>'2017-2018'!K24</f>
        <v>12</v>
      </c>
      <c r="I28" s="428">
        <f>'2017-2018'!AC24</f>
        <v>9</v>
      </c>
      <c r="J28" s="12" t="str">
        <f t="shared" si="2"/>
        <v>-25,0</v>
      </c>
      <c r="K28" s="431">
        <f>'2017-2018'!M24</f>
        <v>1</v>
      </c>
      <c r="L28" s="428">
        <f>'2017-2018'!AE24</f>
        <v>4</v>
      </c>
      <c r="M28" s="12" t="str">
        <f t="shared" si="3"/>
        <v>300,0</v>
      </c>
    </row>
    <row r="29" spans="1:13" x14ac:dyDescent="0.2">
      <c r="A29" s="13" t="s">
        <v>159</v>
      </c>
      <c r="B29" s="432">
        <f>'2017-2018'!D26</f>
        <v>3</v>
      </c>
      <c r="C29" s="429">
        <f>'2017-2018'!V26</f>
        <v>2</v>
      </c>
      <c r="D29" s="14" t="str">
        <f t="shared" si="0"/>
        <v>-33,3</v>
      </c>
      <c r="E29" s="432">
        <f>'2017-2018'!E26</f>
        <v>6</v>
      </c>
      <c r="F29" s="429">
        <f>'2017-2018'!W26</f>
        <v>6</v>
      </c>
      <c r="G29" s="14" t="str">
        <f t="shared" si="1"/>
        <v>0,0</v>
      </c>
      <c r="H29" s="432">
        <f>'2017-2018'!K26</f>
        <v>15</v>
      </c>
      <c r="I29" s="429">
        <f>'2017-2018'!AC26</f>
        <v>15</v>
      </c>
      <c r="J29" s="14" t="str">
        <f t="shared" si="2"/>
        <v>0,0</v>
      </c>
      <c r="K29" s="432">
        <f>'2017-2018'!M26</f>
        <v>5</v>
      </c>
      <c r="L29" s="429">
        <f>'2017-2018'!AE26</f>
        <v>4</v>
      </c>
      <c r="M29" s="14" t="str">
        <f t="shared" si="3"/>
        <v>-20,0</v>
      </c>
    </row>
    <row r="30" spans="1:13" ht="12" thickBot="1" x14ac:dyDescent="0.25">
      <c r="A30" s="15" t="s">
        <v>160</v>
      </c>
      <c r="B30" s="433">
        <f>'2017-2018'!D25</f>
        <v>1</v>
      </c>
      <c r="C30" s="430">
        <f>'2017-2018'!V25</f>
        <v>5</v>
      </c>
      <c r="D30" s="16" t="str">
        <f t="shared" si="0"/>
        <v>400,0</v>
      </c>
      <c r="E30" s="433">
        <f>'2017-2018'!E25</f>
        <v>5</v>
      </c>
      <c r="F30" s="430">
        <f>'2017-2018'!W25</f>
        <v>11</v>
      </c>
      <c r="G30" s="16" t="str">
        <f t="shared" si="1"/>
        <v>120,0</v>
      </c>
      <c r="H30" s="433">
        <f>'2017-2018'!K25</f>
        <v>6</v>
      </c>
      <c r="I30" s="430">
        <f>'2017-2018'!AC25</f>
        <v>20</v>
      </c>
      <c r="J30" s="16" t="str">
        <f t="shared" si="2"/>
        <v>233,3</v>
      </c>
      <c r="K30" s="433">
        <f>'2017-2018'!M25</f>
        <v>8</v>
      </c>
      <c r="L30" s="430">
        <f>'2017-2018'!AE25</f>
        <v>2</v>
      </c>
      <c r="M30" s="16" t="str">
        <f t="shared" si="3"/>
        <v>-75,0</v>
      </c>
    </row>
    <row r="31" spans="1:13" ht="12" thickBot="1" x14ac:dyDescent="0.25">
      <c r="A31" s="9" t="s">
        <v>157</v>
      </c>
      <c r="B31" s="18">
        <f>B28+B29+B30</f>
        <v>9</v>
      </c>
      <c r="C31" s="380">
        <f>C28+C29+C30</f>
        <v>7</v>
      </c>
      <c r="D31" s="10" t="str">
        <f t="shared" si="0"/>
        <v>-22,2</v>
      </c>
      <c r="E31" s="18">
        <f>E28+E29+E30</f>
        <v>18</v>
      </c>
      <c r="F31" s="380">
        <f>F28+F29+F30</f>
        <v>21</v>
      </c>
      <c r="G31" s="10" t="str">
        <f t="shared" si="1"/>
        <v>16,7</v>
      </c>
      <c r="H31" s="18">
        <f>H28+H29+H30</f>
        <v>33</v>
      </c>
      <c r="I31" s="380">
        <f>I28+I29+I30</f>
        <v>44</v>
      </c>
      <c r="J31" s="10" t="str">
        <f t="shared" si="2"/>
        <v>33,3</v>
      </c>
      <c r="K31" s="18">
        <f>K28+K29+K30</f>
        <v>14</v>
      </c>
      <c r="L31" s="380">
        <f>L28+L29+L30</f>
        <v>10</v>
      </c>
      <c r="M31" s="10" t="str">
        <f t="shared" si="3"/>
        <v>-28,6</v>
      </c>
    </row>
    <row r="32" spans="1:13" ht="12" hidden="1" thickBot="1" x14ac:dyDescent="0.25">
      <c r="A32" s="19" t="s">
        <v>4</v>
      </c>
      <c r="B32" s="18"/>
      <c r="C32" s="380"/>
      <c r="D32" s="10" t="str">
        <f t="shared" si="0"/>
        <v>--</v>
      </c>
      <c r="E32" s="18"/>
      <c r="F32" s="380"/>
      <c r="G32" s="10" t="str">
        <f t="shared" si="1"/>
        <v>--</v>
      </c>
      <c r="H32" s="18"/>
      <c r="I32" s="380"/>
      <c r="J32" s="10" t="str">
        <f t="shared" si="2"/>
        <v>--</v>
      </c>
      <c r="K32" s="18"/>
      <c r="L32" s="380"/>
      <c r="M32" s="10" t="str">
        <f t="shared" si="3"/>
        <v>--</v>
      </c>
    </row>
    <row r="33" spans="1:13" ht="12" hidden="1" thickBot="1" x14ac:dyDescent="0.25">
      <c r="A33" s="19" t="s">
        <v>5</v>
      </c>
      <c r="B33" s="18"/>
      <c r="C33" s="380"/>
      <c r="D33" s="10" t="str">
        <f t="shared" si="0"/>
        <v>--</v>
      </c>
      <c r="E33" s="18"/>
      <c r="F33" s="380"/>
      <c r="G33" s="10" t="str">
        <f t="shared" si="1"/>
        <v>--</v>
      </c>
      <c r="H33" s="18"/>
      <c r="I33" s="380"/>
      <c r="J33" s="10" t="str">
        <f t="shared" si="2"/>
        <v>--</v>
      </c>
      <c r="K33" s="18"/>
      <c r="L33" s="380"/>
      <c r="M33" s="10" t="str">
        <f t="shared" si="3"/>
        <v>--</v>
      </c>
    </row>
    <row r="34" spans="1:13" ht="12" thickBot="1" x14ac:dyDescent="0.25">
      <c r="A34" s="19" t="s">
        <v>6</v>
      </c>
      <c r="B34" s="18">
        <f>SUM(B6:B30)</f>
        <v>57</v>
      </c>
      <c r="C34" s="380">
        <f>SUM(C6:C30)</f>
        <v>59</v>
      </c>
      <c r="D34" s="10" t="str">
        <f t="shared" si="0"/>
        <v>3,5</v>
      </c>
      <c r="E34" s="18">
        <f>SUM(E6:E30)</f>
        <v>62</v>
      </c>
      <c r="F34" s="380">
        <f>SUM(F6:F30)</f>
        <v>72</v>
      </c>
      <c r="G34" s="10" t="str">
        <f t="shared" si="1"/>
        <v>16,1</v>
      </c>
      <c r="H34" s="18">
        <f>SUM(H6:H30)</f>
        <v>393</v>
      </c>
      <c r="I34" s="380">
        <f>SUM(I6:I30)</f>
        <v>452</v>
      </c>
      <c r="J34" s="10" t="str">
        <f t="shared" si="2"/>
        <v>15,0</v>
      </c>
      <c r="K34" s="18">
        <f>SUM(K6:K30)</f>
        <v>48</v>
      </c>
      <c r="L34" s="380">
        <f>SUM(L6:L30)</f>
        <v>44</v>
      </c>
      <c r="M34" s="10" t="str">
        <f t="shared" si="3"/>
        <v>-8,3</v>
      </c>
    </row>
    <row r="35" spans="1:13" ht="12" thickBot="1" x14ac:dyDescent="0.25"/>
    <row r="36" spans="1:13" x14ac:dyDescent="0.2">
      <c r="A36" s="4" t="s">
        <v>7</v>
      </c>
      <c r="B36" s="5" t="s">
        <v>88</v>
      </c>
      <c r="C36" s="6"/>
      <c r="D36" s="7"/>
      <c r="E36" s="5" t="s">
        <v>89</v>
      </c>
      <c r="F36" s="6"/>
      <c r="G36" s="7"/>
      <c r="H36" s="5" t="s">
        <v>90</v>
      </c>
      <c r="I36" s="6"/>
      <c r="J36" s="7"/>
      <c r="K36" s="5" t="s">
        <v>91</v>
      </c>
      <c r="L36" s="6"/>
      <c r="M36" s="7"/>
    </row>
    <row r="37" spans="1:13" ht="12.75" thickBot="1" x14ac:dyDescent="0.25">
      <c r="A37" s="8"/>
      <c r="B37" s="422">
        <f>B5</f>
        <v>2017</v>
      </c>
      <c r="C37" s="427">
        <f>C5</f>
        <v>2018</v>
      </c>
      <c r="D37" s="82" t="s">
        <v>11</v>
      </c>
      <c r="E37" s="422">
        <f>B5</f>
        <v>2017</v>
      </c>
      <c r="F37" s="427">
        <f>C5</f>
        <v>2018</v>
      </c>
      <c r="G37" s="82" t="s">
        <v>11</v>
      </c>
      <c r="H37" s="422">
        <f>B5</f>
        <v>2017</v>
      </c>
      <c r="I37" s="427">
        <f>C5</f>
        <v>2018</v>
      </c>
      <c r="J37" s="82" t="s">
        <v>11</v>
      </c>
      <c r="K37" s="422">
        <f>B5</f>
        <v>2017</v>
      </c>
      <c r="L37" s="427">
        <f>C5</f>
        <v>2018</v>
      </c>
      <c r="M37" s="82" t="s">
        <v>11</v>
      </c>
    </row>
    <row r="38" spans="1:13" ht="12" thickBot="1" x14ac:dyDescent="0.25">
      <c r="A38" s="11" t="s">
        <v>161</v>
      </c>
      <c r="B38" s="431">
        <f>'2017-2018'!Q3</f>
        <v>1</v>
      </c>
      <c r="C38" s="428">
        <f>'2017-2018'!AI3</f>
        <v>9</v>
      </c>
      <c r="D38" s="12" t="str">
        <f t="shared" ref="D38:D66" si="4">IF(B38&lt;&gt;0,TEXT(((C38-B38)/B38)*100,"0,0"),"--")</f>
        <v>800,0</v>
      </c>
      <c r="E38" s="431">
        <f>'2017-2018'!R3</f>
        <v>1</v>
      </c>
      <c r="F38" s="428">
        <f>'2017-2018'!AJ3</f>
        <v>4</v>
      </c>
      <c r="G38" s="12" t="str">
        <f t="shared" ref="G38:G66" si="5">IF(E38&lt;&gt;0,TEXT(((F38-E38)/E38)*100,"0,0"),"--")</f>
        <v>300,0</v>
      </c>
      <c r="H38" s="431">
        <f>'2017-2018'!S3</f>
        <v>3</v>
      </c>
      <c r="I38" s="428">
        <f>'2017-2018'!AK3</f>
        <v>7</v>
      </c>
      <c r="J38" s="12" t="str">
        <f t="shared" ref="J38:J66" si="6">IF(H38&lt;&gt;0,TEXT(((I38-H38)/H38)*100,"0,0"),"--")</f>
        <v>133,3</v>
      </c>
      <c r="K38" s="431">
        <f>'2017-2018'!L3</f>
        <v>3183</v>
      </c>
      <c r="L38" s="428">
        <f>'2017-2018'!AD3</f>
        <v>4050</v>
      </c>
      <c r="M38" s="12" t="str">
        <f t="shared" ref="M38:M66" si="7">IF(K38&lt;&gt;0,TEXT(((L38-K38)/K38)*100,"0,0"),"--")</f>
        <v>27,2</v>
      </c>
    </row>
    <row r="39" spans="1:13" ht="12" thickBot="1" x14ac:dyDescent="0.25">
      <c r="A39" s="11" t="s">
        <v>164</v>
      </c>
      <c r="B39" s="431">
        <f>'2017-2018'!Q4</f>
        <v>0</v>
      </c>
      <c r="C39" s="428">
        <f>'2017-2018'!AI4</f>
        <v>0</v>
      </c>
      <c r="D39" s="12" t="str">
        <f t="shared" si="4"/>
        <v>--</v>
      </c>
      <c r="E39" s="431">
        <f>'2017-2018'!R4</f>
        <v>0</v>
      </c>
      <c r="F39" s="428">
        <f>'2017-2018'!AJ4</f>
        <v>2</v>
      </c>
      <c r="G39" s="12" t="str">
        <f t="shared" si="5"/>
        <v>--</v>
      </c>
      <c r="H39" s="431">
        <f>'2017-2018'!S4</f>
        <v>0</v>
      </c>
      <c r="I39" s="428">
        <f>'2017-2018'!AK4</f>
        <v>0</v>
      </c>
      <c r="J39" s="12" t="str">
        <f t="shared" si="6"/>
        <v>--</v>
      </c>
      <c r="K39" s="431">
        <f>'2017-2018'!L4</f>
        <v>744</v>
      </c>
      <c r="L39" s="428">
        <f>'2017-2018'!AD4</f>
        <v>1198</v>
      </c>
      <c r="M39" s="12" t="str">
        <f t="shared" si="7"/>
        <v>61,0</v>
      </c>
    </row>
    <row r="40" spans="1:13" ht="12" thickBot="1" x14ac:dyDescent="0.25">
      <c r="A40" s="11" t="s">
        <v>166</v>
      </c>
      <c r="B40" s="431">
        <f>'2017-2018'!Q5</f>
        <v>0</v>
      </c>
      <c r="C40" s="428">
        <f>'2017-2018'!AI5</f>
        <v>0</v>
      </c>
      <c r="D40" s="12" t="str">
        <f t="shared" si="4"/>
        <v>--</v>
      </c>
      <c r="E40" s="431">
        <f>'2017-2018'!R5</f>
        <v>0</v>
      </c>
      <c r="F40" s="428">
        <f>'2017-2018'!AJ5</f>
        <v>5</v>
      </c>
      <c r="G40" s="12" t="str">
        <f t="shared" si="5"/>
        <v>--</v>
      </c>
      <c r="H40" s="431">
        <f>'2017-2018'!S5</f>
        <v>0</v>
      </c>
      <c r="I40" s="428">
        <f>'2017-2018'!AK5</f>
        <v>0</v>
      </c>
      <c r="J40" s="12" t="str">
        <f t="shared" si="6"/>
        <v>--</v>
      </c>
      <c r="K40" s="431">
        <f>'2017-2018'!L5</f>
        <v>1374</v>
      </c>
      <c r="L40" s="428">
        <f>'2017-2018'!AD5</f>
        <v>1302</v>
      </c>
      <c r="M40" s="12" t="str">
        <f t="shared" si="7"/>
        <v>-5,2</v>
      </c>
    </row>
    <row r="41" spans="1:13" ht="12" thickBot="1" x14ac:dyDescent="0.25">
      <c r="A41" s="11" t="s">
        <v>168</v>
      </c>
      <c r="B41" s="431">
        <f>'2017-2018'!Q6</f>
        <v>0</v>
      </c>
      <c r="C41" s="428">
        <f>'2017-2018'!AI6</f>
        <v>1</v>
      </c>
      <c r="D41" s="12" t="str">
        <f t="shared" si="4"/>
        <v>--</v>
      </c>
      <c r="E41" s="431">
        <f>'2017-2018'!R6</f>
        <v>0</v>
      </c>
      <c r="F41" s="428">
        <f>'2017-2018'!AJ6</f>
        <v>2129</v>
      </c>
      <c r="G41" s="12" t="str">
        <f t="shared" si="5"/>
        <v>--</v>
      </c>
      <c r="H41" s="431">
        <f>'2017-2018'!S6</f>
        <v>0</v>
      </c>
      <c r="I41" s="428">
        <f>'2017-2018'!AK6</f>
        <v>10</v>
      </c>
      <c r="J41" s="12" t="str">
        <f t="shared" si="6"/>
        <v>--</v>
      </c>
      <c r="K41" s="431">
        <f>'2017-2018'!L6</f>
        <v>1405</v>
      </c>
      <c r="L41" s="428">
        <f>'2017-2018'!AD6</f>
        <v>705</v>
      </c>
      <c r="M41" s="12" t="str">
        <f t="shared" si="7"/>
        <v>-49,8</v>
      </c>
    </row>
    <row r="42" spans="1:13" ht="12" thickBot="1" x14ac:dyDescent="0.25">
      <c r="A42" s="11" t="s">
        <v>170</v>
      </c>
      <c r="B42" s="431">
        <f>'2017-2018'!Q7</f>
        <v>0</v>
      </c>
      <c r="C42" s="428">
        <f>'2017-2018'!AI7</f>
        <v>2</v>
      </c>
      <c r="D42" s="12" t="str">
        <f t="shared" si="4"/>
        <v>--</v>
      </c>
      <c r="E42" s="431">
        <f>'2017-2018'!R7</f>
        <v>0</v>
      </c>
      <c r="F42" s="428">
        <f>'2017-2018'!AJ7</f>
        <v>0</v>
      </c>
      <c r="G42" s="12" t="str">
        <f t="shared" si="5"/>
        <v>--</v>
      </c>
      <c r="H42" s="431">
        <f>'2017-2018'!S7</f>
        <v>0</v>
      </c>
      <c r="I42" s="428">
        <f>'2017-2018'!AK7</f>
        <v>0</v>
      </c>
      <c r="J42" s="12" t="str">
        <f t="shared" si="6"/>
        <v>--</v>
      </c>
      <c r="K42" s="431">
        <f>'2017-2018'!L7</f>
        <v>841</v>
      </c>
      <c r="L42" s="428">
        <f>'2017-2018'!AD7</f>
        <v>474</v>
      </c>
      <c r="M42" s="12" t="str">
        <f t="shared" si="7"/>
        <v>-43,6</v>
      </c>
    </row>
    <row r="43" spans="1:13" ht="12" thickBot="1" x14ac:dyDescent="0.25">
      <c r="A43" s="11" t="s">
        <v>173</v>
      </c>
      <c r="B43" s="431">
        <f>'2017-2018'!Q8</f>
        <v>0</v>
      </c>
      <c r="C43" s="428">
        <f>'2017-2018'!AI8</f>
        <v>0</v>
      </c>
      <c r="D43" s="12" t="str">
        <f t="shared" si="4"/>
        <v>--</v>
      </c>
      <c r="E43" s="431">
        <f>'2017-2018'!R8</f>
        <v>0</v>
      </c>
      <c r="F43" s="428">
        <f>'2017-2018'!AJ8</f>
        <v>0</v>
      </c>
      <c r="G43" s="12" t="str">
        <f t="shared" si="5"/>
        <v>--</v>
      </c>
      <c r="H43" s="431">
        <f>'2017-2018'!S8</f>
        <v>0</v>
      </c>
      <c r="I43" s="428">
        <f>'2017-2018'!AK8</f>
        <v>0</v>
      </c>
      <c r="J43" s="12" t="str">
        <f t="shared" si="6"/>
        <v>--</v>
      </c>
      <c r="K43" s="431">
        <f>'2017-2018'!L8</f>
        <v>1473</v>
      </c>
      <c r="L43" s="428">
        <f>'2017-2018'!AD8</f>
        <v>1375</v>
      </c>
      <c r="M43" s="12" t="str">
        <f t="shared" si="7"/>
        <v>-6,7</v>
      </c>
    </row>
    <row r="44" spans="1:13" ht="12" thickBot="1" x14ac:dyDescent="0.25">
      <c r="A44" s="11" t="s">
        <v>175</v>
      </c>
      <c r="B44" s="431">
        <f>'2017-2018'!Q9</f>
        <v>4</v>
      </c>
      <c r="C44" s="428">
        <f>'2017-2018'!AI9</f>
        <v>0</v>
      </c>
      <c r="D44" s="12" t="str">
        <f t="shared" si="4"/>
        <v>-100,0</v>
      </c>
      <c r="E44" s="431">
        <f>'2017-2018'!R9</f>
        <v>8</v>
      </c>
      <c r="F44" s="428">
        <f>'2017-2018'!AJ9</f>
        <v>0</v>
      </c>
      <c r="G44" s="12" t="str">
        <f t="shared" si="5"/>
        <v>-100,0</v>
      </c>
      <c r="H44" s="431">
        <f>'2017-2018'!S9</f>
        <v>0</v>
      </c>
      <c r="I44" s="428">
        <f>'2017-2018'!AK9</f>
        <v>0</v>
      </c>
      <c r="J44" s="12" t="str">
        <f t="shared" si="6"/>
        <v>--</v>
      </c>
      <c r="K44" s="431">
        <f>'2017-2018'!L9</f>
        <v>1121</v>
      </c>
      <c r="L44" s="428">
        <f>'2017-2018'!AD9</f>
        <v>705</v>
      </c>
      <c r="M44" s="12" t="str">
        <f t="shared" si="7"/>
        <v>-37,1</v>
      </c>
    </row>
    <row r="45" spans="1:13" ht="12" thickBot="1" x14ac:dyDescent="0.25">
      <c r="A45" s="11" t="s">
        <v>177</v>
      </c>
      <c r="B45" s="431">
        <f>'2017-2018'!Q10</f>
        <v>0</v>
      </c>
      <c r="C45" s="428">
        <f>'2017-2018'!AI10</f>
        <v>0</v>
      </c>
      <c r="D45" s="12" t="str">
        <f t="shared" si="4"/>
        <v>--</v>
      </c>
      <c r="E45" s="431">
        <f>'2017-2018'!R10</f>
        <v>0</v>
      </c>
      <c r="F45" s="428">
        <f>'2017-2018'!AJ10</f>
        <v>0</v>
      </c>
      <c r="G45" s="12" t="str">
        <f t="shared" si="5"/>
        <v>--</v>
      </c>
      <c r="H45" s="431">
        <f>'2017-2018'!S10</f>
        <v>0</v>
      </c>
      <c r="I45" s="428">
        <f>'2017-2018'!AK10</f>
        <v>0</v>
      </c>
      <c r="J45" s="12" t="str">
        <f t="shared" si="6"/>
        <v>--</v>
      </c>
      <c r="K45" s="431">
        <f>'2017-2018'!L10</f>
        <v>404</v>
      </c>
      <c r="L45" s="428">
        <f>'2017-2018'!AD10</f>
        <v>2154</v>
      </c>
      <c r="M45" s="12" t="str">
        <f t="shared" si="7"/>
        <v>433,2</v>
      </c>
    </row>
    <row r="46" spans="1:13" ht="12" thickBot="1" x14ac:dyDescent="0.25">
      <c r="A46" s="11" t="s">
        <v>179</v>
      </c>
      <c r="B46" s="431">
        <f>'2017-2018'!Q11</f>
        <v>0</v>
      </c>
      <c r="C46" s="428">
        <f>'2017-2018'!AI11</f>
        <v>0</v>
      </c>
      <c r="D46" s="12" t="str">
        <f t="shared" si="4"/>
        <v>--</v>
      </c>
      <c r="E46" s="431">
        <f>'2017-2018'!R11</f>
        <v>0</v>
      </c>
      <c r="F46" s="428">
        <f>'2017-2018'!AJ11</f>
        <v>0</v>
      </c>
      <c r="G46" s="12" t="str">
        <f t="shared" si="5"/>
        <v>--</v>
      </c>
      <c r="H46" s="431">
        <f>'2017-2018'!S11</f>
        <v>0</v>
      </c>
      <c r="I46" s="428">
        <f>'2017-2018'!AK11</f>
        <v>0</v>
      </c>
      <c r="J46" s="12" t="str">
        <f t="shared" si="6"/>
        <v>--</v>
      </c>
      <c r="K46" s="431">
        <f>'2017-2018'!L11</f>
        <v>176</v>
      </c>
      <c r="L46" s="428">
        <f>'2017-2018'!AD11</f>
        <v>223</v>
      </c>
      <c r="M46" s="12" t="str">
        <f t="shared" si="7"/>
        <v>26,7</v>
      </c>
    </row>
    <row r="47" spans="1:13" ht="12" thickBot="1" x14ac:dyDescent="0.25">
      <c r="A47" s="11" t="s">
        <v>181</v>
      </c>
      <c r="B47" s="431">
        <f>'2017-2018'!Q12</f>
        <v>0</v>
      </c>
      <c r="C47" s="428">
        <f>'2017-2018'!AI12</f>
        <v>0</v>
      </c>
      <c r="D47" s="12" t="str">
        <f t="shared" si="4"/>
        <v>--</v>
      </c>
      <c r="E47" s="431">
        <f>'2017-2018'!R12</f>
        <v>0</v>
      </c>
      <c r="F47" s="428">
        <f>'2017-2018'!AJ12</f>
        <v>0</v>
      </c>
      <c r="G47" s="12" t="str">
        <f t="shared" si="5"/>
        <v>--</v>
      </c>
      <c r="H47" s="431">
        <f>'2017-2018'!S12</f>
        <v>0</v>
      </c>
      <c r="I47" s="428">
        <f>'2017-2018'!AK12</f>
        <v>0</v>
      </c>
      <c r="J47" s="12" t="str">
        <f t="shared" si="6"/>
        <v>--</v>
      </c>
      <c r="K47" s="431">
        <f>'2017-2018'!L12</f>
        <v>946</v>
      </c>
      <c r="L47" s="428">
        <f>'2017-2018'!AD12</f>
        <v>1314</v>
      </c>
      <c r="M47" s="12" t="str">
        <f t="shared" si="7"/>
        <v>38,9</v>
      </c>
    </row>
    <row r="48" spans="1:13" ht="12" thickBot="1" x14ac:dyDescent="0.25">
      <c r="A48" s="11" t="s">
        <v>183</v>
      </c>
      <c r="B48" s="431">
        <f>'2017-2018'!Q13</f>
        <v>0</v>
      </c>
      <c r="C48" s="428">
        <f>'2017-2018'!AI13</f>
        <v>0</v>
      </c>
      <c r="D48" s="12" t="str">
        <f t="shared" si="4"/>
        <v>--</v>
      </c>
      <c r="E48" s="431">
        <f>'2017-2018'!R13</f>
        <v>40</v>
      </c>
      <c r="F48" s="428">
        <f>'2017-2018'!AJ13</f>
        <v>5</v>
      </c>
      <c r="G48" s="12" t="str">
        <f t="shared" si="5"/>
        <v>-87,5</v>
      </c>
      <c r="H48" s="431">
        <f>'2017-2018'!S13</f>
        <v>14</v>
      </c>
      <c r="I48" s="428">
        <f>'2017-2018'!AK13</f>
        <v>0</v>
      </c>
      <c r="J48" s="12" t="str">
        <f t="shared" si="6"/>
        <v>-100,0</v>
      </c>
      <c r="K48" s="431">
        <f>'2017-2018'!L13</f>
        <v>572</v>
      </c>
      <c r="L48" s="428">
        <f>'2017-2018'!AD13</f>
        <v>525</v>
      </c>
      <c r="M48" s="12" t="str">
        <f t="shared" si="7"/>
        <v>-8,2</v>
      </c>
    </row>
    <row r="49" spans="1:13" ht="12" thickBot="1" x14ac:dyDescent="0.25">
      <c r="A49" s="11" t="s">
        <v>185</v>
      </c>
      <c r="B49" s="431">
        <f>'2017-2018'!Q14</f>
        <v>11</v>
      </c>
      <c r="C49" s="428">
        <f>'2017-2018'!AI14</f>
        <v>1</v>
      </c>
      <c r="D49" s="12" t="str">
        <f t="shared" si="4"/>
        <v>-90,9</v>
      </c>
      <c r="E49" s="431">
        <f>'2017-2018'!R14</f>
        <v>21</v>
      </c>
      <c r="F49" s="428">
        <f>'2017-2018'!AJ14</f>
        <v>1</v>
      </c>
      <c r="G49" s="12" t="str">
        <f t="shared" si="5"/>
        <v>-95,2</v>
      </c>
      <c r="H49" s="431">
        <f>'2017-2018'!S14</f>
        <v>0</v>
      </c>
      <c r="I49" s="428">
        <f>'2017-2018'!AK14</f>
        <v>620</v>
      </c>
      <c r="J49" s="12" t="str">
        <f t="shared" si="6"/>
        <v>--</v>
      </c>
      <c r="K49" s="431">
        <f>'2017-2018'!L14</f>
        <v>1022</v>
      </c>
      <c r="L49" s="428">
        <f>'2017-2018'!AD14</f>
        <v>1809</v>
      </c>
      <c r="M49" s="12" t="str">
        <f t="shared" si="7"/>
        <v>77,0</v>
      </c>
    </row>
    <row r="50" spans="1:13" ht="12" thickBot="1" x14ac:dyDescent="0.25">
      <c r="A50" s="9" t="s">
        <v>188</v>
      </c>
      <c r="B50" s="18">
        <f>'2017-2018'!Q27</f>
        <v>0</v>
      </c>
      <c r="C50" s="380">
        <f>'2017-2018'!AI27</f>
        <v>0</v>
      </c>
      <c r="D50" s="10" t="str">
        <f t="shared" si="4"/>
        <v>--</v>
      </c>
      <c r="E50" s="18">
        <f>'2017-2018'!R27</f>
        <v>0</v>
      </c>
      <c r="F50" s="380">
        <f>'2017-2018'!AJ27</f>
        <v>0</v>
      </c>
      <c r="G50" s="10" t="str">
        <f t="shared" si="5"/>
        <v>--</v>
      </c>
      <c r="H50" s="18">
        <f>'2017-2018'!S27</f>
        <v>0</v>
      </c>
      <c r="I50" s="380">
        <f>'2017-2018'!AK27</f>
        <v>0</v>
      </c>
      <c r="J50" s="10" t="str">
        <f t="shared" si="6"/>
        <v>--</v>
      </c>
      <c r="K50" s="18">
        <f>'2017-2018'!L27</f>
        <v>128</v>
      </c>
      <c r="L50" s="380">
        <f>'2017-2018'!AD27</f>
        <v>347</v>
      </c>
      <c r="M50" s="10" t="str">
        <f t="shared" si="7"/>
        <v>171,1</v>
      </c>
    </row>
    <row r="51" spans="1:13" ht="12" thickBot="1" x14ac:dyDescent="0.25">
      <c r="A51" s="11" t="s">
        <v>189</v>
      </c>
      <c r="B51" s="431">
        <f>'2017-2018'!Q15</f>
        <v>0</v>
      </c>
      <c r="C51" s="428">
        <f>'2017-2018'!AI15</f>
        <v>0</v>
      </c>
      <c r="D51" s="12" t="str">
        <f t="shared" si="4"/>
        <v>--</v>
      </c>
      <c r="E51" s="431">
        <f>'2017-2018'!R15</f>
        <v>0</v>
      </c>
      <c r="F51" s="428">
        <f>'2017-2018'!AJ15</f>
        <v>0</v>
      </c>
      <c r="G51" s="12" t="str">
        <f t="shared" si="5"/>
        <v>--</v>
      </c>
      <c r="H51" s="431">
        <f>'2017-2018'!S15</f>
        <v>0</v>
      </c>
      <c r="I51" s="428">
        <f>'2017-2018'!AK15</f>
        <v>0</v>
      </c>
      <c r="J51" s="12" t="str">
        <f t="shared" si="6"/>
        <v>--</v>
      </c>
      <c r="K51" s="431">
        <f>'2017-2018'!L15</f>
        <v>725</v>
      </c>
      <c r="L51" s="428">
        <f>'2017-2018'!AD15</f>
        <v>1002</v>
      </c>
      <c r="M51" s="12" t="str">
        <f t="shared" si="7"/>
        <v>38,2</v>
      </c>
    </row>
    <row r="52" spans="1:13" ht="12" thickBot="1" x14ac:dyDescent="0.25">
      <c r="A52" s="11" t="s">
        <v>191</v>
      </c>
      <c r="B52" s="431">
        <f>'2017-2018'!Q16</f>
        <v>4</v>
      </c>
      <c r="C52" s="428">
        <f>'2017-2018'!AI16</f>
        <v>1</v>
      </c>
      <c r="D52" s="12" t="str">
        <f t="shared" si="4"/>
        <v>-75,0</v>
      </c>
      <c r="E52" s="431">
        <f>'2017-2018'!R16</f>
        <v>14</v>
      </c>
      <c r="F52" s="428">
        <f>'2017-2018'!AJ16</f>
        <v>1</v>
      </c>
      <c r="G52" s="12" t="str">
        <f t="shared" si="5"/>
        <v>-92,9</v>
      </c>
      <c r="H52" s="431">
        <f>'2017-2018'!S16</f>
        <v>0</v>
      </c>
      <c r="I52" s="428">
        <f>'2017-2018'!AK16</f>
        <v>0</v>
      </c>
      <c r="J52" s="12" t="str">
        <f t="shared" si="6"/>
        <v>--</v>
      </c>
      <c r="K52" s="431">
        <f>'2017-2018'!L16</f>
        <v>597</v>
      </c>
      <c r="L52" s="428">
        <f>'2017-2018'!AD16</f>
        <v>532</v>
      </c>
      <c r="M52" s="12" t="str">
        <f t="shared" si="7"/>
        <v>-10,9</v>
      </c>
    </row>
    <row r="53" spans="1:13" ht="12" thickBot="1" x14ac:dyDescent="0.25">
      <c r="A53" s="11" t="s">
        <v>193</v>
      </c>
      <c r="B53" s="431">
        <f>'2017-2018'!Q17</f>
        <v>0</v>
      </c>
      <c r="C53" s="428">
        <f>'2017-2018'!AI17</f>
        <v>0</v>
      </c>
      <c r="D53" s="12" t="str">
        <f t="shared" si="4"/>
        <v>--</v>
      </c>
      <c r="E53" s="431">
        <f>'2017-2018'!R17</f>
        <v>0</v>
      </c>
      <c r="F53" s="428">
        <f>'2017-2018'!AJ17</f>
        <v>0</v>
      </c>
      <c r="G53" s="12" t="str">
        <f t="shared" si="5"/>
        <v>--</v>
      </c>
      <c r="H53" s="431">
        <f>'2017-2018'!S17</f>
        <v>0</v>
      </c>
      <c r="I53" s="428">
        <f>'2017-2018'!AK17</f>
        <v>0</v>
      </c>
      <c r="J53" s="12" t="str">
        <f t="shared" si="6"/>
        <v>--</v>
      </c>
      <c r="K53" s="431">
        <f>'2017-2018'!L17</f>
        <v>349</v>
      </c>
      <c r="L53" s="428">
        <f>'2017-2018'!AD17</f>
        <v>263</v>
      </c>
      <c r="M53" s="12" t="str">
        <f t="shared" si="7"/>
        <v>-24,6</v>
      </c>
    </row>
    <row r="54" spans="1:13" ht="12" thickBot="1" x14ac:dyDescent="0.25">
      <c r="A54" s="11" t="s">
        <v>195</v>
      </c>
      <c r="B54" s="431">
        <f>'2017-2018'!Q18</f>
        <v>0</v>
      </c>
      <c r="C54" s="428">
        <f>'2017-2018'!AI18</f>
        <v>1</v>
      </c>
      <c r="D54" s="12" t="str">
        <f t="shared" si="4"/>
        <v>--</v>
      </c>
      <c r="E54" s="431">
        <f>'2017-2018'!R18</f>
        <v>12</v>
      </c>
      <c r="F54" s="428">
        <f>'2017-2018'!AJ18</f>
        <v>6</v>
      </c>
      <c r="G54" s="12" t="str">
        <f t="shared" si="5"/>
        <v>-50,0</v>
      </c>
      <c r="H54" s="431">
        <f>'2017-2018'!S18</f>
        <v>39</v>
      </c>
      <c r="I54" s="428">
        <f>'2017-2018'!AK18</f>
        <v>25</v>
      </c>
      <c r="J54" s="12" t="str">
        <f t="shared" si="6"/>
        <v>-35,9</v>
      </c>
      <c r="K54" s="431">
        <f>'2017-2018'!L18</f>
        <v>2263</v>
      </c>
      <c r="L54" s="428">
        <f>'2017-2018'!AD18</f>
        <v>2556</v>
      </c>
      <c r="M54" s="12" t="str">
        <f t="shared" si="7"/>
        <v>12,9</v>
      </c>
    </row>
    <row r="55" spans="1:13" ht="12" thickBot="1" x14ac:dyDescent="0.25">
      <c r="A55" s="11" t="s">
        <v>197</v>
      </c>
      <c r="B55" s="431">
        <f>'2017-2018'!Q19</f>
        <v>0</v>
      </c>
      <c r="C55" s="428">
        <f>'2017-2018'!AI19</f>
        <v>1</v>
      </c>
      <c r="D55" s="12" t="str">
        <f t="shared" si="4"/>
        <v>--</v>
      </c>
      <c r="E55" s="431">
        <f>'2017-2018'!R19</f>
        <v>0</v>
      </c>
      <c r="F55" s="428">
        <f>'2017-2018'!AJ19</f>
        <v>0</v>
      </c>
      <c r="G55" s="12" t="str">
        <f t="shared" si="5"/>
        <v>--</v>
      </c>
      <c r="H55" s="431">
        <f>'2017-2018'!S19</f>
        <v>0</v>
      </c>
      <c r="I55" s="428">
        <f>'2017-2018'!AK19</f>
        <v>0</v>
      </c>
      <c r="J55" s="12" t="str">
        <f t="shared" si="6"/>
        <v>--</v>
      </c>
      <c r="K55" s="431">
        <f>'2017-2018'!L19</f>
        <v>269</v>
      </c>
      <c r="L55" s="428">
        <f>'2017-2018'!AD19</f>
        <v>1461</v>
      </c>
      <c r="M55" s="12" t="str">
        <f t="shared" si="7"/>
        <v>443,1</v>
      </c>
    </row>
    <row r="56" spans="1:13" ht="12" thickBot="1" x14ac:dyDescent="0.25">
      <c r="A56" s="11" t="s">
        <v>199</v>
      </c>
      <c r="B56" s="431">
        <f>'2017-2018'!Q20</f>
        <v>0</v>
      </c>
      <c r="C56" s="428">
        <f>'2017-2018'!AI20</f>
        <v>0</v>
      </c>
      <c r="D56" s="12" t="str">
        <f t="shared" si="4"/>
        <v>--</v>
      </c>
      <c r="E56" s="431">
        <f>'2017-2018'!R20</f>
        <v>6</v>
      </c>
      <c r="F56" s="428">
        <f>'2017-2018'!AJ20</f>
        <v>0</v>
      </c>
      <c r="G56" s="12" t="str">
        <f t="shared" si="5"/>
        <v>-100,0</v>
      </c>
      <c r="H56" s="431">
        <f>'2017-2018'!S20</f>
        <v>6</v>
      </c>
      <c r="I56" s="428">
        <f>'2017-2018'!AK20</f>
        <v>0</v>
      </c>
      <c r="J56" s="12" t="str">
        <f t="shared" si="6"/>
        <v>-100,0</v>
      </c>
      <c r="K56" s="431">
        <f>'2017-2018'!L20</f>
        <v>1045</v>
      </c>
      <c r="L56" s="428">
        <f>'2017-2018'!AD20</f>
        <v>766</v>
      </c>
      <c r="M56" s="12" t="str">
        <f t="shared" si="7"/>
        <v>-26,7</v>
      </c>
    </row>
    <row r="57" spans="1:13" ht="12" thickBot="1" x14ac:dyDescent="0.25">
      <c r="A57" s="11" t="s">
        <v>201</v>
      </c>
      <c r="B57" s="431">
        <f>'2017-2018'!Q21</f>
        <v>0</v>
      </c>
      <c r="C57" s="428">
        <f>'2017-2018'!AI21</f>
        <v>0</v>
      </c>
      <c r="D57" s="12" t="str">
        <f t="shared" si="4"/>
        <v>--</v>
      </c>
      <c r="E57" s="431">
        <f>'2017-2018'!R21</f>
        <v>0</v>
      </c>
      <c r="F57" s="428">
        <f>'2017-2018'!AJ21</f>
        <v>0</v>
      </c>
      <c r="G57" s="12" t="str">
        <f t="shared" si="5"/>
        <v>--</v>
      </c>
      <c r="H57" s="431">
        <f>'2017-2018'!S21</f>
        <v>0</v>
      </c>
      <c r="I57" s="428">
        <f>'2017-2018'!AK21</f>
        <v>0</v>
      </c>
      <c r="J57" s="12" t="str">
        <f t="shared" si="6"/>
        <v>--</v>
      </c>
      <c r="K57" s="431">
        <f>'2017-2018'!L21</f>
        <v>1367</v>
      </c>
      <c r="L57" s="428">
        <f>'2017-2018'!AD21</f>
        <v>1437</v>
      </c>
      <c r="M57" s="12" t="str">
        <f t="shared" si="7"/>
        <v>5,1</v>
      </c>
    </row>
    <row r="58" spans="1:13" ht="12" thickBot="1" x14ac:dyDescent="0.25">
      <c r="A58" s="11" t="s">
        <v>203</v>
      </c>
      <c r="B58" s="431">
        <f>'2017-2018'!Q22</f>
        <v>0</v>
      </c>
      <c r="C58" s="428">
        <f>'2017-2018'!AI22</f>
        <v>0</v>
      </c>
      <c r="D58" s="12" t="str">
        <f t="shared" si="4"/>
        <v>--</v>
      </c>
      <c r="E58" s="431">
        <f>'2017-2018'!R22</f>
        <v>0</v>
      </c>
      <c r="F58" s="428">
        <f>'2017-2018'!AJ22</f>
        <v>29</v>
      </c>
      <c r="G58" s="12" t="str">
        <f t="shared" si="5"/>
        <v>--</v>
      </c>
      <c r="H58" s="431">
        <f>'2017-2018'!S22</f>
        <v>0</v>
      </c>
      <c r="I58" s="428">
        <f>'2017-2018'!AK22</f>
        <v>0</v>
      </c>
      <c r="J58" s="12" t="str">
        <f t="shared" si="6"/>
        <v>--</v>
      </c>
      <c r="K58" s="431">
        <f>'2017-2018'!L22</f>
        <v>126</v>
      </c>
      <c r="L58" s="428">
        <f>'2017-2018'!AD22</f>
        <v>387</v>
      </c>
      <c r="M58" s="12" t="str">
        <f t="shared" si="7"/>
        <v>207,1</v>
      </c>
    </row>
    <row r="59" spans="1:13" ht="12" thickBot="1" x14ac:dyDescent="0.25">
      <c r="A59" s="11" t="s">
        <v>205</v>
      </c>
      <c r="B59" s="431">
        <f>'2017-2018'!Q23</f>
        <v>0</v>
      </c>
      <c r="C59" s="428">
        <f>'2017-2018'!AI23</f>
        <v>0</v>
      </c>
      <c r="D59" s="12" t="str">
        <f t="shared" si="4"/>
        <v>--</v>
      </c>
      <c r="E59" s="431">
        <f>'2017-2018'!R23</f>
        <v>0</v>
      </c>
      <c r="F59" s="428">
        <f>'2017-2018'!AJ23</f>
        <v>0</v>
      </c>
      <c r="G59" s="12" t="str">
        <f t="shared" si="5"/>
        <v>--</v>
      </c>
      <c r="H59" s="431">
        <f>'2017-2018'!S23</f>
        <v>0</v>
      </c>
      <c r="I59" s="428">
        <f>'2017-2018'!AK23</f>
        <v>0</v>
      </c>
      <c r="J59" s="12" t="str">
        <f t="shared" si="6"/>
        <v>--</v>
      </c>
      <c r="K59" s="431">
        <f>'2017-2018'!L23</f>
        <v>193</v>
      </c>
      <c r="L59" s="428">
        <f>'2017-2018'!AD23</f>
        <v>1167</v>
      </c>
      <c r="M59" s="12" t="str">
        <f t="shared" si="7"/>
        <v>504,7</v>
      </c>
    </row>
    <row r="60" spans="1:13" x14ac:dyDescent="0.2">
      <c r="A60" s="11" t="s">
        <v>158</v>
      </c>
      <c r="B60" s="431">
        <f>'2017-2018'!Q24</f>
        <v>0</v>
      </c>
      <c r="C60" s="428">
        <f>'2017-2018'!AI24</f>
        <v>0</v>
      </c>
      <c r="D60" s="12" t="str">
        <f t="shared" si="4"/>
        <v>--</v>
      </c>
      <c r="E60" s="431">
        <f>'2017-2018'!R24</f>
        <v>0</v>
      </c>
      <c r="F60" s="428">
        <f>'2017-2018'!AJ24</f>
        <v>0</v>
      </c>
      <c r="G60" s="12" t="str">
        <f t="shared" si="5"/>
        <v>--</v>
      </c>
      <c r="H60" s="431">
        <f>'2017-2018'!S24</f>
        <v>0</v>
      </c>
      <c r="I60" s="428">
        <f>'2017-2018'!AK24</f>
        <v>0</v>
      </c>
      <c r="J60" s="12" t="str">
        <f t="shared" si="6"/>
        <v>--</v>
      </c>
      <c r="K60" s="431">
        <f>'2017-2018'!L24</f>
        <v>463</v>
      </c>
      <c r="L60" s="428">
        <f>'2017-2018'!AD24</f>
        <v>829</v>
      </c>
      <c r="M60" s="12" t="str">
        <f t="shared" si="7"/>
        <v>79,0</v>
      </c>
    </row>
    <row r="61" spans="1:13" x14ac:dyDescent="0.2">
      <c r="A61" s="13" t="s">
        <v>159</v>
      </c>
      <c r="B61" s="432">
        <f>'2017-2018'!Q26</f>
        <v>0</v>
      </c>
      <c r="C61" s="429">
        <f>'2017-2018'!AI26</f>
        <v>0</v>
      </c>
      <c r="D61" s="14" t="str">
        <f t="shared" si="4"/>
        <v>--</v>
      </c>
      <c r="E61" s="432">
        <f>'2017-2018'!R26</f>
        <v>0</v>
      </c>
      <c r="F61" s="429">
        <f>'2017-2018'!AJ26</f>
        <v>0</v>
      </c>
      <c r="G61" s="14" t="str">
        <f t="shared" si="5"/>
        <v>--</v>
      </c>
      <c r="H61" s="432">
        <f>'2017-2018'!S26</f>
        <v>0</v>
      </c>
      <c r="I61" s="429">
        <f>'2017-2018'!AK26</f>
        <v>0</v>
      </c>
      <c r="J61" s="14" t="str">
        <f t="shared" si="6"/>
        <v>--</v>
      </c>
      <c r="K61" s="432">
        <f>'2017-2018'!L26</f>
        <v>492</v>
      </c>
      <c r="L61" s="429">
        <f>'2017-2018'!AD26</f>
        <v>368</v>
      </c>
      <c r="M61" s="14" t="str">
        <f t="shared" si="7"/>
        <v>-25,2</v>
      </c>
    </row>
    <row r="62" spans="1:13" ht="12" thickBot="1" x14ac:dyDescent="0.25">
      <c r="A62" s="15" t="s">
        <v>160</v>
      </c>
      <c r="B62" s="433">
        <f>'2017-2018'!Q25</f>
        <v>0</v>
      </c>
      <c r="C62" s="430">
        <f>'2017-2018'!AI25</f>
        <v>0</v>
      </c>
      <c r="D62" s="16" t="str">
        <f t="shared" si="4"/>
        <v>--</v>
      </c>
      <c r="E62" s="433">
        <f>'2017-2018'!R25</f>
        <v>0</v>
      </c>
      <c r="F62" s="430">
        <f>'2017-2018'!AJ25</f>
        <v>0</v>
      </c>
      <c r="G62" s="16" t="str">
        <f t="shared" si="5"/>
        <v>--</v>
      </c>
      <c r="H62" s="433">
        <f>'2017-2018'!S25</f>
        <v>0</v>
      </c>
      <c r="I62" s="430">
        <f>'2017-2018'!AK25</f>
        <v>0</v>
      </c>
      <c r="J62" s="16" t="str">
        <f t="shared" si="6"/>
        <v>--</v>
      </c>
      <c r="K62" s="433">
        <f>'2017-2018'!L25</f>
        <v>215</v>
      </c>
      <c r="L62" s="430">
        <f>'2017-2018'!AD25</f>
        <v>633</v>
      </c>
      <c r="M62" s="16" t="str">
        <f t="shared" si="7"/>
        <v>194,4</v>
      </c>
    </row>
    <row r="63" spans="1:13" ht="12" thickBot="1" x14ac:dyDescent="0.25">
      <c r="A63" s="9" t="s">
        <v>157</v>
      </c>
      <c r="B63" s="18">
        <f>SUM(B60:B62)</f>
        <v>0</v>
      </c>
      <c r="C63" s="380">
        <f>SUM(C60:C62)</f>
        <v>0</v>
      </c>
      <c r="D63" s="10" t="str">
        <f t="shared" si="4"/>
        <v>--</v>
      </c>
      <c r="E63" s="18">
        <f>SUM(E60:E62)</f>
        <v>0</v>
      </c>
      <c r="F63" s="380">
        <f>SUM(F60:F62)</f>
        <v>0</v>
      </c>
      <c r="G63" s="10" t="str">
        <f t="shared" si="5"/>
        <v>--</v>
      </c>
      <c r="H63" s="18">
        <f>SUM(H60:H62)</f>
        <v>0</v>
      </c>
      <c r="I63" s="380">
        <f>SUM(I60:I62)</f>
        <v>0</v>
      </c>
      <c r="J63" s="10" t="str">
        <f t="shared" si="6"/>
        <v>--</v>
      </c>
      <c r="K63" s="18">
        <f>SUM(K60:K62)</f>
        <v>1170</v>
      </c>
      <c r="L63" s="380">
        <f>SUM(L60:L62)</f>
        <v>1830</v>
      </c>
      <c r="M63" s="10" t="str">
        <f t="shared" si="7"/>
        <v>56,4</v>
      </c>
    </row>
    <row r="64" spans="1:13" ht="12" hidden="1" thickBot="1" x14ac:dyDescent="0.25">
      <c r="A64" s="19" t="s">
        <v>4</v>
      </c>
      <c r="B64" s="18"/>
      <c r="C64" s="17"/>
      <c r="D64" s="10" t="str">
        <f t="shared" si="4"/>
        <v>--</v>
      </c>
      <c r="E64" s="18"/>
      <c r="F64" s="380"/>
      <c r="G64" s="10" t="str">
        <f t="shared" si="5"/>
        <v>--</v>
      </c>
      <c r="H64" s="18"/>
      <c r="I64" s="380"/>
      <c r="J64" s="10" t="str">
        <f t="shared" si="6"/>
        <v>--</v>
      </c>
      <c r="K64" s="18"/>
      <c r="L64" s="380"/>
      <c r="M64" s="10" t="str">
        <f t="shared" si="7"/>
        <v>--</v>
      </c>
    </row>
    <row r="65" spans="1:13" ht="12" hidden="1" thickBot="1" x14ac:dyDescent="0.25">
      <c r="A65" s="19" t="s">
        <v>5</v>
      </c>
      <c r="B65" s="18"/>
      <c r="C65" s="17"/>
      <c r="D65" s="10" t="str">
        <f t="shared" si="4"/>
        <v>--</v>
      </c>
      <c r="E65" s="18"/>
      <c r="F65" s="380"/>
      <c r="G65" s="10" t="str">
        <f t="shared" si="5"/>
        <v>--</v>
      </c>
      <c r="H65" s="18"/>
      <c r="I65" s="380"/>
      <c r="J65" s="10" t="str">
        <f t="shared" si="6"/>
        <v>--</v>
      </c>
      <c r="K65" s="18"/>
      <c r="L65" s="380"/>
      <c r="M65" s="10" t="str">
        <f t="shared" si="7"/>
        <v>--</v>
      </c>
    </row>
    <row r="66" spans="1:13" ht="12" thickBot="1" x14ac:dyDescent="0.25">
      <c r="A66" s="19" t="s">
        <v>6</v>
      </c>
      <c r="B66" s="382">
        <f>SUM(B38:B62)</f>
        <v>20</v>
      </c>
      <c r="C66" s="381">
        <f>SUM(C38:C62)</f>
        <v>16</v>
      </c>
      <c r="D66" s="10" t="str">
        <f t="shared" si="4"/>
        <v>-20,0</v>
      </c>
      <c r="E66" s="382">
        <f>SUM(E38:E62)</f>
        <v>102</v>
      </c>
      <c r="F66" s="435">
        <f>SUM(F38:F62)</f>
        <v>2182</v>
      </c>
      <c r="G66" s="10" t="str">
        <f t="shared" si="5"/>
        <v>2039,2</v>
      </c>
      <c r="H66" s="382">
        <f>SUM(H38:H62)</f>
        <v>62</v>
      </c>
      <c r="I66" s="435">
        <f>SUM(I38:I62)</f>
        <v>662</v>
      </c>
      <c r="J66" s="10" t="str">
        <f t="shared" si="6"/>
        <v>967,7</v>
      </c>
      <c r="K66" s="382">
        <f>SUM(K38:K62)</f>
        <v>21493</v>
      </c>
      <c r="L66" s="435">
        <f>SUM(L38:L62)</f>
        <v>27582</v>
      </c>
      <c r="M66" s="10" t="str">
        <f t="shared" si="7"/>
        <v>28,3</v>
      </c>
    </row>
  </sheetData>
  <phoneticPr fontId="59" type="noConversion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66"/>
  <sheetViews>
    <sheetView zoomScale="85" zoomScaleNormal="85" workbookViewId="0">
      <pane xSplit="8" ySplit="18" topLeftCell="I43" activePane="bottomRight" state="frozen"/>
      <selection pane="topRight" activeCell="I1" sqref="I1"/>
      <selection pane="bottomLeft" activeCell="A19" sqref="A19"/>
      <selection pane="bottomRight" activeCell="C6" sqref="C6"/>
    </sheetView>
  </sheetViews>
  <sheetFormatPr defaultColWidth="9.140625" defaultRowHeight="11.25" x14ac:dyDescent="0.2"/>
  <cols>
    <col min="1" max="1" width="21" style="3" bestFit="1" customWidth="1"/>
    <col min="2" max="3" width="8.7109375" style="3" bestFit="1" customWidth="1"/>
    <col min="4" max="4" width="7.7109375" style="3" bestFit="1" customWidth="1"/>
    <col min="5" max="5" width="5.7109375" style="3" bestFit="1" customWidth="1"/>
    <col min="6" max="6" width="5" style="3" bestFit="1" customWidth="1"/>
    <col min="7" max="7" width="6.28515625" style="3" bestFit="1" customWidth="1"/>
    <col min="8" max="9" width="5" style="3" bestFit="1" customWidth="1"/>
    <col min="10" max="10" width="6.7109375" style="3" bestFit="1" customWidth="1"/>
    <col min="11" max="12" width="5" style="3" bestFit="1" customWidth="1"/>
    <col min="13" max="13" width="6.7109375" style="3" bestFit="1" customWidth="1"/>
    <col min="14" max="16384" width="9.140625" style="3"/>
  </cols>
  <sheetData>
    <row r="1" spans="1:13" x14ac:dyDescent="0.2">
      <c r="A1" s="1" t="s">
        <v>3</v>
      </c>
      <c r="B1" s="1"/>
      <c r="C1" s="2"/>
      <c r="D1" s="1"/>
      <c r="E1" s="1"/>
      <c r="F1" s="1"/>
      <c r="G1" s="1"/>
      <c r="H1" s="1"/>
      <c r="I1" s="1"/>
      <c r="J1" s="1"/>
    </row>
    <row r="2" spans="1:13" x14ac:dyDescent="0.2">
      <c r="A2" s="1" t="str">
        <f>Grig1!A2</f>
        <v xml:space="preserve"> Сведения по пожарам в Чувашской Республике с 00 ч.00мин. 01.01. по 00 ч.00мин. 16.11.2018 г.</v>
      </c>
      <c r="B2" s="1"/>
      <c r="C2" s="2"/>
      <c r="D2" s="1"/>
      <c r="E2" s="1"/>
      <c r="F2" s="1"/>
      <c r="G2" s="1"/>
      <c r="H2" s="1"/>
      <c r="I2" s="1"/>
      <c r="J2" s="1"/>
    </row>
    <row r="3" spans="1:13" ht="12" thickBot="1" x14ac:dyDescent="0.25">
      <c r="A3" s="1" t="s">
        <v>104</v>
      </c>
      <c r="B3" s="1"/>
      <c r="C3" s="2"/>
      <c r="D3" s="1"/>
      <c r="E3" s="1"/>
      <c r="F3" s="1"/>
      <c r="G3" s="1"/>
      <c r="H3" s="1"/>
      <c r="I3" s="1"/>
      <c r="J3" s="1"/>
    </row>
    <row r="4" spans="1:13" x14ac:dyDescent="0.2">
      <c r="A4" s="4" t="s">
        <v>7</v>
      </c>
      <c r="B4" s="5" t="s">
        <v>92</v>
      </c>
      <c r="C4" s="6"/>
      <c r="D4" s="7"/>
      <c r="E4" s="5" t="s">
        <v>93</v>
      </c>
      <c r="F4" s="6"/>
      <c r="G4" s="7"/>
      <c r="H4" s="5" t="s">
        <v>94</v>
      </c>
      <c r="I4" s="6"/>
      <c r="J4" s="7"/>
      <c r="K4" s="5" t="s">
        <v>95</v>
      </c>
      <c r="L4" s="6"/>
      <c r="M4" s="7"/>
    </row>
    <row r="5" spans="1:13" ht="12.75" thickBot="1" x14ac:dyDescent="0.25">
      <c r="A5" s="8"/>
      <c r="B5" s="422">
        <v>2017</v>
      </c>
      <c r="C5" s="427">
        <v>2018</v>
      </c>
      <c r="D5" s="82" t="s">
        <v>11</v>
      </c>
      <c r="E5" s="434">
        <f>B5</f>
        <v>2017</v>
      </c>
      <c r="F5" s="427">
        <f>C5</f>
        <v>2018</v>
      </c>
      <c r="G5" s="82" t="s">
        <v>11</v>
      </c>
      <c r="H5" s="434">
        <f>B5</f>
        <v>2017</v>
      </c>
      <c r="I5" s="427">
        <f>C5</f>
        <v>2018</v>
      </c>
      <c r="J5" s="82" t="s">
        <v>11</v>
      </c>
      <c r="K5" s="434">
        <f>B5</f>
        <v>2017</v>
      </c>
      <c r="L5" s="427">
        <f>C5</f>
        <v>2018</v>
      </c>
      <c r="M5" s="82" t="s">
        <v>11</v>
      </c>
    </row>
    <row r="6" spans="1:13" ht="12" thickBot="1" x14ac:dyDescent="0.25">
      <c r="A6" s="11" t="s">
        <v>161</v>
      </c>
      <c r="B6" s="440">
        <f>'2017-2018'!N3</f>
        <v>0</v>
      </c>
      <c r="C6" s="436">
        <f>'2017-2018'!AF3</f>
        <v>2</v>
      </c>
      <c r="D6" s="141" t="str">
        <f t="shared" ref="D6:D34" si="0">IF(B6&lt;&gt;0,TEXT(((C6-B6)/B6)*100,"0,0"),"--")</f>
        <v>--</v>
      </c>
      <c r="E6" s="440">
        <f>'2017-2018'!P3</f>
        <v>0</v>
      </c>
      <c r="F6" s="436">
        <f>'2017-2018'!AH3</f>
        <v>0</v>
      </c>
      <c r="G6" s="142" t="str">
        <f t="shared" ref="G6:G34" si="1">IF(E6&lt;&gt;0,TEXT(((F6-E6)/E6)*100,"0,0"),"--")</f>
        <v>--</v>
      </c>
      <c r="H6" s="440">
        <f>'2017-2018'!O3</f>
        <v>0</v>
      </c>
      <c r="I6" s="436">
        <f>'2017-2018'!AG3</f>
        <v>15</v>
      </c>
      <c r="J6" s="142" t="str">
        <f t="shared" ref="J6:J34" si="2">IF(H6&lt;&gt;0,TEXT(((I6-H6)/H6)*100,"0,0"),"--")</f>
        <v>--</v>
      </c>
      <c r="K6" s="440">
        <f>'2017-2018'!F3</f>
        <v>5</v>
      </c>
      <c r="L6" s="436">
        <f>'2017-2018'!X3</f>
        <v>3</v>
      </c>
      <c r="M6" s="142" t="str">
        <f t="shared" ref="M6:M34" si="3">IF(K6&lt;&gt;0,TEXT(((L6-K6)/K6)*100,"0,0"),"--")</f>
        <v>-40,0</v>
      </c>
    </row>
    <row r="7" spans="1:13" ht="12" thickBot="1" x14ac:dyDescent="0.25">
      <c r="A7" s="11" t="s">
        <v>164</v>
      </c>
      <c r="B7" s="440">
        <f>'2017-2018'!N4</f>
        <v>0</v>
      </c>
      <c r="C7" s="436">
        <f>'2017-2018'!AF4</f>
        <v>0</v>
      </c>
      <c r="D7" s="141" t="str">
        <f t="shared" si="0"/>
        <v>--</v>
      </c>
      <c r="E7" s="440">
        <f>'2017-2018'!P4</f>
        <v>0</v>
      </c>
      <c r="F7" s="436">
        <f>'2017-2018'!AH4</f>
        <v>0</v>
      </c>
      <c r="G7" s="142" t="str">
        <f t="shared" si="1"/>
        <v>--</v>
      </c>
      <c r="H7" s="440">
        <f>'2017-2018'!O4</f>
        <v>13</v>
      </c>
      <c r="I7" s="436">
        <f>'2017-2018'!AG4</f>
        <v>17</v>
      </c>
      <c r="J7" s="142" t="str">
        <f t="shared" si="2"/>
        <v>30,8</v>
      </c>
      <c r="K7" s="440">
        <f>'2017-2018'!F4</f>
        <v>1</v>
      </c>
      <c r="L7" s="436">
        <f>'2017-2018'!X4</f>
        <v>3</v>
      </c>
      <c r="M7" s="142" t="str">
        <f t="shared" si="3"/>
        <v>200,0</v>
      </c>
    </row>
    <row r="8" spans="1:13" ht="12" thickBot="1" x14ac:dyDescent="0.25">
      <c r="A8" s="11" t="s">
        <v>166</v>
      </c>
      <c r="B8" s="440">
        <f>'2017-2018'!N5</f>
        <v>0</v>
      </c>
      <c r="C8" s="436">
        <f>'2017-2018'!AF5</f>
        <v>0</v>
      </c>
      <c r="D8" s="141" t="str">
        <f t="shared" si="0"/>
        <v>--</v>
      </c>
      <c r="E8" s="440">
        <f>'2017-2018'!P5</f>
        <v>0</v>
      </c>
      <c r="F8" s="436">
        <f>'2017-2018'!AH5</f>
        <v>0</v>
      </c>
      <c r="G8" s="142" t="str">
        <f t="shared" si="1"/>
        <v>--</v>
      </c>
      <c r="H8" s="440">
        <f>'2017-2018'!O5</f>
        <v>9</v>
      </c>
      <c r="I8" s="436">
        <f>'2017-2018'!AG5</f>
        <v>3</v>
      </c>
      <c r="J8" s="142" t="str">
        <f t="shared" si="2"/>
        <v>-66,7</v>
      </c>
      <c r="K8" s="440">
        <f>'2017-2018'!F5</f>
        <v>1</v>
      </c>
      <c r="L8" s="436">
        <f>'2017-2018'!X5</f>
        <v>2</v>
      </c>
      <c r="M8" s="142" t="str">
        <f t="shared" si="3"/>
        <v>100,0</v>
      </c>
    </row>
    <row r="9" spans="1:13" ht="12" thickBot="1" x14ac:dyDescent="0.25">
      <c r="A9" s="11" t="s">
        <v>168</v>
      </c>
      <c r="B9" s="440">
        <f>'2017-2018'!N6</f>
        <v>0</v>
      </c>
      <c r="C9" s="436">
        <f>'2017-2018'!AF6</f>
        <v>0</v>
      </c>
      <c r="D9" s="141" t="str">
        <f t="shared" si="0"/>
        <v>--</v>
      </c>
      <c r="E9" s="440">
        <f>'2017-2018'!P6</f>
        <v>0</v>
      </c>
      <c r="F9" s="436">
        <f>'2017-2018'!AH6</f>
        <v>1</v>
      </c>
      <c r="G9" s="142" t="str">
        <f t="shared" si="1"/>
        <v>--</v>
      </c>
      <c r="H9" s="440">
        <f>'2017-2018'!O6</f>
        <v>19</v>
      </c>
      <c r="I9" s="436">
        <f>'2017-2018'!AG6</f>
        <v>2</v>
      </c>
      <c r="J9" s="142" t="str">
        <f t="shared" si="2"/>
        <v>-89,5</v>
      </c>
      <c r="K9" s="440">
        <f>'2017-2018'!F6</f>
        <v>5</v>
      </c>
      <c r="L9" s="436">
        <f>'2017-2018'!X6</f>
        <v>1</v>
      </c>
      <c r="M9" s="142" t="str">
        <f t="shared" si="3"/>
        <v>-80,0</v>
      </c>
    </row>
    <row r="10" spans="1:13" ht="12" thickBot="1" x14ac:dyDescent="0.25">
      <c r="A10" s="11" t="s">
        <v>170</v>
      </c>
      <c r="B10" s="440">
        <f>'2017-2018'!N7</f>
        <v>0</v>
      </c>
      <c r="C10" s="436">
        <f>'2017-2018'!AF7</f>
        <v>0</v>
      </c>
      <c r="D10" s="141" t="str">
        <f t="shared" si="0"/>
        <v>--</v>
      </c>
      <c r="E10" s="440">
        <f>'2017-2018'!P7</f>
        <v>0</v>
      </c>
      <c r="F10" s="436">
        <f>'2017-2018'!AH7</f>
        <v>0</v>
      </c>
      <c r="G10" s="142" t="str">
        <f t="shared" si="1"/>
        <v>--</v>
      </c>
      <c r="H10" s="440">
        <f>'2017-2018'!O7</f>
        <v>0</v>
      </c>
      <c r="I10" s="436">
        <f>'2017-2018'!AG7</f>
        <v>0</v>
      </c>
      <c r="J10" s="142" t="str">
        <f t="shared" si="2"/>
        <v>--</v>
      </c>
      <c r="K10" s="440">
        <f>'2017-2018'!F7</f>
        <v>3</v>
      </c>
      <c r="L10" s="436">
        <f>'2017-2018'!X7</f>
        <v>1</v>
      </c>
      <c r="M10" s="142" t="str">
        <f t="shared" si="3"/>
        <v>-66,7</v>
      </c>
    </row>
    <row r="11" spans="1:13" ht="12" thickBot="1" x14ac:dyDescent="0.25">
      <c r="A11" s="11" t="s">
        <v>173</v>
      </c>
      <c r="B11" s="440">
        <f>'2017-2018'!N8</f>
        <v>0</v>
      </c>
      <c r="C11" s="436">
        <f>'2017-2018'!AF8</f>
        <v>10</v>
      </c>
      <c r="D11" s="141" t="str">
        <f t="shared" si="0"/>
        <v>--</v>
      </c>
      <c r="E11" s="440">
        <f>'2017-2018'!P8</f>
        <v>0</v>
      </c>
      <c r="F11" s="436">
        <f>'2017-2018'!AH8</f>
        <v>0</v>
      </c>
      <c r="G11" s="142" t="str">
        <f t="shared" si="1"/>
        <v>--</v>
      </c>
      <c r="H11" s="440">
        <f>'2017-2018'!O8</f>
        <v>12</v>
      </c>
      <c r="I11" s="436">
        <f>'2017-2018'!AG8</f>
        <v>11</v>
      </c>
      <c r="J11" s="142" t="str">
        <f t="shared" si="2"/>
        <v>-8,3</v>
      </c>
      <c r="K11" s="440">
        <f>'2017-2018'!F8</f>
        <v>3</v>
      </c>
      <c r="L11" s="436">
        <f>'2017-2018'!X8</f>
        <v>25</v>
      </c>
      <c r="M11" s="142" t="str">
        <f t="shared" si="3"/>
        <v>733,3</v>
      </c>
    </row>
    <row r="12" spans="1:13" ht="12" thickBot="1" x14ac:dyDescent="0.25">
      <c r="A12" s="11" t="s">
        <v>175</v>
      </c>
      <c r="B12" s="440">
        <f>'2017-2018'!N9</f>
        <v>0</v>
      </c>
      <c r="C12" s="436">
        <f>'2017-2018'!AF9</f>
        <v>0</v>
      </c>
      <c r="D12" s="141" t="str">
        <f t="shared" si="0"/>
        <v>--</v>
      </c>
      <c r="E12" s="440">
        <f>'2017-2018'!P9</f>
        <v>0</v>
      </c>
      <c r="F12" s="436">
        <f>'2017-2018'!AH9</f>
        <v>0</v>
      </c>
      <c r="G12" s="142" t="str">
        <f t="shared" si="1"/>
        <v>--</v>
      </c>
      <c r="H12" s="440">
        <f>'2017-2018'!O9</f>
        <v>0</v>
      </c>
      <c r="I12" s="436">
        <f>'2017-2018'!AG9</f>
        <v>2</v>
      </c>
      <c r="J12" s="142" t="str">
        <f t="shared" si="2"/>
        <v>--</v>
      </c>
      <c r="K12" s="440">
        <f>'2017-2018'!F9</f>
        <v>2</v>
      </c>
      <c r="L12" s="436">
        <f>'2017-2018'!X9</f>
        <v>0</v>
      </c>
      <c r="M12" s="142" t="str">
        <f t="shared" si="3"/>
        <v>-100,0</v>
      </c>
    </row>
    <row r="13" spans="1:13" ht="12" thickBot="1" x14ac:dyDescent="0.25">
      <c r="A13" s="11" t="s">
        <v>177</v>
      </c>
      <c r="B13" s="440">
        <f>'2017-2018'!N10</f>
        <v>0</v>
      </c>
      <c r="C13" s="436">
        <f>'2017-2018'!AF10</f>
        <v>0</v>
      </c>
      <c r="D13" s="141" t="str">
        <f t="shared" si="0"/>
        <v>--</v>
      </c>
      <c r="E13" s="440">
        <f>'2017-2018'!P10</f>
        <v>0</v>
      </c>
      <c r="F13" s="436">
        <f>'2017-2018'!AH10</f>
        <v>0</v>
      </c>
      <c r="G13" s="142" t="str">
        <f t="shared" si="1"/>
        <v>--</v>
      </c>
      <c r="H13" s="440">
        <f>'2017-2018'!O10</f>
        <v>10</v>
      </c>
      <c r="I13" s="436">
        <f>'2017-2018'!AG10</f>
        <v>5</v>
      </c>
      <c r="J13" s="142" t="str">
        <f t="shared" si="2"/>
        <v>-50,0</v>
      </c>
      <c r="K13" s="440">
        <f>'2017-2018'!F10</f>
        <v>1</v>
      </c>
      <c r="L13" s="436">
        <f>'2017-2018'!X10</f>
        <v>3</v>
      </c>
      <c r="M13" s="142" t="str">
        <f t="shared" si="3"/>
        <v>200,0</v>
      </c>
    </row>
    <row r="14" spans="1:13" ht="12" thickBot="1" x14ac:dyDescent="0.25">
      <c r="A14" s="11" t="s">
        <v>179</v>
      </c>
      <c r="B14" s="440">
        <f>'2017-2018'!N11</f>
        <v>0</v>
      </c>
      <c r="C14" s="436">
        <f>'2017-2018'!AF11</f>
        <v>0</v>
      </c>
      <c r="D14" s="141" t="str">
        <f t="shared" si="0"/>
        <v>--</v>
      </c>
      <c r="E14" s="440">
        <f>'2017-2018'!P11</f>
        <v>0</v>
      </c>
      <c r="F14" s="436">
        <f>'2017-2018'!AH11</f>
        <v>0</v>
      </c>
      <c r="G14" s="142" t="str">
        <f t="shared" si="1"/>
        <v>--</v>
      </c>
      <c r="H14" s="440">
        <f>'2017-2018'!O11</f>
        <v>0</v>
      </c>
      <c r="I14" s="436">
        <f>'2017-2018'!AG11</f>
        <v>10</v>
      </c>
      <c r="J14" s="142" t="str">
        <f t="shared" si="2"/>
        <v>--</v>
      </c>
      <c r="K14" s="440">
        <f>'2017-2018'!F11</f>
        <v>0</v>
      </c>
      <c r="L14" s="436">
        <f>'2017-2018'!X11</f>
        <v>0</v>
      </c>
      <c r="M14" s="142" t="str">
        <f t="shared" si="3"/>
        <v>--</v>
      </c>
    </row>
    <row r="15" spans="1:13" ht="12" thickBot="1" x14ac:dyDescent="0.25">
      <c r="A15" s="11" t="s">
        <v>181</v>
      </c>
      <c r="B15" s="440">
        <f>'2017-2018'!N12</f>
        <v>0</v>
      </c>
      <c r="C15" s="436">
        <f>'2017-2018'!AF12</f>
        <v>3</v>
      </c>
      <c r="D15" s="141" t="str">
        <f t="shared" si="0"/>
        <v>--</v>
      </c>
      <c r="E15" s="440">
        <f>'2017-2018'!P12</f>
        <v>0</v>
      </c>
      <c r="F15" s="436">
        <f>'2017-2018'!AH12</f>
        <v>0</v>
      </c>
      <c r="G15" s="142" t="str">
        <f t="shared" si="1"/>
        <v>--</v>
      </c>
      <c r="H15" s="440">
        <f>'2017-2018'!O12</f>
        <v>71</v>
      </c>
      <c r="I15" s="436">
        <f>'2017-2018'!AG12</f>
        <v>4</v>
      </c>
      <c r="J15" s="142" t="str">
        <f t="shared" si="2"/>
        <v>-94,4</v>
      </c>
      <c r="K15" s="440">
        <f>'2017-2018'!F12</f>
        <v>0</v>
      </c>
      <c r="L15" s="436">
        <f>'2017-2018'!X12</f>
        <v>1</v>
      </c>
      <c r="M15" s="142" t="str">
        <f t="shared" si="3"/>
        <v>--</v>
      </c>
    </row>
    <row r="16" spans="1:13" ht="12" thickBot="1" x14ac:dyDescent="0.25">
      <c r="A16" s="11" t="s">
        <v>183</v>
      </c>
      <c r="B16" s="440">
        <f>'2017-2018'!N13</f>
        <v>0</v>
      </c>
      <c r="C16" s="436">
        <f>'2017-2018'!AF13</f>
        <v>0</v>
      </c>
      <c r="D16" s="141" t="str">
        <f t="shared" si="0"/>
        <v>--</v>
      </c>
      <c r="E16" s="440">
        <f>'2017-2018'!P13</f>
        <v>0</v>
      </c>
      <c r="F16" s="436">
        <f>'2017-2018'!AH13</f>
        <v>0</v>
      </c>
      <c r="G16" s="142" t="str">
        <f t="shared" si="1"/>
        <v>--</v>
      </c>
      <c r="H16" s="440">
        <f>'2017-2018'!O13</f>
        <v>1</v>
      </c>
      <c r="I16" s="436">
        <f>'2017-2018'!AG13</f>
        <v>0</v>
      </c>
      <c r="J16" s="142" t="str">
        <f t="shared" si="2"/>
        <v>-100,0</v>
      </c>
      <c r="K16" s="440">
        <f>'2017-2018'!F13</f>
        <v>2</v>
      </c>
      <c r="L16" s="436">
        <f>'2017-2018'!X13</f>
        <v>8</v>
      </c>
      <c r="M16" s="142" t="str">
        <f t="shared" si="3"/>
        <v>300,0</v>
      </c>
    </row>
    <row r="17" spans="1:13" ht="12" thickBot="1" x14ac:dyDescent="0.25">
      <c r="A17" s="11" t="s">
        <v>185</v>
      </c>
      <c r="B17" s="440">
        <f>'2017-2018'!N14</f>
        <v>8</v>
      </c>
      <c r="C17" s="436">
        <f>'2017-2018'!AF14</f>
        <v>0</v>
      </c>
      <c r="D17" s="141" t="str">
        <f t="shared" si="0"/>
        <v>-100,0</v>
      </c>
      <c r="E17" s="440">
        <f>'2017-2018'!P14</f>
        <v>0</v>
      </c>
      <c r="F17" s="436">
        <f>'2017-2018'!AH14</f>
        <v>0</v>
      </c>
      <c r="G17" s="142" t="str">
        <f t="shared" si="1"/>
        <v>--</v>
      </c>
      <c r="H17" s="440">
        <f>'2017-2018'!O14</f>
        <v>37</v>
      </c>
      <c r="I17" s="436">
        <f>'2017-2018'!AG14</f>
        <v>58</v>
      </c>
      <c r="J17" s="142" t="str">
        <f t="shared" si="2"/>
        <v>56,8</v>
      </c>
      <c r="K17" s="440">
        <f>'2017-2018'!F14</f>
        <v>1</v>
      </c>
      <c r="L17" s="436">
        <f>'2017-2018'!X14</f>
        <v>5</v>
      </c>
      <c r="M17" s="142" t="str">
        <f t="shared" si="3"/>
        <v>400,0</v>
      </c>
    </row>
    <row r="18" spans="1:13" ht="12" thickBot="1" x14ac:dyDescent="0.25">
      <c r="A18" s="9" t="s">
        <v>188</v>
      </c>
      <c r="B18" s="384">
        <f>'2017-2018'!N27</f>
        <v>0</v>
      </c>
      <c r="C18" s="437">
        <f>'2017-2018'!AF27</f>
        <v>0</v>
      </c>
      <c r="D18" s="140" t="str">
        <f t="shared" si="0"/>
        <v>--</v>
      </c>
      <c r="E18" s="384">
        <f>'2017-2018'!P27</f>
        <v>0</v>
      </c>
      <c r="F18" s="437">
        <f>'2017-2018'!AH27</f>
        <v>0</v>
      </c>
      <c r="G18" s="143" t="str">
        <f t="shared" si="1"/>
        <v>--</v>
      </c>
      <c r="H18" s="384">
        <f>'2017-2018'!O27</f>
        <v>0</v>
      </c>
      <c r="I18" s="437">
        <f>'2017-2018'!AG27</f>
        <v>0</v>
      </c>
      <c r="J18" s="143" t="str">
        <f t="shared" si="2"/>
        <v>--</v>
      </c>
      <c r="K18" s="384">
        <f>'2017-2018'!F27</f>
        <v>28</v>
      </c>
      <c r="L18" s="437">
        <f>'2017-2018'!X27</f>
        <v>67</v>
      </c>
      <c r="M18" s="143" t="str">
        <f t="shared" si="3"/>
        <v>139,3</v>
      </c>
    </row>
    <row r="19" spans="1:13" ht="12" thickBot="1" x14ac:dyDescent="0.25">
      <c r="A19" s="11" t="s">
        <v>189</v>
      </c>
      <c r="B19" s="440">
        <f>'2017-2018'!N15</f>
        <v>0</v>
      </c>
      <c r="C19" s="436">
        <f>'2017-2018'!AF15</f>
        <v>0</v>
      </c>
      <c r="D19" s="141" t="str">
        <f t="shared" si="0"/>
        <v>--</v>
      </c>
      <c r="E19" s="440">
        <f>'2017-2018'!P15</f>
        <v>0</v>
      </c>
      <c r="F19" s="436">
        <f>'2017-2018'!AH15</f>
        <v>0</v>
      </c>
      <c r="G19" s="142" t="str">
        <f t="shared" si="1"/>
        <v>--</v>
      </c>
      <c r="H19" s="440">
        <f>'2017-2018'!O15</f>
        <v>0</v>
      </c>
      <c r="I19" s="436">
        <f>'2017-2018'!AG15</f>
        <v>1</v>
      </c>
      <c r="J19" s="142" t="str">
        <f t="shared" si="2"/>
        <v>--</v>
      </c>
      <c r="K19" s="440">
        <f>'2017-2018'!F15</f>
        <v>2</v>
      </c>
      <c r="L19" s="436">
        <f>'2017-2018'!X15</f>
        <v>2</v>
      </c>
      <c r="M19" s="142" t="str">
        <f t="shared" si="3"/>
        <v>0,0</v>
      </c>
    </row>
    <row r="20" spans="1:13" ht="12" thickBot="1" x14ac:dyDescent="0.25">
      <c r="A20" s="11" t="s">
        <v>191</v>
      </c>
      <c r="B20" s="440">
        <f>'2017-2018'!N16</f>
        <v>0</v>
      </c>
      <c r="C20" s="436">
        <f>'2017-2018'!AF16</f>
        <v>0</v>
      </c>
      <c r="D20" s="141" t="str">
        <f t="shared" si="0"/>
        <v>--</v>
      </c>
      <c r="E20" s="440">
        <f>'2017-2018'!P16</f>
        <v>2</v>
      </c>
      <c r="F20" s="436">
        <f>'2017-2018'!AH16</f>
        <v>0</v>
      </c>
      <c r="G20" s="142" t="str">
        <f t="shared" si="1"/>
        <v>-100,0</v>
      </c>
      <c r="H20" s="440">
        <f>'2017-2018'!O16</f>
        <v>0</v>
      </c>
      <c r="I20" s="436">
        <f>'2017-2018'!AG16</f>
        <v>0</v>
      </c>
      <c r="J20" s="142" t="str">
        <f t="shared" si="2"/>
        <v>--</v>
      </c>
      <c r="K20" s="440">
        <f>'2017-2018'!F16</f>
        <v>0</v>
      </c>
      <c r="L20" s="436">
        <f>'2017-2018'!X16</f>
        <v>3</v>
      </c>
      <c r="M20" s="142" t="str">
        <f t="shared" si="3"/>
        <v>--</v>
      </c>
    </row>
    <row r="21" spans="1:13" ht="12" thickBot="1" x14ac:dyDescent="0.25">
      <c r="A21" s="11" t="s">
        <v>193</v>
      </c>
      <c r="B21" s="440">
        <f>'2017-2018'!N17</f>
        <v>0</v>
      </c>
      <c r="C21" s="436">
        <f>'2017-2018'!AF17</f>
        <v>0</v>
      </c>
      <c r="D21" s="141" t="str">
        <f t="shared" si="0"/>
        <v>--</v>
      </c>
      <c r="E21" s="440">
        <f>'2017-2018'!P17</f>
        <v>0</v>
      </c>
      <c r="F21" s="436">
        <f>'2017-2018'!AH17</f>
        <v>0</v>
      </c>
      <c r="G21" s="142" t="str">
        <f t="shared" si="1"/>
        <v>--</v>
      </c>
      <c r="H21" s="440">
        <f>'2017-2018'!O17</f>
        <v>1</v>
      </c>
      <c r="I21" s="436">
        <f>'2017-2018'!AG17</f>
        <v>7</v>
      </c>
      <c r="J21" s="142" t="str">
        <f t="shared" si="2"/>
        <v>600,0</v>
      </c>
      <c r="K21" s="440">
        <f>'2017-2018'!F17</f>
        <v>11</v>
      </c>
      <c r="L21" s="436">
        <f>'2017-2018'!X17</f>
        <v>35</v>
      </c>
      <c r="M21" s="142" t="str">
        <f t="shared" si="3"/>
        <v>218,2</v>
      </c>
    </row>
    <row r="22" spans="1:13" ht="12" thickBot="1" x14ac:dyDescent="0.25">
      <c r="A22" s="11" t="s">
        <v>195</v>
      </c>
      <c r="B22" s="440">
        <f>'2017-2018'!N18</f>
        <v>1</v>
      </c>
      <c r="C22" s="436">
        <f>'2017-2018'!AF18</f>
        <v>0</v>
      </c>
      <c r="D22" s="141" t="str">
        <f t="shared" si="0"/>
        <v>-100,0</v>
      </c>
      <c r="E22" s="440">
        <f>'2017-2018'!P18</f>
        <v>1</v>
      </c>
      <c r="F22" s="436">
        <f>'2017-2018'!AH18</f>
        <v>0</v>
      </c>
      <c r="G22" s="142" t="str">
        <f t="shared" si="1"/>
        <v>-100,0</v>
      </c>
      <c r="H22" s="440">
        <f>'2017-2018'!O18</f>
        <v>26</v>
      </c>
      <c r="I22" s="436">
        <f>'2017-2018'!AG18</f>
        <v>10</v>
      </c>
      <c r="J22" s="142" t="str">
        <f t="shared" si="2"/>
        <v>-61,5</v>
      </c>
      <c r="K22" s="440">
        <f>'2017-2018'!F18</f>
        <v>6</v>
      </c>
      <c r="L22" s="436">
        <f>'2017-2018'!X18</f>
        <v>2</v>
      </c>
      <c r="M22" s="142" t="str">
        <f t="shared" si="3"/>
        <v>-66,7</v>
      </c>
    </row>
    <row r="23" spans="1:13" ht="12" thickBot="1" x14ac:dyDescent="0.25">
      <c r="A23" s="11" t="s">
        <v>197</v>
      </c>
      <c r="B23" s="440">
        <f>'2017-2018'!N19</f>
        <v>0</v>
      </c>
      <c r="C23" s="436">
        <f>'2017-2018'!AF19</f>
        <v>0</v>
      </c>
      <c r="D23" s="141" t="str">
        <f t="shared" si="0"/>
        <v>--</v>
      </c>
      <c r="E23" s="440">
        <f>'2017-2018'!P19</f>
        <v>0</v>
      </c>
      <c r="F23" s="436">
        <f>'2017-2018'!AH19</f>
        <v>0</v>
      </c>
      <c r="G23" s="142" t="str">
        <f t="shared" si="1"/>
        <v>--</v>
      </c>
      <c r="H23" s="440">
        <f>'2017-2018'!O19</f>
        <v>28</v>
      </c>
      <c r="I23" s="436">
        <f>'2017-2018'!AG19</f>
        <v>0</v>
      </c>
      <c r="J23" s="142" t="str">
        <f t="shared" si="2"/>
        <v>-100,0</v>
      </c>
      <c r="K23" s="440">
        <f>'2017-2018'!F19</f>
        <v>0</v>
      </c>
      <c r="L23" s="436">
        <f>'2017-2018'!X19</f>
        <v>2</v>
      </c>
      <c r="M23" s="142" t="str">
        <f t="shared" si="3"/>
        <v>--</v>
      </c>
    </row>
    <row r="24" spans="1:13" ht="12" thickBot="1" x14ac:dyDescent="0.25">
      <c r="A24" s="11" t="s">
        <v>199</v>
      </c>
      <c r="B24" s="440">
        <f>'2017-2018'!N20</f>
        <v>0</v>
      </c>
      <c r="C24" s="436">
        <f>'2017-2018'!AF20</f>
        <v>0</v>
      </c>
      <c r="D24" s="141" t="str">
        <f t="shared" si="0"/>
        <v>--</v>
      </c>
      <c r="E24" s="440">
        <f>'2017-2018'!P20</f>
        <v>0</v>
      </c>
      <c r="F24" s="436">
        <f>'2017-2018'!AH20</f>
        <v>0</v>
      </c>
      <c r="G24" s="142" t="str">
        <f t="shared" si="1"/>
        <v>--</v>
      </c>
      <c r="H24" s="440">
        <f>'2017-2018'!O20</f>
        <v>5</v>
      </c>
      <c r="I24" s="436">
        <f>'2017-2018'!AG20</f>
        <v>3</v>
      </c>
      <c r="J24" s="142" t="str">
        <f t="shared" si="2"/>
        <v>-40,0</v>
      </c>
      <c r="K24" s="440">
        <f>'2017-2018'!F20</f>
        <v>24</v>
      </c>
      <c r="L24" s="436">
        <f>'2017-2018'!X20</f>
        <v>11</v>
      </c>
      <c r="M24" s="142" t="str">
        <f t="shared" si="3"/>
        <v>-54,2</v>
      </c>
    </row>
    <row r="25" spans="1:13" ht="12" thickBot="1" x14ac:dyDescent="0.25">
      <c r="A25" s="11" t="s">
        <v>201</v>
      </c>
      <c r="B25" s="440">
        <f>'2017-2018'!N21</f>
        <v>0</v>
      </c>
      <c r="C25" s="436">
        <f>'2017-2018'!AF21</f>
        <v>0</v>
      </c>
      <c r="D25" s="141" t="str">
        <f t="shared" si="0"/>
        <v>--</v>
      </c>
      <c r="E25" s="440">
        <f>'2017-2018'!P21</f>
        <v>0</v>
      </c>
      <c r="F25" s="436">
        <f>'2017-2018'!AH21</f>
        <v>0</v>
      </c>
      <c r="G25" s="142" t="str">
        <f t="shared" si="1"/>
        <v>--</v>
      </c>
      <c r="H25" s="440">
        <f>'2017-2018'!O21</f>
        <v>3</v>
      </c>
      <c r="I25" s="436">
        <f>'2017-2018'!AG21</f>
        <v>0</v>
      </c>
      <c r="J25" s="142" t="str">
        <f t="shared" si="2"/>
        <v>-100,0</v>
      </c>
      <c r="K25" s="440">
        <f>'2017-2018'!F21</f>
        <v>7</v>
      </c>
      <c r="L25" s="436">
        <f>'2017-2018'!X21</f>
        <v>4</v>
      </c>
      <c r="M25" s="142" t="str">
        <f t="shared" si="3"/>
        <v>-42,9</v>
      </c>
    </row>
    <row r="26" spans="1:13" ht="12" thickBot="1" x14ac:dyDescent="0.25">
      <c r="A26" s="11" t="s">
        <v>203</v>
      </c>
      <c r="B26" s="440">
        <f>'2017-2018'!N22</f>
        <v>0</v>
      </c>
      <c r="C26" s="436">
        <f>'2017-2018'!AF22</f>
        <v>0</v>
      </c>
      <c r="D26" s="141" t="str">
        <f t="shared" si="0"/>
        <v>--</v>
      </c>
      <c r="E26" s="440">
        <f>'2017-2018'!P22</f>
        <v>0</v>
      </c>
      <c r="F26" s="436">
        <f>'2017-2018'!AH22</f>
        <v>0</v>
      </c>
      <c r="G26" s="142" t="str">
        <f t="shared" si="1"/>
        <v>--</v>
      </c>
      <c r="H26" s="440">
        <f>'2017-2018'!O22</f>
        <v>4</v>
      </c>
      <c r="I26" s="436">
        <f>'2017-2018'!AG22</f>
        <v>1</v>
      </c>
      <c r="J26" s="142" t="str">
        <f t="shared" si="2"/>
        <v>-75,0</v>
      </c>
      <c r="K26" s="440">
        <f>'2017-2018'!F22</f>
        <v>1</v>
      </c>
      <c r="L26" s="436">
        <f>'2017-2018'!X22</f>
        <v>0</v>
      </c>
      <c r="M26" s="142" t="str">
        <f t="shared" si="3"/>
        <v>-100,0</v>
      </c>
    </row>
    <row r="27" spans="1:13" ht="12" thickBot="1" x14ac:dyDescent="0.25">
      <c r="A27" s="11" t="s">
        <v>205</v>
      </c>
      <c r="B27" s="440">
        <f>'2017-2018'!N23</f>
        <v>0</v>
      </c>
      <c r="C27" s="436">
        <f>'2017-2018'!AF23</f>
        <v>0</v>
      </c>
      <c r="D27" s="141" t="str">
        <f t="shared" si="0"/>
        <v>--</v>
      </c>
      <c r="E27" s="440">
        <f>'2017-2018'!P23</f>
        <v>0</v>
      </c>
      <c r="F27" s="436">
        <f>'2017-2018'!AH23</f>
        <v>0</v>
      </c>
      <c r="G27" s="142" t="str">
        <f t="shared" si="1"/>
        <v>--</v>
      </c>
      <c r="H27" s="440">
        <f>'2017-2018'!O23</f>
        <v>0</v>
      </c>
      <c r="I27" s="436">
        <f>'2017-2018'!AG23</f>
        <v>238</v>
      </c>
      <c r="J27" s="142" t="str">
        <f t="shared" si="2"/>
        <v>--</v>
      </c>
      <c r="K27" s="440">
        <f>'2017-2018'!F23</f>
        <v>0</v>
      </c>
      <c r="L27" s="436">
        <f>'2017-2018'!X23</f>
        <v>0</v>
      </c>
      <c r="M27" s="142" t="str">
        <f t="shared" si="3"/>
        <v>--</v>
      </c>
    </row>
    <row r="28" spans="1:13" x14ac:dyDescent="0.2">
      <c r="A28" s="11" t="s">
        <v>158</v>
      </c>
      <c r="B28" s="440">
        <f>'2017-2018'!N24</f>
        <v>0</v>
      </c>
      <c r="C28" s="436">
        <f>'2017-2018'!AF24</f>
        <v>0</v>
      </c>
      <c r="D28" s="141" t="str">
        <f t="shared" si="0"/>
        <v>--</v>
      </c>
      <c r="E28" s="440">
        <f>'2017-2018'!P24</f>
        <v>0</v>
      </c>
      <c r="F28" s="436">
        <f>'2017-2018'!AH24</f>
        <v>0</v>
      </c>
      <c r="G28" s="142" t="str">
        <f t="shared" si="1"/>
        <v>--</v>
      </c>
      <c r="H28" s="440">
        <f>'2017-2018'!O24</f>
        <v>0</v>
      </c>
      <c r="I28" s="436">
        <f>'2017-2018'!AG24</f>
        <v>0</v>
      </c>
      <c r="J28" s="142" t="str">
        <f t="shared" si="2"/>
        <v>--</v>
      </c>
      <c r="K28" s="440">
        <f>'2017-2018'!F24</f>
        <v>17</v>
      </c>
      <c r="L28" s="436">
        <f>'2017-2018'!X24</f>
        <v>32</v>
      </c>
      <c r="M28" s="142" t="str">
        <f t="shared" si="3"/>
        <v>88,2</v>
      </c>
    </row>
    <row r="29" spans="1:13" x14ac:dyDescent="0.2">
      <c r="A29" s="13" t="s">
        <v>159</v>
      </c>
      <c r="B29" s="441">
        <f>'2017-2018'!N26</f>
        <v>0</v>
      </c>
      <c r="C29" s="438">
        <f>'2017-2018'!AF26</f>
        <v>0</v>
      </c>
      <c r="D29" s="144" t="str">
        <f t="shared" si="0"/>
        <v>--</v>
      </c>
      <c r="E29" s="441">
        <f>'2017-2018'!P26</f>
        <v>0</v>
      </c>
      <c r="F29" s="438">
        <f>'2017-2018'!AH26</f>
        <v>0</v>
      </c>
      <c r="G29" s="145" t="str">
        <f t="shared" si="1"/>
        <v>--</v>
      </c>
      <c r="H29" s="441">
        <f>'2017-2018'!O26</f>
        <v>3</v>
      </c>
      <c r="I29" s="438">
        <f>'2017-2018'!AG26</f>
        <v>0</v>
      </c>
      <c r="J29" s="145" t="str">
        <f t="shared" si="2"/>
        <v>-100,0</v>
      </c>
      <c r="K29" s="441">
        <f>'2017-2018'!F26</f>
        <v>44</v>
      </c>
      <c r="L29" s="438">
        <f>'2017-2018'!X26</f>
        <v>62</v>
      </c>
      <c r="M29" s="145" t="str">
        <f t="shared" si="3"/>
        <v>40,9</v>
      </c>
    </row>
    <row r="30" spans="1:13" ht="12" thickBot="1" x14ac:dyDescent="0.25">
      <c r="A30" s="15" t="s">
        <v>160</v>
      </c>
      <c r="B30" s="442">
        <f>'2017-2018'!N25</f>
        <v>0</v>
      </c>
      <c r="C30" s="439">
        <f>'2017-2018'!AF25</f>
        <v>0</v>
      </c>
      <c r="D30" s="146" t="str">
        <f t="shared" si="0"/>
        <v>--</v>
      </c>
      <c r="E30" s="442">
        <f>'2017-2018'!P25</f>
        <v>0</v>
      </c>
      <c r="F30" s="439">
        <f>'2017-2018'!AH25</f>
        <v>0</v>
      </c>
      <c r="G30" s="147" t="str">
        <f t="shared" si="1"/>
        <v>--</v>
      </c>
      <c r="H30" s="442">
        <f>'2017-2018'!O25</f>
        <v>0</v>
      </c>
      <c r="I30" s="439">
        <f>'2017-2018'!AG25</f>
        <v>0</v>
      </c>
      <c r="J30" s="147" t="str">
        <f t="shared" si="2"/>
        <v>--</v>
      </c>
      <c r="K30" s="442">
        <f>'2017-2018'!F25</f>
        <v>36</v>
      </c>
      <c r="L30" s="439">
        <f>'2017-2018'!X25</f>
        <v>67</v>
      </c>
      <c r="M30" s="147" t="str">
        <f t="shared" si="3"/>
        <v>86,1</v>
      </c>
    </row>
    <row r="31" spans="1:13" ht="12" thickBot="1" x14ac:dyDescent="0.25">
      <c r="A31" s="9" t="s">
        <v>157</v>
      </c>
      <c r="B31" s="384">
        <f>SUM(B28:B30)</f>
        <v>0</v>
      </c>
      <c r="C31" s="437">
        <f>SUM(C28:C30)</f>
        <v>0</v>
      </c>
      <c r="D31" s="140" t="str">
        <f t="shared" si="0"/>
        <v>--</v>
      </c>
      <c r="E31" s="384">
        <f>SUM(E28:E30)</f>
        <v>0</v>
      </c>
      <c r="F31" s="437">
        <f>SUM(F28:F30)</f>
        <v>0</v>
      </c>
      <c r="G31" s="143" t="str">
        <f t="shared" si="1"/>
        <v>--</v>
      </c>
      <c r="H31" s="384">
        <f>SUM(H28:H30)</f>
        <v>3</v>
      </c>
      <c r="I31" s="437">
        <f>SUM(I28:I30)</f>
        <v>0</v>
      </c>
      <c r="J31" s="143" t="str">
        <f t="shared" si="2"/>
        <v>-100,0</v>
      </c>
      <c r="K31" s="384">
        <f>SUM(K28:K30)</f>
        <v>97</v>
      </c>
      <c r="L31" s="437">
        <f>SUM(L28:L30)</f>
        <v>161</v>
      </c>
      <c r="M31" s="143" t="str">
        <f t="shared" si="3"/>
        <v>66,0</v>
      </c>
    </row>
    <row r="32" spans="1:13" ht="12" hidden="1" thickBot="1" x14ac:dyDescent="0.25">
      <c r="A32" s="19" t="s">
        <v>4</v>
      </c>
      <c r="B32" s="383">
        <v>0</v>
      </c>
      <c r="C32" s="437">
        <v>0</v>
      </c>
      <c r="D32" s="140" t="str">
        <f t="shared" si="0"/>
        <v>--</v>
      </c>
      <c r="E32" s="384">
        <v>3</v>
      </c>
      <c r="F32" s="437">
        <v>0</v>
      </c>
      <c r="G32" s="143" t="str">
        <f t="shared" si="1"/>
        <v>-100,0</v>
      </c>
      <c r="H32" s="384">
        <v>8</v>
      </c>
      <c r="I32" s="437">
        <v>30</v>
      </c>
      <c r="J32" s="143" t="str">
        <f t="shared" si="2"/>
        <v>275,0</v>
      </c>
      <c r="K32" s="384">
        <v>1155</v>
      </c>
      <c r="L32" s="437">
        <v>921</v>
      </c>
      <c r="M32" s="143" t="str">
        <f t="shared" si="3"/>
        <v>-20,3</v>
      </c>
    </row>
    <row r="33" spans="1:13" ht="12" hidden="1" thickBot="1" x14ac:dyDescent="0.25">
      <c r="A33" s="19" t="s">
        <v>5</v>
      </c>
      <c r="B33" s="383">
        <v>7</v>
      </c>
      <c r="C33" s="437">
        <v>9</v>
      </c>
      <c r="D33" s="140" t="str">
        <f t="shared" si="0"/>
        <v>28,6</v>
      </c>
      <c r="E33" s="384">
        <v>66</v>
      </c>
      <c r="F33" s="437">
        <v>4</v>
      </c>
      <c r="G33" s="143" t="str">
        <f t="shared" si="1"/>
        <v>-93,9</v>
      </c>
      <c r="H33" s="384">
        <v>562</v>
      </c>
      <c r="I33" s="437">
        <v>341</v>
      </c>
      <c r="J33" s="143" t="str">
        <f t="shared" si="2"/>
        <v>-39,3</v>
      </c>
      <c r="K33" s="384">
        <v>26</v>
      </c>
      <c r="L33" s="437">
        <v>55</v>
      </c>
      <c r="M33" s="143" t="str">
        <f t="shared" si="3"/>
        <v>111,5</v>
      </c>
    </row>
    <row r="34" spans="1:13" ht="12" thickBot="1" x14ac:dyDescent="0.25">
      <c r="A34" s="19" t="s">
        <v>6</v>
      </c>
      <c r="B34" s="384">
        <f>SUM(B6:B30)</f>
        <v>9</v>
      </c>
      <c r="C34" s="437">
        <f>SUM(C6:C30)</f>
        <v>15</v>
      </c>
      <c r="D34" s="140" t="str">
        <f t="shared" si="0"/>
        <v>66,7</v>
      </c>
      <c r="E34" s="384">
        <f>SUM(E6:E30)</f>
        <v>3</v>
      </c>
      <c r="F34" s="437">
        <f>SUM(F6:F30)</f>
        <v>1</v>
      </c>
      <c r="G34" s="143" t="str">
        <f t="shared" si="1"/>
        <v>-66,7</v>
      </c>
      <c r="H34" s="384">
        <f>SUM(H6:H30)</f>
        <v>242</v>
      </c>
      <c r="I34" s="437">
        <f>SUM(I6:I30)</f>
        <v>387</v>
      </c>
      <c r="J34" s="143" t="str">
        <f t="shared" si="2"/>
        <v>59,9</v>
      </c>
      <c r="K34" s="384">
        <f>SUM(K6:K30)</f>
        <v>200</v>
      </c>
      <c r="L34" s="437">
        <f>SUM(L6:L30)</f>
        <v>339</v>
      </c>
      <c r="M34" s="143" t="str">
        <f t="shared" si="3"/>
        <v>69,5</v>
      </c>
    </row>
    <row r="35" spans="1:13" ht="12" thickBot="1" x14ac:dyDescent="0.25"/>
    <row r="36" spans="1:13" x14ac:dyDescent="0.2">
      <c r="A36" s="4" t="s">
        <v>7</v>
      </c>
      <c r="B36" s="5" t="s">
        <v>96</v>
      </c>
      <c r="C36" s="6"/>
      <c r="D36" s="7"/>
      <c r="E36" s="5" t="s">
        <v>97</v>
      </c>
      <c r="F36" s="6"/>
      <c r="G36" s="7"/>
      <c r="H36" s="5" t="s">
        <v>98</v>
      </c>
      <c r="I36" s="6"/>
      <c r="J36" s="7"/>
      <c r="K36" s="5" t="s">
        <v>99</v>
      </c>
      <c r="L36" s="6"/>
      <c r="M36" s="7"/>
    </row>
    <row r="37" spans="1:13" ht="12.75" thickBot="1" x14ac:dyDescent="0.25">
      <c r="A37" s="8"/>
      <c r="B37" s="422">
        <f>B5</f>
        <v>2017</v>
      </c>
      <c r="C37" s="427">
        <f>C5</f>
        <v>2018</v>
      </c>
      <c r="D37" s="82" t="s">
        <v>11</v>
      </c>
      <c r="E37" s="434">
        <f>B37</f>
        <v>2017</v>
      </c>
      <c r="F37" s="427">
        <f>C37</f>
        <v>2018</v>
      </c>
      <c r="G37" s="82" t="s">
        <v>11</v>
      </c>
      <c r="H37" s="434">
        <f>B37</f>
        <v>2017</v>
      </c>
      <c r="I37" s="427">
        <f>C37</f>
        <v>2018</v>
      </c>
      <c r="J37" s="82" t="s">
        <v>11</v>
      </c>
      <c r="K37" s="434">
        <f>B37</f>
        <v>2017</v>
      </c>
      <c r="L37" s="427">
        <f>C37</f>
        <v>2018</v>
      </c>
      <c r="M37" s="82" t="s">
        <v>11</v>
      </c>
    </row>
    <row r="38" spans="1:13" ht="12" thickBot="1" x14ac:dyDescent="0.25">
      <c r="A38" s="11" t="s">
        <v>161</v>
      </c>
      <c r="B38" s="440">
        <f>'2017-2018'!G3</f>
        <v>26750000</v>
      </c>
      <c r="C38" s="436">
        <f>'2017-2018'!Y3</f>
        <v>28020000</v>
      </c>
      <c r="D38" s="148" t="str">
        <f t="shared" ref="D38:D66" si="4">IF(B38&lt;&gt;0,TEXT(((C38-B38)/B38)*100,"0,0"),"--")</f>
        <v>4,7</v>
      </c>
      <c r="E38" s="440">
        <f>'2017-2018'!H3</f>
        <v>3</v>
      </c>
      <c r="F38" s="436">
        <f>'2017-2018'!Z3</f>
        <v>1</v>
      </c>
      <c r="G38" s="148" t="str">
        <f t="shared" ref="G38:G66" si="5">IF(E38&lt;&gt;0,TEXT(((F38-E38)/E38)*100,"0,0"),"--")</f>
        <v>-66,7</v>
      </c>
      <c r="H38" s="440">
        <f>'2017-2018'!I3</f>
        <v>0</v>
      </c>
      <c r="I38" s="436">
        <f>'2017-2018'!AA3</f>
        <v>3</v>
      </c>
      <c r="J38" s="148" t="str">
        <f t="shared" ref="J38:J66" si="6">IF(H38&lt;&gt;0,TEXT(((I38-H38)/H38)*100,"0,0"),"--")</f>
        <v>--</v>
      </c>
      <c r="K38" s="440">
        <f>'2017-2018'!J3</f>
        <v>0</v>
      </c>
      <c r="L38" s="436">
        <f>'2017-2018'!AB3</f>
        <v>0</v>
      </c>
      <c r="M38" s="148" t="str">
        <f t="shared" ref="M38:M66" si="7">IF(K38&lt;&gt;0,TEXT(((L38-K38)/K38)*100,"0,0"),"--")</f>
        <v>--</v>
      </c>
    </row>
    <row r="39" spans="1:13" ht="12" thickBot="1" x14ac:dyDescent="0.25">
      <c r="A39" s="11" t="s">
        <v>164</v>
      </c>
      <c r="B39" s="440">
        <f>'2017-2018'!G4</f>
        <v>14760000</v>
      </c>
      <c r="C39" s="436">
        <f>'2017-2018'!Y4</f>
        <v>16880000</v>
      </c>
      <c r="D39" s="148" t="str">
        <f t="shared" si="4"/>
        <v>14,4</v>
      </c>
      <c r="E39" s="440">
        <f>'2017-2018'!H4</f>
        <v>0</v>
      </c>
      <c r="F39" s="436">
        <f>'2017-2018'!Z4</f>
        <v>0</v>
      </c>
      <c r="G39" s="148" t="str">
        <f t="shared" si="5"/>
        <v>--</v>
      </c>
      <c r="H39" s="440">
        <f>'2017-2018'!I4</f>
        <v>0</v>
      </c>
      <c r="I39" s="436">
        <f>'2017-2018'!AA4</f>
        <v>0</v>
      </c>
      <c r="J39" s="148" t="str">
        <f t="shared" si="6"/>
        <v>--</v>
      </c>
      <c r="K39" s="440">
        <f>'2017-2018'!J4</f>
        <v>0</v>
      </c>
      <c r="L39" s="436">
        <f>'2017-2018'!AB4</f>
        <v>0</v>
      </c>
      <c r="M39" s="148" t="str">
        <f t="shared" si="7"/>
        <v>--</v>
      </c>
    </row>
    <row r="40" spans="1:13" ht="12" thickBot="1" x14ac:dyDescent="0.25">
      <c r="A40" s="11" t="s">
        <v>166</v>
      </c>
      <c r="B40" s="440">
        <f>'2017-2018'!G5</f>
        <v>23000000</v>
      </c>
      <c r="C40" s="436">
        <f>'2017-2018'!Y5</f>
        <v>28950000</v>
      </c>
      <c r="D40" s="148" t="str">
        <f t="shared" si="4"/>
        <v>25,9</v>
      </c>
      <c r="E40" s="440">
        <f>'2017-2018'!H5</f>
        <v>3</v>
      </c>
      <c r="F40" s="436">
        <f>'2017-2018'!Z5</f>
        <v>0</v>
      </c>
      <c r="G40" s="148" t="str">
        <f t="shared" si="5"/>
        <v>-100,0</v>
      </c>
      <c r="H40" s="440">
        <f>'2017-2018'!I5</f>
        <v>2</v>
      </c>
      <c r="I40" s="436">
        <f>'2017-2018'!AA5</f>
        <v>0</v>
      </c>
      <c r="J40" s="148" t="str">
        <f t="shared" si="6"/>
        <v>-100,0</v>
      </c>
      <c r="K40" s="440">
        <f>'2017-2018'!J5</f>
        <v>0</v>
      </c>
      <c r="L40" s="436">
        <f>'2017-2018'!AB5</f>
        <v>10</v>
      </c>
      <c r="M40" s="148" t="str">
        <f t="shared" si="7"/>
        <v>--</v>
      </c>
    </row>
    <row r="41" spans="1:13" ht="12" thickBot="1" x14ac:dyDescent="0.25">
      <c r="A41" s="11" t="s">
        <v>168</v>
      </c>
      <c r="B41" s="440">
        <f>'2017-2018'!G6</f>
        <v>13290000</v>
      </c>
      <c r="C41" s="436">
        <f>'2017-2018'!Y6</f>
        <v>24160000</v>
      </c>
      <c r="D41" s="148" t="str">
        <f t="shared" si="4"/>
        <v>81,8</v>
      </c>
      <c r="E41" s="440">
        <f>'2017-2018'!H6</f>
        <v>4</v>
      </c>
      <c r="F41" s="436">
        <f>'2017-2018'!Z6</f>
        <v>1</v>
      </c>
      <c r="G41" s="148" t="str">
        <f t="shared" si="5"/>
        <v>-75,0</v>
      </c>
      <c r="H41" s="440">
        <f>'2017-2018'!I6</f>
        <v>4</v>
      </c>
      <c r="I41" s="436">
        <f>'2017-2018'!AA6</f>
        <v>2</v>
      </c>
      <c r="J41" s="148" t="str">
        <f t="shared" si="6"/>
        <v>-50,0</v>
      </c>
      <c r="K41" s="440">
        <f>'2017-2018'!J6</f>
        <v>10</v>
      </c>
      <c r="L41" s="436">
        <f>'2017-2018'!AB6</f>
        <v>0</v>
      </c>
      <c r="M41" s="148" t="str">
        <f t="shared" si="7"/>
        <v>-100,0</v>
      </c>
    </row>
    <row r="42" spans="1:13" ht="12" thickBot="1" x14ac:dyDescent="0.25">
      <c r="A42" s="11" t="s">
        <v>170</v>
      </c>
      <c r="B42" s="440">
        <f>'2017-2018'!G7</f>
        <v>16425000</v>
      </c>
      <c r="C42" s="436">
        <f>'2017-2018'!Y7</f>
        <v>18230000</v>
      </c>
      <c r="D42" s="148" t="str">
        <f t="shared" si="4"/>
        <v>11,0</v>
      </c>
      <c r="E42" s="440">
        <f>'2017-2018'!H7</f>
        <v>0</v>
      </c>
      <c r="F42" s="436">
        <f>'2017-2018'!Z7</f>
        <v>4</v>
      </c>
      <c r="G42" s="148" t="str">
        <f t="shared" si="5"/>
        <v>--</v>
      </c>
      <c r="H42" s="440">
        <f>'2017-2018'!I7</f>
        <v>0</v>
      </c>
      <c r="I42" s="436">
        <f>'2017-2018'!AA7</f>
        <v>114</v>
      </c>
      <c r="J42" s="148" t="str">
        <f t="shared" si="6"/>
        <v>--</v>
      </c>
      <c r="K42" s="440">
        <f>'2017-2018'!J7</f>
        <v>0</v>
      </c>
      <c r="L42" s="436">
        <f>'2017-2018'!AB7</f>
        <v>0</v>
      </c>
      <c r="M42" s="148" t="str">
        <f t="shared" si="7"/>
        <v>--</v>
      </c>
    </row>
    <row r="43" spans="1:13" ht="12" thickBot="1" x14ac:dyDescent="0.25">
      <c r="A43" s="11" t="s">
        <v>173</v>
      </c>
      <c r="B43" s="440">
        <f>'2017-2018'!G8</f>
        <v>17250000</v>
      </c>
      <c r="C43" s="436">
        <f>'2017-2018'!Y8</f>
        <v>34630000</v>
      </c>
      <c r="D43" s="148" t="str">
        <f t="shared" si="4"/>
        <v>100,8</v>
      </c>
      <c r="E43" s="440">
        <f>'2017-2018'!H8</f>
        <v>2</v>
      </c>
      <c r="F43" s="436">
        <f>'2017-2018'!Z8</f>
        <v>1</v>
      </c>
      <c r="G43" s="148" t="str">
        <f t="shared" si="5"/>
        <v>-50,0</v>
      </c>
      <c r="H43" s="440">
        <f>'2017-2018'!I8</f>
        <v>30</v>
      </c>
      <c r="I43" s="436">
        <f>'2017-2018'!AA8</f>
        <v>2</v>
      </c>
      <c r="J43" s="148" t="str">
        <f t="shared" si="6"/>
        <v>-93,3</v>
      </c>
      <c r="K43" s="440">
        <f>'2017-2018'!J8</f>
        <v>0</v>
      </c>
      <c r="L43" s="436">
        <f>'2017-2018'!AB8</f>
        <v>9</v>
      </c>
      <c r="M43" s="148" t="str">
        <f t="shared" si="7"/>
        <v>--</v>
      </c>
    </row>
    <row r="44" spans="1:13" ht="12" thickBot="1" x14ac:dyDescent="0.25">
      <c r="A44" s="11" t="s">
        <v>175</v>
      </c>
      <c r="B44" s="440">
        <f>'2017-2018'!G9</f>
        <v>32350000</v>
      </c>
      <c r="C44" s="436">
        <f>'2017-2018'!Y9</f>
        <v>24340000</v>
      </c>
      <c r="D44" s="148" t="str">
        <f t="shared" si="4"/>
        <v>-24,8</v>
      </c>
      <c r="E44" s="440">
        <f>'2017-2018'!H9</f>
        <v>0</v>
      </c>
      <c r="F44" s="436">
        <f>'2017-2018'!Z9</f>
        <v>0</v>
      </c>
      <c r="G44" s="148" t="str">
        <f t="shared" si="5"/>
        <v>--</v>
      </c>
      <c r="H44" s="440">
        <f>'2017-2018'!I9</f>
        <v>6</v>
      </c>
      <c r="I44" s="436">
        <f>'2017-2018'!AA9</f>
        <v>1</v>
      </c>
      <c r="J44" s="148" t="str">
        <f t="shared" si="6"/>
        <v>-83,3</v>
      </c>
      <c r="K44" s="440">
        <f>'2017-2018'!J9</f>
        <v>0</v>
      </c>
      <c r="L44" s="436">
        <f>'2017-2018'!AB9</f>
        <v>14</v>
      </c>
      <c r="M44" s="148" t="str">
        <f t="shared" si="7"/>
        <v>--</v>
      </c>
    </row>
    <row r="45" spans="1:13" ht="12" thickBot="1" x14ac:dyDescent="0.25">
      <c r="A45" s="11" t="s">
        <v>177</v>
      </c>
      <c r="B45" s="440">
        <f>'2017-2018'!G10</f>
        <v>11600000</v>
      </c>
      <c r="C45" s="436">
        <f>'2017-2018'!Y10</f>
        <v>10320000</v>
      </c>
      <c r="D45" s="148" t="str">
        <f t="shared" si="4"/>
        <v>-11,0</v>
      </c>
      <c r="E45" s="440">
        <f>'2017-2018'!H10</f>
        <v>1</v>
      </c>
      <c r="F45" s="436">
        <f>'2017-2018'!Z10</f>
        <v>1</v>
      </c>
      <c r="G45" s="148" t="str">
        <f t="shared" si="5"/>
        <v>0,0</v>
      </c>
      <c r="H45" s="440">
        <f>'2017-2018'!I10</f>
        <v>0</v>
      </c>
      <c r="I45" s="436">
        <f>'2017-2018'!AA10</f>
        <v>0</v>
      </c>
      <c r="J45" s="148" t="str">
        <f t="shared" si="6"/>
        <v>--</v>
      </c>
      <c r="K45" s="440">
        <f>'2017-2018'!J10</f>
        <v>0</v>
      </c>
      <c r="L45" s="436">
        <f>'2017-2018'!AB10</f>
        <v>0</v>
      </c>
      <c r="M45" s="148" t="str">
        <f t="shared" si="7"/>
        <v>--</v>
      </c>
    </row>
    <row r="46" spans="1:13" ht="12" thickBot="1" x14ac:dyDescent="0.25">
      <c r="A46" s="11" t="s">
        <v>179</v>
      </c>
      <c r="B46" s="440">
        <f>'2017-2018'!G11</f>
        <v>3050000</v>
      </c>
      <c r="C46" s="436">
        <f>'2017-2018'!Y11</f>
        <v>3750000</v>
      </c>
      <c r="D46" s="148" t="str">
        <f t="shared" si="4"/>
        <v>23,0</v>
      </c>
      <c r="E46" s="440">
        <f>'2017-2018'!H11</f>
        <v>2</v>
      </c>
      <c r="F46" s="436">
        <f>'2017-2018'!Z11</f>
        <v>2</v>
      </c>
      <c r="G46" s="148" t="str">
        <f t="shared" si="5"/>
        <v>0,0</v>
      </c>
      <c r="H46" s="440">
        <f>'2017-2018'!I11</f>
        <v>0</v>
      </c>
      <c r="I46" s="436">
        <f>'2017-2018'!AA11</f>
        <v>1</v>
      </c>
      <c r="J46" s="148" t="str">
        <f t="shared" si="6"/>
        <v>--</v>
      </c>
      <c r="K46" s="440">
        <f>'2017-2018'!J11</f>
        <v>0</v>
      </c>
      <c r="L46" s="436">
        <f>'2017-2018'!AB11</f>
        <v>3</v>
      </c>
      <c r="M46" s="148" t="str">
        <f t="shared" si="7"/>
        <v>--</v>
      </c>
    </row>
    <row r="47" spans="1:13" ht="12" thickBot="1" x14ac:dyDescent="0.25">
      <c r="A47" s="11" t="s">
        <v>181</v>
      </c>
      <c r="B47" s="440">
        <f>'2017-2018'!G12</f>
        <v>5350000</v>
      </c>
      <c r="C47" s="436">
        <f>'2017-2018'!Y12</f>
        <v>13050000</v>
      </c>
      <c r="D47" s="148" t="str">
        <f t="shared" si="4"/>
        <v>143,9</v>
      </c>
      <c r="E47" s="440">
        <f>'2017-2018'!H12</f>
        <v>0</v>
      </c>
      <c r="F47" s="436">
        <f>'2017-2018'!Z12</f>
        <v>0</v>
      </c>
      <c r="G47" s="148" t="str">
        <f t="shared" si="5"/>
        <v>--</v>
      </c>
      <c r="H47" s="440">
        <f>'2017-2018'!I12</f>
        <v>0</v>
      </c>
      <c r="I47" s="436">
        <f>'2017-2018'!AA12</f>
        <v>0</v>
      </c>
      <c r="J47" s="148" t="str">
        <f t="shared" si="6"/>
        <v>--</v>
      </c>
      <c r="K47" s="440">
        <f>'2017-2018'!J12</f>
        <v>0</v>
      </c>
      <c r="L47" s="436">
        <f>'2017-2018'!AB12</f>
        <v>0</v>
      </c>
      <c r="M47" s="148" t="str">
        <f t="shared" si="7"/>
        <v>--</v>
      </c>
    </row>
    <row r="48" spans="1:13" ht="12" thickBot="1" x14ac:dyDescent="0.25">
      <c r="A48" s="11" t="s">
        <v>183</v>
      </c>
      <c r="B48" s="440">
        <f>'2017-2018'!G13</f>
        <v>10800000</v>
      </c>
      <c r="C48" s="436">
        <f>'2017-2018'!Y13</f>
        <v>26500000</v>
      </c>
      <c r="D48" s="148" t="str">
        <f t="shared" si="4"/>
        <v>145,4</v>
      </c>
      <c r="E48" s="440">
        <f>'2017-2018'!H13</f>
        <v>2</v>
      </c>
      <c r="F48" s="436">
        <f>'2017-2018'!Z13</f>
        <v>3</v>
      </c>
      <c r="G48" s="148" t="str">
        <f t="shared" si="5"/>
        <v>50,0</v>
      </c>
      <c r="H48" s="440">
        <f>'2017-2018'!I13</f>
        <v>3</v>
      </c>
      <c r="I48" s="436">
        <f>'2017-2018'!AA13</f>
        <v>3</v>
      </c>
      <c r="J48" s="148" t="str">
        <f t="shared" si="6"/>
        <v>0,0</v>
      </c>
      <c r="K48" s="440">
        <f>'2017-2018'!J13</f>
        <v>3</v>
      </c>
      <c r="L48" s="436">
        <f>'2017-2018'!AB13</f>
        <v>0</v>
      </c>
      <c r="M48" s="148" t="str">
        <f t="shared" si="7"/>
        <v>-100,0</v>
      </c>
    </row>
    <row r="49" spans="1:13" ht="12" thickBot="1" x14ac:dyDescent="0.25">
      <c r="A49" s="11" t="s">
        <v>185</v>
      </c>
      <c r="B49" s="440">
        <f>'2017-2018'!G14</f>
        <v>38550000</v>
      </c>
      <c r="C49" s="436">
        <f>'2017-2018'!Y14</f>
        <v>39700000</v>
      </c>
      <c r="D49" s="148" t="str">
        <f t="shared" si="4"/>
        <v>3,0</v>
      </c>
      <c r="E49" s="440">
        <f>'2017-2018'!H14</f>
        <v>2</v>
      </c>
      <c r="F49" s="436">
        <f>'2017-2018'!Z14</f>
        <v>2</v>
      </c>
      <c r="G49" s="148" t="str">
        <f t="shared" si="5"/>
        <v>0,0</v>
      </c>
      <c r="H49" s="440">
        <f>'2017-2018'!I14</f>
        <v>2</v>
      </c>
      <c r="I49" s="436">
        <f>'2017-2018'!AA14</f>
        <v>1</v>
      </c>
      <c r="J49" s="148" t="str">
        <f t="shared" si="6"/>
        <v>-50,0</v>
      </c>
      <c r="K49" s="440">
        <f>'2017-2018'!J14</f>
        <v>0</v>
      </c>
      <c r="L49" s="436">
        <f>'2017-2018'!AB14</f>
        <v>0</v>
      </c>
      <c r="M49" s="148" t="str">
        <f t="shared" si="7"/>
        <v>--</v>
      </c>
    </row>
    <row r="50" spans="1:13" ht="12" thickBot="1" x14ac:dyDescent="0.25">
      <c r="A50" s="9" t="s">
        <v>188</v>
      </c>
      <c r="B50" s="384">
        <f>'2017-2018'!G27</f>
        <v>15770000</v>
      </c>
      <c r="C50" s="437">
        <f>'2017-2018'!Y27</f>
        <v>18300000</v>
      </c>
      <c r="D50" s="149" t="str">
        <f t="shared" si="4"/>
        <v>16,0</v>
      </c>
      <c r="E50" s="384">
        <f>'2017-2018'!H27</f>
        <v>7</v>
      </c>
      <c r="F50" s="437">
        <f>'2017-2018'!Z27</f>
        <v>33</v>
      </c>
      <c r="G50" s="149" t="str">
        <f t="shared" si="5"/>
        <v>371,4</v>
      </c>
      <c r="H50" s="384">
        <f>'2017-2018'!I27</f>
        <v>0</v>
      </c>
      <c r="I50" s="437">
        <f>'2017-2018'!AA27</f>
        <v>0</v>
      </c>
      <c r="J50" s="149" t="str">
        <f t="shared" si="6"/>
        <v>--</v>
      </c>
      <c r="K50" s="384">
        <f>'2017-2018'!J27</f>
        <v>0</v>
      </c>
      <c r="L50" s="437">
        <f>'2017-2018'!AB27</f>
        <v>0</v>
      </c>
      <c r="M50" s="149" t="str">
        <f t="shared" si="7"/>
        <v>--</v>
      </c>
    </row>
    <row r="51" spans="1:13" ht="12" thickBot="1" x14ac:dyDescent="0.25">
      <c r="A51" s="11" t="s">
        <v>189</v>
      </c>
      <c r="B51" s="440">
        <f>'2017-2018'!G15</f>
        <v>4400000</v>
      </c>
      <c r="C51" s="436">
        <f>'2017-2018'!Y15</f>
        <v>7300000</v>
      </c>
      <c r="D51" s="148" t="str">
        <f t="shared" si="4"/>
        <v>65,9</v>
      </c>
      <c r="E51" s="440">
        <f>'2017-2018'!H15</f>
        <v>1</v>
      </c>
      <c r="F51" s="436">
        <f>'2017-2018'!Z15</f>
        <v>3</v>
      </c>
      <c r="G51" s="148" t="str">
        <f t="shared" si="5"/>
        <v>200,0</v>
      </c>
      <c r="H51" s="440">
        <f>'2017-2018'!I15</f>
        <v>0</v>
      </c>
      <c r="I51" s="436">
        <f>'2017-2018'!AA15</f>
        <v>0</v>
      </c>
      <c r="J51" s="148" t="str">
        <f t="shared" si="6"/>
        <v>--</v>
      </c>
      <c r="K51" s="440">
        <f>'2017-2018'!J15</f>
        <v>0</v>
      </c>
      <c r="L51" s="436">
        <f>'2017-2018'!AB15</f>
        <v>0</v>
      </c>
      <c r="M51" s="148" t="str">
        <f t="shared" si="7"/>
        <v>--</v>
      </c>
    </row>
    <row r="52" spans="1:13" ht="12" thickBot="1" x14ac:dyDescent="0.25">
      <c r="A52" s="11" t="s">
        <v>191</v>
      </c>
      <c r="B52" s="440">
        <f>'2017-2018'!G16</f>
        <v>9350000</v>
      </c>
      <c r="C52" s="436">
        <f>'2017-2018'!Y16</f>
        <v>10970000</v>
      </c>
      <c r="D52" s="148" t="str">
        <f t="shared" si="4"/>
        <v>17,3</v>
      </c>
      <c r="E52" s="440">
        <f>'2017-2018'!H16</f>
        <v>0</v>
      </c>
      <c r="F52" s="436">
        <f>'2017-2018'!Z16</f>
        <v>4</v>
      </c>
      <c r="G52" s="148" t="str">
        <f t="shared" si="5"/>
        <v>--</v>
      </c>
      <c r="H52" s="440">
        <f>'2017-2018'!I16</f>
        <v>0</v>
      </c>
      <c r="I52" s="436">
        <f>'2017-2018'!AA16</f>
        <v>0</v>
      </c>
      <c r="J52" s="148" t="str">
        <f t="shared" si="6"/>
        <v>--</v>
      </c>
      <c r="K52" s="440">
        <f>'2017-2018'!J16</f>
        <v>0</v>
      </c>
      <c r="L52" s="436">
        <f>'2017-2018'!AB16</f>
        <v>0</v>
      </c>
      <c r="M52" s="148" t="str">
        <f t="shared" si="7"/>
        <v>--</v>
      </c>
    </row>
    <row r="53" spans="1:13" ht="12" thickBot="1" x14ac:dyDescent="0.25">
      <c r="A53" s="11" t="s">
        <v>193</v>
      </c>
      <c r="B53" s="440">
        <f>'2017-2018'!G17</f>
        <v>19850000</v>
      </c>
      <c r="C53" s="436">
        <f>'2017-2018'!Y17</f>
        <v>18310000</v>
      </c>
      <c r="D53" s="148" t="str">
        <f t="shared" si="4"/>
        <v>-7,8</v>
      </c>
      <c r="E53" s="440">
        <f>'2017-2018'!H17</f>
        <v>3</v>
      </c>
      <c r="F53" s="436">
        <f>'2017-2018'!Z17</f>
        <v>1</v>
      </c>
      <c r="G53" s="148" t="str">
        <f t="shared" si="5"/>
        <v>-66,7</v>
      </c>
      <c r="H53" s="440">
        <f>'2017-2018'!I17</f>
        <v>0</v>
      </c>
      <c r="I53" s="436">
        <f>'2017-2018'!AA17</f>
        <v>0</v>
      </c>
      <c r="J53" s="148" t="str">
        <f t="shared" si="6"/>
        <v>--</v>
      </c>
      <c r="K53" s="440">
        <f>'2017-2018'!J17</f>
        <v>0</v>
      </c>
      <c r="L53" s="436">
        <f>'2017-2018'!AB17</f>
        <v>0</v>
      </c>
      <c r="M53" s="148" t="str">
        <f t="shared" si="7"/>
        <v>--</v>
      </c>
    </row>
    <row r="54" spans="1:13" ht="12" thickBot="1" x14ac:dyDescent="0.25">
      <c r="A54" s="11" t="s">
        <v>195</v>
      </c>
      <c r="B54" s="440">
        <f>'2017-2018'!G18</f>
        <v>40270000</v>
      </c>
      <c r="C54" s="436">
        <f>'2017-2018'!Y18</f>
        <v>35810000</v>
      </c>
      <c r="D54" s="148" t="str">
        <f t="shared" si="4"/>
        <v>-11,1</v>
      </c>
      <c r="E54" s="440">
        <f>'2017-2018'!H18</f>
        <v>12</v>
      </c>
      <c r="F54" s="436">
        <f>'2017-2018'!Z18</f>
        <v>2</v>
      </c>
      <c r="G54" s="148" t="str">
        <f t="shared" si="5"/>
        <v>-83,3</v>
      </c>
      <c r="H54" s="440">
        <f>'2017-2018'!I18</f>
        <v>3</v>
      </c>
      <c r="I54" s="436">
        <f>'2017-2018'!AA18</f>
        <v>8</v>
      </c>
      <c r="J54" s="148" t="str">
        <f t="shared" si="6"/>
        <v>166,7</v>
      </c>
      <c r="K54" s="440">
        <f>'2017-2018'!J18</f>
        <v>2</v>
      </c>
      <c r="L54" s="436">
        <f>'2017-2018'!AB18</f>
        <v>0</v>
      </c>
      <c r="M54" s="148" t="str">
        <f t="shared" si="7"/>
        <v>-100,0</v>
      </c>
    </row>
    <row r="55" spans="1:13" ht="12" thickBot="1" x14ac:dyDescent="0.25">
      <c r="A55" s="11" t="s">
        <v>197</v>
      </c>
      <c r="B55" s="440">
        <f>'2017-2018'!G19</f>
        <v>2030000</v>
      </c>
      <c r="C55" s="436">
        <f>'2017-2018'!Y19</f>
        <v>8400000</v>
      </c>
      <c r="D55" s="148" t="str">
        <f t="shared" si="4"/>
        <v>313,8</v>
      </c>
      <c r="E55" s="440">
        <f>'2017-2018'!H19</f>
        <v>0</v>
      </c>
      <c r="F55" s="436">
        <f>'2017-2018'!Z19</f>
        <v>4</v>
      </c>
      <c r="G55" s="148" t="str">
        <f t="shared" si="5"/>
        <v>--</v>
      </c>
      <c r="H55" s="440">
        <f>'2017-2018'!I19</f>
        <v>1</v>
      </c>
      <c r="I55" s="436">
        <f>'2017-2018'!AA19</f>
        <v>0</v>
      </c>
      <c r="J55" s="148" t="str">
        <f t="shared" si="6"/>
        <v>-100,0</v>
      </c>
      <c r="K55" s="440">
        <f>'2017-2018'!J19</f>
        <v>0</v>
      </c>
      <c r="L55" s="436">
        <f>'2017-2018'!AB19</f>
        <v>0</v>
      </c>
      <c r="M55" s="148" t="str">
        <f t="shared" si="7"/>
        <v>--</v>
      </c>
    </row>
    <row r="56" spans="1:13" ht="12" thickBot="1" x14ac:dyDescent="0.25">
      <c r="A56" s="11" t="s">
        <v>199</v>
      </c>
      <c r="B56" s="440">
        <f>'2017-2018'!G20</f>
        <v>34270000</v>
      </c>
      <c r="C56" s="436">
        <f>'2017-2018'!Y20</f>
        <v>27350000</v>
      </c>
      <c r="D56" s="148" t="str">
        <f t="shared" si="4"/>
        <v>-20,2</v>
      </c>
      <c r="E56" s="440">
        <f>'2017-2018'!H20</f>
        <v>1</v>
      </c>
      <c r="F56" s="436">
        <f>'2017-2018'!Z20</f>
        <v>3</v>
      </c>
      <c r="G56" s="148" t="str">
        <f t="shared" si="5"/>
        <v>200,0</v>
      </c>
      <c r="H56" s="440">
        <f>'2017-2018'!I20</f>
        <v>0</v>
      </c>
      <c r="I56" s="436">
        <f>'2017-2018'!AA20</f>
        <v>0</v>
      </c>
      <c r="J56" s="148" t="str">
        <f t="shared" si="6"/>
        <v>--</v>
      </c>
      <c r="K56" s="440">
        <f>'2017-2018'!J20</f>
        <v>0</v>
      </c>
      <c r="L56" s="436">
        <f>'2017-2018'!AB20</f>
        <v>0</v>
      </c>
      <c r="M56" s="148" t="str">
        <f t="shared" si="7"/>
        <v>--</v>
      </c>
    </row>
    <row r="57" spans="1:13" ht="12" thickBot="1" x14ac:dyDescent="0.25">
      <c r="A57" s="11" t="s">
        <v>201</v>
      </c>
      <c r="B57" s="440">
        <f>'2017-2018'!G21</f>
        <v>12100000</v>
      </c>
      <c r="C57" s="436">
        <f>'2017-2018'!Y21</f>
        <v>14700000</v>
      </c>
      <c r="D57" s="148" t="str">
        <f t="shared" si="4"/>
        <v>21,5</v>
      </c>
      <c r="E57" s="440">
        <f>'2017-2018'!H21</f>
        <v>1</v>
      </c>
      <c r="F57" s="436">
        <f>'2017-2018'!Z21</f>
        <v>0</v>
      </c>
      <c r="G57" s="148" t="str">
        <f t="shared" si="5"/>
        <v>-100,0</v>
      </c>
      <c r="H57" s="440">
        <f>'2017-2018'!I21</f>
        <v>3</v>
      </c>
      <c r="I57" s="436">
        <f>'2017-2018'!AA21</f>
        <v>0</v>
      </c>
      <c r="J57" s="148" t="str">
        <f t="shared" si="6"/>
        <v>-100,0</v>
      </c>
      <c r="K57" s="440">
        <f>'2017-2018'!J21</f>
        <v>4</v>
      </c>
      <c r="L57" s="436">
        <f>'2017-2018'!AB21</f>
        <v>0</v>
      </c>
      <c r="M57" s="148" t="str">
        <f t="shared" si="7"/>
        <v>-100,0</v>
      </c>
    </row>
    <row r="58" spans="1:13" ht="12" thickBot="1" x14ac:dyDescent="0.25">
      <c r="A58" s="11" t="s">
        <v>203</v>
      </c>
      <c r="B58" s="440">
        <f>'2017-2018'!G22</f>
        <v>9200000</v>
      </c>
      <c r="C58" s="436">
        <f>'2017-2018'!Y22</f>
        <v>11600000</v>
      </c>
      <c r="D58" s="148" t="str">
        <f t="shared" si="4"/>
        <v>26,1</v>
      </c>
      <c r="E58" s="440">
        <f>'2017-2018'!H22</f>
        <v>0</v>
      </c>
      <c r="F58" s="436">
        <f>'2017-2018'!Z22</f>
        <v>1</v>
      </c>
      <c r="G58" s="148" t="str">
        <f t="shared" si="5"/>
        <v>--</v>
      </c>
      <c r="H58" s="440">
        <f>'2017-2018'!I22</f>
        <v>2</v>
      </c>
      <c r="I58" s="436">
        <f>'2017-2018'!AA22</f>
        <v>0</v>
      </c>
      <c r="J58" s="148" t="str">
        <f t="shared" si="6"/>
        <v>-100,0</v>
      </c>
      <c r="K58" s="440">
        <f>'2017-2018'!J22</f>
        <v>0</v>
      </c>
      <c r="L58" s="436">
        <f>'2017-2018'!AB22</f>
        <v>0</v>
      </c>
      <c r="M58" s="148" t="str">
        <f t="shared" si="7"/>
        <v>--</v>
      </c>
    </row>
    <row r="59" spans="1:13" ht="12" thickBot="1" x14ac:dyDescent="0.25">
      <c r="A59" s="11" t="s">
        <v>205</v>
      </c>
      <c r="B59" s="440">
        <f>'2017-2018'!G23</f>
        <v>6050000</v>
      </c>
      <c r="C59" s="436">
        <f>'2017-2018'!Y23</f>
        <v>5100000</v>
      </c>
      <c r="D59" s="148" t="str">
        <f t="shared" si="4"/>
        <v>-15,7</v>
      </c>
      <c r="E59" s="440">
        <f>'2017-2018'!H23</f>
        <v>0</v>
      </c>
      <c r="F59" s="436">
        <f>'2017-2018'!Z23</f>
        <v>2</v>
      </c>
      <c r="G59" s="148" t="str">
        <f t="shared" si="5"/>
        <v>--</v>
      </c>
      <c r="H59" s="440">
        <f>'2017-2018'!I23</f>
        <v>0</v>
      </c>
      <c r="I59" s="436">
        <f>'2017-2018'!AA23</f>
        <v>0</v>
      </c>
      <c r="J59" s="148" t="str">
        <f t="shared" si="6"/>
        <v>--</v>
      </c>
      <c r="K59" s="440">
        <f>'2017-2018'!J23</f>
        <v>0</v>
      </c>
      <c r="L59" s="436">
        <f>'2017-2018'!AB23</f>
        <v>8</v>
      </c>
      <c r="M59" s="148" t="str">
        <f t="shared" si="7"/>
        <v>--</v>
      </c>
    </row>
    <row r="60" spans="1:13" x14ac:dyDescent="0.2">
      <c r="A60" s="11" t="s">
        <v>158</v>
      </c>
      <c r="B60" s="440">
        <f>'2017-2018'!G24</f>
        <v>29550000</v>
      </c>
      <c r="C60" s="436">
        <f>'2017-2018'!Y24</f>
        <v>33680000</v>
      </c>
      <c r="D60" s="148" t="str">
        <f t="shared" si="4"/>
        <v>14,0</v>
      </c>
      <c r="E60" s="440">
        <f>'2017-2018'!H24</f>
        <v>9</v>
      </c>
      <c r="F60" s="436">
        <f>'2017-2018'!Z24</f>
        <v>2</v>
      </c>
      <c r="G60" s="148" t="str">
        <f t="shared" si="5"/>
        <v>-77,8</v>
      </c>
      <c r="H60" s="440">
        <f>'2017-2018'!I24</f>
        <v>0</v>
      </c>
      <c r="I60" s="436">
        <f>'2017-2018'!AA24</f>
        <v>0</v>
      </c>
      <c r="J60" s="148" t="str">
        <f t="shared" si="6"/>
        <v>--</v>
      </c>
      <c r="K60" s="440">
        <f>'2017-2018'!J24</f>
        <v>0</v>
      </c>
      <c r="L60" s="436">
        <f>'2017-2018'!AB24</f>
        <v>0</v>
      </c>
      <c r="M60" s="148" t="str">
        <f t="shared" si="7"/>
        <v>--</v>
      </c>
    </row>
    <row r="61" spans="1:13" x14ac:dyDescent="0.2">
      <c r="A61" s="13" t="s">
        <v>159</v>
      </c>
      <c r="B61" s="441">
        <f>'2017-2018'!G26</f>
        <v>41700000</v>
      </c>
      <c r="C61" s="438">
        <f>'2017-2018'!Y26</f>
        <v>30280000</v>
      </c>
      <c r="D61" s="150" t="str">
        <f t="shared" si="4"/>
        <v>-27,4</v>
      </c>
      <c r="E61" s="441">
        <f>'2017-2018'!H26</f>
        <v>16</v>
      </c>
      <c r="F61" s="438">
        <f>'2017-2018'!Z26</f>
        <v>7</v>
      </c>
      <c r="G61" s="150" t="str">
        <f t="shared" si="5"/>
        <v>-56,3</v>
      </c>
      <c r="H61" s="441">
        <f>'2017-2018'!I26</f>
        <v>0</v>
      </c>
      <c r="I61" s="438">
        <f>'2017-2018'!AA26</f>
        <v>0</v>
      </c>
      <c r="J61" s="150" t="str">
        <f t="shared" si="6"/>
        <v>--</v>
      </c>
      <c r="K61" s="441">
        <f>'2017-2018'!J26</f>
        <v>20</v>
      </c>
      <c r="L61" s="438">
        <f>'2017-2018'!AB26</f>
        <v>0</v>
      </c>
      <c r="M61" s="150" t="str">
        <f t="shared" si="7"/>
        <v>-100,0</v>
      </c>
    </row>
    <row r="62" spans="1:13" ht="12" thickBot="1" x14ac:dyDescent="0.25">
      <c r="A62" s="15" t="s">
        <v>160</v>
      </c>
      <c r="B62" s="442">
        <f>'2017-2018'!G25</f>
        <v>40020000</v>
      </c>
      <c r="C62" s="439">
        <f>'2017-2018'!Y25</f>
        <v>46010000</v>
      </c>
      <c r="D62" s="151" t="str">
        <f t="shared" si="4"/>
        <v>15,0</v>
      </c>
      <c r="E62" s="442">
        <f>'2017-2018'!H25</f>
        <v>4</v>
      </c>
      <c r="F62" s="439">
        <f>'2017-2018'!Z25</f>
        <v>12</v>
      </c>
      <c r="G62" s="151" t="str">
        <f t="shared" si="5"/>
        <v>200,0</v>
      </c>
      <c r="H62" s="442">
        <f>'2017-2018'!I25</f>
        <v>0</v>
      </c>
      <c r="I62" s="439">
        <f>'2017-2018'!AA25</f>
        <v>0</v>
      </c>
      <c r="J62" s="151" t="str">
        <f t="shared" si="6"/>
        <v>--</v>
      </c>
      <c r="K62" s="442">
        <f>'2017-2018'!J25</f>
        <v>0</v>
      </c>
      <c r="L62" s="439">
        <f>'2017-2018'!AB25</f>
        <v>0</v>
      </c>
      <c r="M62" s="151" t="str">
        <f t="shared" si="7"/>
        <v>--</v>
      </c>
    </row>
    <row r="63" spans="1:13" ht="12" thickBot="1" x14ac:dyDescent="0.25">
      <c r="A63" s="9" t="s">
        <v>157</v>
      </c>
      <c r="B63" s="384">
        <f>SUM(B60:B62)</f>
        <v>111270000</v>
      </c>
      <c r="C63" s="437">
        <f>SUM(C60:C62)</f>
        <v>109970000</v>
      </c>
      <c r="D63" s="149" t="str">
        <f t="shared" si="4"/>
        <v>-1,2</v>
      </c>
      <c r="E63" s="384">
        <f>SUM(E60:E62)</f>
        <v>29</v>
      </c>
      <c r="F63" s="437">
        <f>SUM(F60:F62)</f>
        <v>21</v>
      </c>
      <c r="G63" s="149" t="str">
        <f t="shared" si="5"/>
        <v>-27,6</v>
      </c>
      <c r="H63" s="384">
        <f>SUM(H60:H62)</f>
        <v>0</v>
      </c>
      <c r="I63" s="437">
        <f>SUM(I60:I62)</f>
        <v>0</v>
      </c>
      <c r="J63" s="149" t="str">
        <f t="shared" si="6"/>
        <v>--</v>
      </c>
      <c r="K63" s="384">
        <f>SUM(K60:K62)</f>
        <v>20</v>
      </c>
      <c r="L63" s="437">
        <f>SUM(L60:L62)</f>
        <v>0</v>
      </c>
      <c r="M63" s="149" t="str">
        <f t="shared" si="7"/>
        <v>-100,0</v>
      </c>
    </row>
    <row r="64" spans="1:13" ht="12" hidden="1" thickBot="1" x14ac:dyDescent="0.25">
      <c r="A64" s="19" t="s">
        <v>4</v>
      </c>
      <c r="B64" s="384">
        <v>317618000</v>
      </c>
      <c r="C64" s="437">
        <v>317618000</v>
      </c>
      <c r="D64" s="149" t="str">
        <f t="shared" si="4"/>
        <v>0,0</v>
      </c>
      <c r="E64" s="384">
        <v>206</v>
      </c>
      <c r="F64" s="437">
        <v>206</v>
      </c>
      <c r="G64" s="149" t="str">
        <f t="shared" si="5"/>
        <v>0,0</v>
      </c>
      <c r="H64" s="384">
        <v>6</v>
      </c>
      <c r="I64" s="437">
        <v>6</v>
      </c>
      <c r="J64" s="149" t="str">
        <f t="shared" si="6"/>
        <v>0,0</v>
      </c>
      <c r="K64" s="384">
        <v>18</v>
      </c>
      <c r="L64" s="437">
        <v>18</v>
      </c>
      <c r="M64" s="149" t="str">
        <f t="shared" si="7"/>
        <v>0,0</v>
      </c>
    </row>
    <row r="65" spans="1:13" ht="12" hidden="1" thickBot="1" x14ac:dyDescent="0.25">
      <c r="A65" s="19" t="s">
        <v>5</v>
      </c>
      <c r="B65" s="384">
        <v>181269500</v>
      </c>
      <c r="C65" s="437">
        <v>181269500</v>
      </c>
      <c r="D65" s="149" t="str">
        <f t="shared" si="4"/>
        <v>0,0</v>
      </c>
      <c r="E65" s="384">
        <v>43</v>
      </c>
      <c r="F65" s="437">
        <v>43</v>
      </c>
      <c r="G65" s="149" t="str">
        <f t="shared" si="5"/>
        <v>0,0</v>
      </c>
      <c r="H65" s="384">
        <v>138</v>
      </c>
      <c r="I65" s="437">
        <v>138</v>
      </c>
      <c r="J65" s="149" t="str">
        <f t="shared" si="6"/>
        <v>0,0</v>
      </c>
      <c r="K65" s="384">
        <v>118</v>
      </c>
      <c r="L65" s="437">
        <v>118</v>
      </c>
      <c r="M65" s="149" t="str">
        <f t="shared" si="7"/>
        <v>0,0</v>
      </c>
    </row>
    <row r="66" spans="1:13" ht="12" thickBot="1" x14ac:dyDescent="0.25">
      <c r="A66" s="19" t="s">
        <v>6</v>
      </c>
      <c r="B66" s="384">
        <f>SUM(B38:B62)</f>
        <v>477735000</v>
      </c>
      <c r="C66" s="437">
        <f>SUM(C38:C62)</f>
        <v>536340000</v>
      </c>
      <c r="D66" s="149" t="str">
        <f t="shared" si="4"/>
        <v>12,3</v>
      </c>
      <c r="E66" s="384">
        <f>SUM(E38:E62)</f>
        <v>73</v>
      </c>
      <c r="F66" s="437">
        <f>SUM(F38:F62)</f>
        <v>89</v>
      </c>
      <c r="G66" s="149" t="str">
        <f t="shared" si="5"/>
        <v>21,9</v>
      </c>
      <c r="H66" s="384">
        <f>SUM(H38:H62)</f>
        <v>56</v>
      </c>
      <c r="I66" s="437">
        <f>SUM(I38:I62)</f>
        <v>135</v>
      </c>
      <c r="J66" s="149" t="str">
        <f t="shared" si="6"/>
        <v>141,1</v>
      </c>
      <c r="K66" s="384">
        <f>SUM(K38:K62)</f>
        <v>39</v>
      </c>
      <c r="L66" s="437">
        <f>SUM(L38:L62)</f>
        <v>44</v>
      </c>
      <c r="M66" s="149" t="str">
        <f t="shared" si="7"/>
        <v>12,8</v>
      </c>
    </row>
  </sheetData>
  <phoneticPr fontId="59" type="noConversion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indexed="10"/>
  </sheetPr>
  <dimension ref="A1:Q38"/>
  <sheetViews>
    <sheetView workbookViewId="0">
      <pane ySplit="26" topLeftCell="A27" activePane="bottomLeft" state="frozen"/>
      <selection pane="bottomLeft" activeCell="A17" sqref="A17:H25"/>
    </sheetView>
  </sheetViews>
  <sheetFormatPr defaultColWidth="8.7109375" defaultRowHeight="12.75" x14ac:dyDescent="0.2"/>
  <cols>
    <col min="1" max="1" width="15.7109375" style="182" customWidth="1"/>
    <col min="2" max="2" width="17.42578125" style="182" customWidth="1"/>
    <col min="3" max="3" width="13.42578125" style="182" customWidth="1"/>
    <col min="4" max="4" width="15.140625" style="182" customWidth="1"/>
    <col min="5" max="5" width="8.7109375" style="182" customWidth="1"/>
    <col min="6" max="6" width="9.7109375" style="182" customWidth="1"/>
    <col min="7" max="11" width="8.7109375" style="182" customWidth="1"/>
    <col min="12" max="12" width="2.85546875" style="182" customWidth="1"/>
    <col min="13" max="16384" width="8.7109375" style="182"/>
  </cols>
  <sheetData>
    <row r="1" spans="1:17" ht="15" customHeight="1" thickTop="1" thickBot="1" x14ac:dyDescent="0.3">
      <c r="A1" s="636" t="s">
        <v>17</v>
      </c>
      <c r="B1" s="637"/>
      <c r="C1" s="637"/>
      <c r="D1" s="637"/>
      <c r="E1" s="653"/>
      <c r="F1" s="653"/>
      <c r="G1" s="653"/>
      <c r="H1" s="653"/>
      <c r="I1" s="653"/>
      <c r="J1" s="653"/>
      <c r="K1" s="654"/>
      <c r="L1" s="645"/>
      <c r="M1" s="183"/>
      <c r="N1" s="183"/>
      <c r="O1" s="183"/>
      <c r="P1" s="183"/>
      <c r="Q1" s="183"/>
    </row>
    <row r="2" spans="1:17" ht="15" customHeight="1" thickBot="1" x14ac:dyDescent="0.25">
      <c r="A2" s="233" t="s">
        <v>12</v>
      </c>
      <c r="B2" s="234">
        <v>39448</v>
      </c>
      <c r="C2" s="235" t="s">
        <v>13</v>
      </c>
      <c r="D2" s="234">
        <v>39814</v>
      </c>
      <c r="E2" s="640"/>
      <c r="F2" s="640"/>
      <c r="G2" s="640"/>
      <c r="H2" s="640"/>
      <c r="I2" s="640"/>
      <c r="J2" s="640"/>
      <c r="K2" s="641"/>
      <c r="L2" s="646"/>
      <c r="M2" s="183"/>
      <c r="N2" s="183"/>
      <c r="O2" s="183"/>
      <c r="P2" s="183"/>
      <c r="Q2" s="183"/>
    </row>
    <row r="3" spans="1:17" ht="15" customHeight="1" x14ac:dyDescent="0.2">
      <c r="A3" s="650"/>
      <c r="B3" s="651"/>
      <c r="C3" s="651"/>
      <c r="D3" s="651"/>
      <c r="E3" s="640"/>
      <c r="F3" s="640"/>
      <c r="G3" s="640"/>
      <c r="H3" s="640"/>
      <c r="I3" s="640"/>
      <c r="J3" s="640"/>
      <c r="K3" s="641"/>
      <c r="L3" s="646"/>
      <c r="M3" s="183"/>
      <c r="N3" s="183"/>
      <c r="O3" s="183"/>
      <c r="P3" s="183"/>
      <c r="Q3" s="183"/>
    </row>
    <row r="4" spans="1:17" x14ac:dyDescent="0.2">
      <c r="A4" s="647"/>
      <c r="B4" s="640"/>
      <c r="C4" s="640"/>
      <c r="D4" s="640"/>
      <c r="E4" s="640"/>
      <c r="F4" s="640"/>
      <c r="G4" s="640"/>
      <c r="H4" s="640"/>
      <c r="I4" s="640"/>
      <c r="J4" s="640"/>
      <c r="K4" s="641"/>
      <c r="L4" s="646"/>
      <c r="M4" s="183"/>
      <c r="N4" s="183"/>
      <c r="O4" s="183"/>
      <c r="P4" s="183"/>
      <c r="Q4" s="183"/>
    </row>
    <row r="5" spans="1:17" x14ac:dyDescent="0.2">
      <c r="A5" s="647"/>
      <c r="B5" s="640"/>
      <c r="C5" s="640"/>
      <c r="D5" s="640"/>
      <c r="E5" s="640"/>
      <c r="F5" s="640"/>
      <c r="G5" s="640"/>
      <c r="H5" s="640"/>
      <c r="I5" s="640"/>
      <c r="J5" s="640"/>
      <c r="K5" s="641"/>
      <c r="L5" s="646"/>
      <c r="M5" s="183"/>
      <c r="N5" s="183"/>
      <c r="O5" s="183"/>
      <c r="P5" s="183"/>
      <c r="Q5" s="183"/>
    </row>
    <row r="6" spans="1:17" ht="15.75" thickBot="1" x14ac:dyDescent="0.3">
      <c r="A6" s="638" t="s">
        <v>14</v>
      </c>
      <c r="B6" s="639"/>
      <c r="C6" s="639"/>
      <c r="D6" s="639"/>
      <c r="E6" s="640"/>
      <c r="F6" s="640"/>
      <c r="G6" s="640"/>
      <c r="H6" s="640"/>
      <c r="I6" s="640"/>
      <c r="J6" s="640"/>
      <c r="K6" s="641"/>
      <c r="L6" s="646"/>
      <c r="M6" s="183"/>
      <c r="N6" s="183"/>
      <c r="O6" s="183"/>
      <c r="P6" s="183"/>
      <c r="Q6" s="183"/>
    </row>
    <row r="7" spans="1:17" ht="13.5" thickBot="1" x14ac:dyDescent="0.25">
      <c r="A7" s="233" t="s">
        <v>12</v>
      </c>
      <c r="B7" s="234">
        <v>39083</v>
      </c>
      <c r="C7" s="235" t="s">
        <v>13</v>
      </c>
      <c r="D7" s="234">
        <v>39448</v>
      </c>
      <c r="E7" s="640"/>
      <c r="F7" s="640"/>
      <c r="G7" s="640"/>
      <c r="H7" s="640"/>
      <c r="I7" s="640"/>
      <c r="J7" s="640"/>
      <c r="K7" s="641"/>
      <c r="L7" s="646"/>
      <c r="M7" s="183"/>
      <c r="N7" s="183"/>
      <c r="O7" s="183"/>
      <c r="P7" s="183"/>
      <c r="Q7" s="183"/>
    </row>
    <row r="8" spans="1:17" x14ac:dyDescent="0.2">
      <c r="A8" s="650"/>
      <c r="B8" s="651"/>
      <c r="C8" s="651"/>
      <c r="D8" s="651"/>
      <c r="E8" s="640"/>
      <c r="F8" s="640"/>
      <c r="G8" s="640"/>
      <c r="H8" s="640"/>
      <c r="I8" s="640"/>
      <c r="J8" s="640"/>
      <c r="K8" s="641"/>
      <c r="L8" s="646"/>
      <c r="M8" s="183"/>
      <c r="N8" s="183"/>
      <c r="O8" s="183"/>
      <c r="P8" s="183"/>
      <c r="Q8" s="183"/>
    </row>
    <row r="9" spans="1:17" x14ac:dyDescent="0.2">
      <c r="A9" s="647"/>
      <c r="B9" s="640"/>
      <c r="C9" s="640"/>
      <c r="D9" s="640"/>
      <c r="E9" s="640"/>
      <c r="F9" s="640"/>
      <c r="G9" s="640"/>
      <c r="H9" s="640"/>
      <c r="I9" s="640"/>
      <c r="J9" s="640"/>
      <c r="K9" s="641"/>
      <c r="L9" s="646"/>
      <c r="M9" s="183"/>
      <c r="N9" s="183"/>
      <c r="O9" s="183"/>
      <c r="P9" s="183"/>
      <c r="Q9" s="183"/>
    </row>
    <row r="10" spans="1:17" x14ac:dyDescent="0.2">
      <c r="A10" s="647"/>
      <c r="B10" s="640"/>
      <c r="C10" s="640"/>
      <c r="D10" s="640"/>
      <c r="E10" s="640"/>
      <c r="F10" s="640"/>
      <c r="G10" s="640"/>
      <c r="H10" s="640"/>
      <c r="I10" s="640"/>
      <c r="J10" s="640"/>
      <c r="K10" s="641"/>
      <c r="L10" s="646"/>
      <c r="M10" s="183"/>
      <c r="N10" s="183"/>
      <c r="O10" s="183"/>
      <c r="P10" s="183"/>
      <c r="Q10" s="183"/>
    </row>
    <row r="11" spans="1:17" x14ac:dyDescent="0.2">
      <c r="A11" s="647"/>
      <c r="B11" s="640"/>
      <c r="C11" s="640"/>
      <c r="D11" s="640"/>
      <c r="E11" s="640"/>
      <c r="F11" s="640"/>
      <c r="G11" s="640"/>
      <c r="H11" s="640"/>
      <c r="I11" s="640"/>
      <c r="J11" s="640"/>
      <c r="K11" s="641"/>
      <c r="L11" s="646"/>
      <c r="M11" s="183"/>
      <c r="N11" s="183"/>
      <c r="O11" s="183"/>
      <c r="P11" s="183"/>
      <c r="Q11" s="183"/>
    </row>
    <row r="12" spans="1:17" x14ac:dyDescent="0.2">
      <c r="A12" s="236" t="s">
        <v>213</v>
      </c>
      <c r="B12" s="237"/>
      <c r="C12" s="237"/>
      <c r="D12" s="237"/>
      <c r="E12" s="237"/>
      <c r="F12" s="237"/>
      <c r="G12" s="237"/>
      <c r="H12" s="237"/>
      <c r="I12" s="640"/>
      <c r="J12" s="640"/>
      <c r="K12" s="641"/>
      <c r="L12" s="646"/>
      <c r="M12" s="183"/>
      <c r="N12" s="183"/>
      <c r="O12" s="183"/>
      <c r="P12" s="183"/>
      <c r="Q12" s="183"/>
    </row>
    <row r="13" spans="1:17" x14ac:dyDescent="0.2">
      <c r="A13" s="236" t="s">
        <v>214</v>
      </c>
      <c r="B13" s="237"/>
      <c r="C13" s="237"/>
      <c r="D13" s="640"/>
      <c r="E13" s="640"/>
      <c r="F13" s="640"/>
      <c r="G13" s="640"/>
      <c r="H13" s="640"/>
      <c r="I13" s="640"/>
      <c r="J13" s="640"/>
      <c r="K13" s="641"/>
      <c r="L13" s="646"/>
      <c r="M13" s="183"/>
      <c r="N13" s="183"/>
      <c r="O13" s="183"/>
      <c r="P13" s="183"/>
      <c r="Q13" s="183"/>
    </row>
    <row r="14" spans="1:17" x14ac:dyDescent="0.2">
      <c r="A14" s="647"/>
      <c r="B14" s="640"/>
      <c r="C14" s="640"/>
      <c r="D14" s="640"/>
      <c r="E14" s="640"/>
      <c r="F14" s="640"/>
      <c r="G14" s="640"/>
      <c r="H14" s="640"/>
      <c r="I14" s="640"/>
      <c r="J14" s="640"/>
      <c r="K14" s="641"/>
      <c r="L14" s="646"/>
      <c r="M14" s="183"/>
      <c r="N14" s="183"/>
      <c r="O14" s="183"/>
      <c r="P14" s="183"/>
      <c r="Q14" s="183"/>
    </row>
    <row r="15" spans="1:17" x14ac:dyDescent="0.2">
      <c r="A15" s="236" t="s">
        <v>217</v>
      </c>
      <c r="B15" s="238" t="s">
        <v>262</v>
      </c>
      <c r="C15" s="237"/>
      <c r="D15" s="640"/>
      <c r="E15" s="640"/>
      <c r="F15" s="640"/>
      <c r="G15" s="640"/>
      <c r="H15" s="640"/>
      <c r="I15" s="640"/>
      <c r="J15" s="640"/>
      <c r="K15" s="641"/>
      <c r="L15" s="646"/>
      <c r="M15" s="183"/>
      <c r="N15" s="183"/>
      <c r="O15" s="183"/>
      <c r="P15" s="183"/>
      <c r="Q15" s="183"/>
    </row>
    <row r="16" spans="1:17" x14ac:dyDescent="0.2">
      <c r="A16" s="236" t="s">
        <v>218</v>
      </c>
      <c r="B16" s="238" t="s">
        <v>261</v>
      </c>
      <c r="C16" s="237"/>
      <c r="D16" s="640"/>
      <c r="E16" s="640"/>
      <c r="F16" s="640"/>
      <c r="G16" s="640"/>
      <c r="H16" s="640"/>
      <c r="I16" s="640"/>
      <c r="J16" s="640"/>
      <c r="K16" s="641"/>
      <c r="L16" s="646"/>
      <c r="M16" s="183"/>
      <c r="N16" s="183"/>
      <c r="O16" s="183"/>
      <c r="P16" s="183"/>
      <c r="Q16" s="183"/>
    </row>
    <row r="17" spans="1:17" ht="13.5" thickBot="1" x14ac:dyDescent="0.25">
      <c r="A17" s="647"/>
      <c r="B17" s="640"/>
      <c r="C17" s="640"/>
      <c r="D17" s="640"/>
      <c r="E17" s="640"/>
      <c r="F17" s="640"/>
      <c r="G17" s="640"/>
      <c r="H17" s="640"/>
      <c r="I17" s="640" t="s">
        <v>215</v>
      </c>
      <c r="J17" s="640"/>
      <c r="K17" s="641"/>
      <c r="L17" s="646"/>
      <c r="M17" s="183"/>
      <c r="N17" s="183"/>
      <c r="O17" s="183"/>
      <c r="P17" s="183"/>
      <c r="Q17" s="183"/>
    </row>
    <row r="18" spans="1:17" ht="13.5" thickBot="1" x14ac:dyDescent="0.25">
      <c r="A18" s="647"/>
      <c r="B18" s="640"/>
      <c r="C18" s="640"/>
      <c r="D18" s="640"/>
      <c r="E18" s="640"/>
      <c r="F18" s="640"/>
      <c r="G18" s="640"/>
      <c r="H18" s="640"/>
      <c r="I18" s="237"/>
      <c r="J18" s="239" t="s">
        <v>265</v>
      </c>
      <c r="K18" s="635"/>
      <c r="L18" s="646"/>
      <c r="M18" s="183"/>
      <c r="N18" s="183"/>
      <c r="O18" s="183"/>
      <c r="P18" s="183"/>
      <c r="Q18" s="183"/>
    </row>
    <row r="19" spans="1:17" ht="13.5" thickBot="1" x14ac:dyDescent="0.25">
      <c r="A19" s="647"/>
      <c r="B19" s="640"/>
      <c r="C19" s="640"/>
      <c r="D19" s="640"/>
      <c r="E19" s="640"/>
      <c r="F19" s="640"/>
      <c r="G19" s="640"/>
      <c r="H19" s="640"/>
      <c r="I19" s="240" t="s">
        <v>263</v>
      </c>
      <c r="J19" s="240" t="s">
        <v>245</v>
      </c>
      <c r="K19" s="635"/>
      <c r="L19" s="646"/>
      <c r="M19" s="183"/>
      <c r="N19" s="183"/>
      <c r="O19" s="183"/>
      <c r="P19" s="183"/>
      <c r="Q19" s="183"/>
    </row>
    <row r="20" spans="1:17" x14ac:dyDescent="0.2">
      <c r="A20" s="647"/>
      <c r="B20" s="640"/>
      <c r="C20" s="640"/>
      <c r="D20" s="640"/>
      <c r="E20" s="640"/>
      <c r="F20" s="640"/>
      <c r="G20" s="640"/>
      <c r="H20" s="640"/>
      <c r="I20" s="640"/>
      <c r="J20" s="640"/>
      <c r="K20" s="641"/>
      <c r="L20" s="646"/>
      <c r="M20" s="183"/>
      <c r="N20" s="183"/>
      <c r="O20" s="183"/>
      <c r="P20" s="183"/>
      <c r="Q20" s="183"/>
    </row>
    <row r="21" spans="1:17" x14ac:dyDescent="0.2">
      <c r="A21" s="647"/>
      <c r="B21" s="640"/>
      <c r="C21" s="640"/>
      <c r="D21" s="640"/>
      <c r="E21" s="640"/>
      <c r="F21" s="640"/>
      <c r="G21" s="640"/>
      <c r="H21" s="640"/>
      <c r="I21" s="640"/>
      <c r="J21" s="640"/>
      <c r="K21" s="641"/>
      <c r="L21" s="646"/>
      <c r="M21" s="183"/>
      <c r="N21" s="183"/>
      <c r="O21" s="183"/>
      <c r="P21" s="183"/>
      <c r="Q21" s="183"/>
    </row>
    <row r="22" spans="1:17" x14ac:dyDescent="0.2">
      <c r="A22" s="647"/>
      <c r="B22" s="640"/>
      <c r="C22" s="640"/>
      <c r="D22" s="640"/>
      <c r="E22" s="640"/>
      <c r="F22" s="640"/>
      <c r="G22" s="640"/>
      <c r="H22" s="640"/>
      <c r="I22" s="640"/>
      <c r="J22" s="640"/>
      <c r="K22" s="641"/>
      <c r="L22" s="646"/>
      <c r="M22" s="183"/>
      <c r="N22" s="183"/>
      <c r="O22" s="183"/>
      <c r="P22" s="183"/>
      <c r="Q22" s="183"/>
    </row>
    <row r="23" spans="1:17" x14ac:dyDescent="0.2">
      <c r="A23" s="647"/>
      <c r="B23" s="640"/>
      <c r="C23" s="640"/>
      <c r="D23" s="640"/>
      <c r="E23" s="640"/>
      <c r="F23" s="640"/>
      <c r="G23" s="640"/>
      <c r="H23" s="640"/>
      <c r="I23" s="640"/>
      <c r="J23" s="640"/>
      <c r="K23" s="641"/>
      <c r="L23" s="646"/>
      <c r="M23" s="183"/>
      <c r="N23" s="183"/>
      <c r="O23" s="183"/>
      <c r="P23" s="183"/>
      <c r="Q23" s="183"/>
    </row>
    <row r="24" spans="1:17" x14ac:dyDescent="0.2">
      <c r="A24" s="647"/>
      <c r="B24" s="640"/>
      <c r="C24" s="640"/>
      <c r="D24" s="640"/>
      <c r="E24" s="640"/>
      <c r="F24" s="640"/>
      <c r="G24" s="640"/>
      <c r="H24" s="640"/>
      <c r="I24" s="640"/>
      <c r="J24" s="640"/>
      <c r="K24" s="641"/>
      <c r="L24" s="646"/>
      <c r="M24" s="183"/>
      <c r="N24" s="183"/>
      <c r="O24" s="183"/>
      <c r="P24" s="183"/>
      <c r="Q24" s="183"/>
    </row>
    <row r="25" spans="1:17" ht="13.5" thickBot="1" x14ac:dyDescent="0.25">
      <c r="A25" s="648"/>
      <c r="B25" s="649"/>
      <c r="C25" s="649"/>
      <c r="D25" s="649"/>
      <c r="E25" s="649"/>
      <c r="F25" s="649"/>
      <c r="G25" s="649"/>
      <c r="H25" s="649"/>
      <c r="I25" s="649"/>
      <c r="J25" s="649"/>
      <c r="K25" s="652"/>
      <c r="L25" s="646"/>
      <c r="M25" s="183"/>
      <c r="N25" s="183"/>
      <c r="O25" s="183"/>
      <c r="P25" s="183"/>
      <c r="Q25" s="183"/>
    </row>
    <row r="26" spans="1:17" ht="14.25" thickTop="1" thickBot="1" x14ac:dyDescent="0.25">
      <c r="A26" s="642"/>
      <c r="B26" s="643"/>
      <c r="C26" s="643"/>
      <c r="D26" s="643"/>
      <c r="E26" s="643"/>
      <c r="F26" s="643"/>
      <c r="G26" s="643"/>
      <c r="H26" s="643"/>
      <c r="I26" s="643"/>
      <c r="J26" s="643"/>
      <c r="K26" s="643"/>
      <c r="L26" s="644"/>
      <c r="M26" s="183"/>
      <c r="N26" s="183"/>
      <c r="O26" s="183"/>
      <c r="P26" s="183"/>
      <c r="Q26" s="183"/>
    </row>
    <row r="27" spans="1:17" ht="14.25" thickTop="1" thickBot="1" x14ac:dyDescent="0.25">
      <c r="A27" s="183"/>
      <c r="B27" s="183"/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</row>
    <row r="28" spans="1:17" ht="14.25" thickTop="1" thickBot="1" x14ac:dyDescent="0.25">
      <c r="A28" s="331" t="s">
        <v>235</v>
      </c>
      <c r="B28" s="332">
        <v>6</v>
      </c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</row>
    <row r="29" spans="1:17" ht="13.5" thickTop="1" x14ac:dyDescent="0.2">
      <c r="A29" s="183"/>
      <c r="B29" s="183"/>
      <c r="C29" s="183"/>
      <c r="D29" s="183"/>
      <c r="E29" s="183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</row>
    <row r="30" spans="1:17" x14ac:dyDescent="0.2">
      <c r="A30" s="183"/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</row>
    <row r="31" spans="1:17" x14ac:dyDescent="0.2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</row>
    <row r="32" spans="1:17" x14ac:dyDescent="0.2">
      <c r="A32" s="183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</row>
    <row r="33" spans="1:17" x14ac:dyDescent="0.2">
      <c r="A33" s="183"/>
      <c r="B33" s="183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</row>
    <row r="34" spans="1:17" x14ac:dyDescent="0.2">
      <c r="A34" s="183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</row>
    <row r="35" spans="1:17" x14ac:dyDescent="0.2">
      <c r="A35" s="183"/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</row>
    <row r="36" spans="1:17" x14ac:dyDescent="0.2">
      <c r="A36" s="183"/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</row>
    <row r="37" spans="1:17" x14ac:dyDescent="0.2">
      <c r="A37" s="183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</row>
    <row r="38" spans="1:17" x14ac:dyDescent="0.2">
      <c r="A38" s="183"/>
      <c r="B38" s="18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</row>
  </sheetData>
  <sheetProtection password="C665" sheet="1" objects="1" scenarios="1" selectLockedCells="1" selectUnlockedCells="1"/>
  <mergeCells count="14">
    <mergeCell ref="K18:K19"/>
    <mergeCell ref="A1:D1"/>
    <mergeCell ref="A6:D6"/>
    <mergeCell ref="I12:K12"/>
    <mergeCell ref="A26:L26"/>
    <mergeCell ref="L1:L25"/>
    <mergeCell ref="A17:H25"/>
    <mergeCell ref="A8:D11"/>
    <mergeCell ref="A3:D5"/>
    <mergeCell ref="D13:K16"/>
    <mergeCell ref="A14:C14"/>
    <mergeCell ref="I20:K25"/>
    <mergeCell ref="I17:K17"/>
    <mergeCell ref="E1:K11"/>
  </mergeCells>
  <phoneticPr fontId="59" type="noConversion"/>
  <hyperlinks>
    <hyperlink ref="B16" r:id="rId1" display="\\oag\C\BuckUp\Sp\data.fbd"/>
    <hyperlink ref="B15" r:id="rId2" display="\\oag\C\BuckUp\Sp\data.fbd"/>
  </hyperlinks>
  <pageMargins left="0.75" right="0.75" top="1" bottom="1" header="0.5" footer="0.5"/>
  <pageSetup paperSize="9" orientation="portrait" r:id="rId3"/>
  <headerFooter alignWithMargins="0"/>
  <drawing r:id="rId4"/>
  <legacyDrawing r:id="rId5"/>
  <controls>
    <mc:AlternateContent xmlns:mc="http://schemas.openxmlformats.org/markup-compatibility/2006">
      <mc:Choice Requires="x14">
        <control shapeId="1033" r:id="rId6" name="CommandButton1">
          <controlPr defaultSize="0" autoFill="0" autoLine="0" autoPict="0" r:id="rId7">
            <anchor moveWithCells="1">
              <from>
                <xdr:col>4</xdr:col>
                <xdr:colOff>114300</xdr:colOff>
                <xdr:row>7</xdr:row>
                <xdr:rowOff>19050</xdr:rowOff>
              </from>
              <to>
                <xdr:col>6</xdr:col>
                <xdr:colOff>123825</xdr:colOff>
                <xdr:row>8</xdr:row>
                <xdr:rowOff>152400</xdr:rowOff>
              </to>
            </anchor>
          </controlPr>
        </control>
      </mc:Choice>
      <mc:Fallback>
        <control shapeId="1033" r:id="rId6" name="CommandButton1"/>
      </mc:Fallback>
    </mc:AlternateContent>
    <mc:AlternateContent xmlns:mc="http://schemas.openxmlformats.org/markup-compatibility/2006">
      <mc:Choice Requires="x14">
        <control shapeId="1034" r:id="rId8" name="CommandButton2">
          <controlPr defaultSize="0" autoFill="0" autoLine="0" autoPict="0" r:id="rId9">
            <anchor moveWithCells="1">
              <from>
                <xdr:col>4</xdr:col>
                <xdr:colOff>123825</xdr:colOff>
                <xdr:row>4</xdr:row>
                <xdr:rowOff>0</xdr:rowOff>
              </from>
              <to>
                <xdr:col>6</xdr:col>
                <xdr:colOff>114300</xdr:colOff>
                <xdr:row>5</xdr:row>
                <xdr:rowOff>161925</xdr:rowOff>
              </to>
            </anchor>
          </controlPr>
        </control>
      </mc:Choice>
      <mc:Fallback>
        <control shapeId="1034" r:id="rId8" name="CommandButton2"/>
      </mc:Fallback>
    </mc:AlternateContent>
    <mc:AlternateContent xmlns:mc="http://schemas.openxmlformats.org/markup-compatibility/2006">
      <mc:Choice Requires="x14">
        <control shapeId="1035" r:id="rId10" name="CommandButton3">
          <controlPr defaultSize="0" autoFill="0" autoLine="0" autoPict="0" r:id="rId11">
            <anchor moveWithCells="1">
              <from>
                <xdr:col>4</xdr:col>
                <xdr:colOff>114300</xdr:colOff>
                <xdr:row>1</xdr:row>
                <xdr:rowOff>47625</xdr:rowOff>
              </from>
              <to>
                <xdr:col>6</xdr:col>
                <xdr:colOff>114300</xdr:colOff>
                <xdr:row>2</xdr:row>
                <xdr:rowOff>180975</xdr:rowOff>
              </to>
            </anchor>
          </controlPr>
        </control>
      </mc:Choice>
      <mc:Fallback>
        <control shapeId="1035" r:id="rId10" name="CommandButton3"/>
      </mc:Fallback>
    </mc:AlternateContent>
    <mc:AlternateContent xmlns:mc="http://schemas.openxmlformats.org/markup-compatibility/2006">
      <mc:Choice Requires="x14">
        <control shapeId="1036" r:id="rId12" name="CommandButton4">
          <controlPr defaultSize="0" autoFill="0" autoLine="0" autoPict="0" r:id="rId13">
            <anchor moveWithCells="1">
              <from>
                <xdr:col>6</xdr:col>
                <xdr:colOff>238125</xdr:colOff>
                <xdr:row>1</xdr:row>
                <xdr:rowOff>9525</xdr:rowOff>
              </from>
              <to>
                <xdr:col>8</xdr:col>
                <xdr:colOff>238125</xdr:colOff>
                <xdr:row>8</xdr:row>
                <xdr:rowOff>123825</xdr:rowOff>
              </to>
            </anchor>
          </controlPr>
        </control>
      </mc:Choice>
      <mc:Fallback>
        <control shapeId="1036" r:id="rId12" name="CommandButton4"/>
      </mc:Fallback>
    </mc:AlternateContent>
    <mc:AlternateContent xmlns:mc="http://schemas.openxmlformats.org/markup-compatibility/2006">
      <mc:Choice Requires="x14">
        <control shapeId="1037" r:id="rId14" name="CommandButton5">
          <controlPr defaultSize="0" autoFill="0" autoLine="0" r:id="rId15">
            <anchor moveWithCells="1">
              <from>
                <xdr:col>8</xdr:col>
                <xdr:colOff>390525</xdr:colOff>
                <xdr:row>1</xdr:row>
                <xdr:rowOff>9525</xdr:rowOff>
              </from>
              <to>
                <xdr:col>10</xdr:col>
                <xdr:colOff>171450</xdr:colOff>
                <xdr:row>2</xdr:row>
                <xdr:rowOff>123825</xdr:rowOff>
              </to>
            </anchor>
          </controlPr>
        </control>
      </mc:Choice>
      <mc:Fallback>
        <control shapeId="1037" r:id="rId14" name="CommandButton5"/>
      </mc:Fallback>
    </mc:AlternateContent>
    <mc:AlternateContent xmlns:mc="http://schemas.openxmlformats.org/markup-compatibility/2006">
      <mc:Choice Requires="x14">
        <control shapeId="1039" r:id="rId16" name="CommandButton6">
          <controlPr defaultSize="0" autoFill="0" autoLine="0" r:id="rId17">
            <anchor moveWithCells="1">
              <from>
                <xdr:col>8</xdr:col>
                <xdr:colOff>409575</xdr:colOff>
                <xdr:row>2</xdr:row>
                <xdr:rowOff>171450</xdr:rowOff>
              </from>
              <to>
                <xdr:col>10</xdr:col>
                <xdr:colOff>171450</xdr:colOff>
                <xdr:row>4</xdr:row>
                <xdr:rowOff>104775</xdr:rowOff>
              </to>
            </anchor>
          </controlPr>
        </control>
      </mc:Choice>
      <mc:Fallback>
        <control shapeId="1039" r:id="rId16" name="CommandButton6"/>
      </mc:Fallback>
    </mc:AlternateContent>
    <mc:AlternateContent xmlns:mc="http://schemas.openxmlformats.org/markup-compatibility/2006">
      <mc:Choice Requires="x14">
        <control shapeId="1040" r:id="rId18" name="CommandButton7">
          <controlPr defaultSize="0" autoFill="0" autoLine="0" r:id="rId19">
            <anchor moveWithCells="1">
              <from>
                <xdr:col>8</xdr:col>
                <xdr:colOff>400050</xdr:colOff>
                <xdr:row>5</xdr:row>
                <xdr:rowOff>0</xdr:rowOff>
              </from>
              <to>
                <xdr:col>10</xdr:col>
                <xdr:colOff>171450</xdr:colOff>
                <xdr:row>6</xdr:row>
                <xdr:rowOff>104775</xdr:rowOff>
              </to>
            </anchor>
          </controlPr>
        </control>
      </mc:Choice>
      <mc:Fallback>
        <control shapeId="1040" r:id="rId18" name="CommandButton7"/>
      </mc:Fallback>
    </mc:AlternateContent>
    <mc:AlternateContent xmlns:mc="http://schemas.openxmlformats.org/markup-compatibility/2006">
      <mc:Choice Requires="x14">
        <control shapeId="1041" r:id="rId20" name="CommandButton8">
          <controlPr defaultSize="0" autoFill="0" autoLine="0" r:id="rId21">
            <anchor moveWithCells="1">
              <from>
                <xdr:col>8</xdr:col>
                <xdr:colOff>409575</xdr:colOff>
                <xdr:row>7</xdr:row>
                <xdr:rowOff>38100</xdr:rowOff>
              </from>
              <to>
                <xdr:col>10</xdr:col>
                <xdr:colOff>171450</xdr:colOff>
                <xdr:row>9</xdr:row>
                <xdr:rowOff>19050</xdr:rowOff>
              </to>
            </anchor>
          </controlPr>
        </control>
      </mc:Choice>
      <mc:Fallback>
        <control shapeId="1041" r:id="rId20" name="CommandButton8"/>
      </mc:Fallback>
    </mc:AlternateContent>
    <mc:AlternateContent xmlns:mc="http://schemas.openxmlformats.org/markup-compatibility/2006">
      <mc:Choice Requires="x14">
        <control shapeId="1046" r:id="rId22" name="CommandButton9">
          <controlPr defaultSize="0" autoFill="0" autoLine="0" r:id="rId23">
            <anchor moveWithCells="1">
              <from>
                <xdr:col>8</xdr:col>
                <xdr:colOff>419100</xdr:colOff>
                <xdr:row>9</xdr:row>
                <xdr:rowOff>123825</xdr:rowOff>
              </from>
              <to>
                <xdr:col>10</xdr:col>
                <xdr:colOff>190500</xdr:colOff>
                <xdr:row>11</xdr:row>
                <xdr:rowOff>85725</xdr:rowOff>
              </to>
            </anchor>
          </controlPr>
        </control>
      </mc:Choice>
      <mc:Fallback>
        <control shapeId="1046" r:id="rId22" name="CommandButton9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33"/>
  <sheetViews>
    <sheetView zoomScale="75" zoomScaleNormal="75" zoomScaleSheetLayoutView="75" workbookViewId="0">
      <selection activeCell="F38" sqref="F38"/>
    </sheetView>
  </sheetViews>
  <sheetFormatPr defaultColWidth="17.85546875" defaultRowHeight="18" x14ac:dyDescent="0.2"/>
  <cols>
    <col min="1" max="1" width="31.28515625" style="84" bestFit="1" customWidth="1"/>
    <col min="2" max="3" width="7.7109375" style="84" bestFit="1" customWidth="1"/>
    <col min="4" max="4" width="11.28515625" style="84" bestFit="1" customWidth="1"/>
    <col min="5" max="6" width="15.7109375" style="84" bestFit="1" customWidth="1"/>
    <col min="7" max="7" width="11.5703125" style="84" customWidth="1"/>
    <col min="8" max="8" width="10.140625" style="84" bestFit="1" customWidth="1"/>
    <col min="9" max="9" width="8.42578125" style="84" bestFit="1" customWidth="1"/>
    <col min="10" max="10" width="10.5703125" style="84" bestFit="1" customWidth="1"/>
    <col min="11" max="12" width="11.42578125" style="84" bestFit="1" customWidth="1"/>
    <col min="13" max="13" width="10.85546875" style="84" bestFit="1" customWidth="1"/>
    <col min="14" max="15" width="8.28515625" style="84" bestFit="1" customWidth="1"/>
    <col min="16" max="16" width="10.85546875" style="84" bestFit="1" customWidth="1"/>
    <col min="17" max="18" width="7.5703125" style="84" bestFit="1" customWidth="1"/>
    <col min="19" max="19" width="11.140625" style="84" bestFit="1" customWidth="1"/>
    <col min="20" max="16384" width="17.85546875" style="84"/>
  </cols>
  <sheetData>
    <row r="1" spans="1:19" ht="20.25" x14ac:dyDescent="0.2">
      <c r="A1" s="117" t="s">
        <v>155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19" ht="21" thickBot="1" x14ac:dyDescent="0.25">
      <c r="A2" s="117" t="str">
        <f>IF(Posled2!A2=Posled1!A2,IF(Grig2!A2=Posled1!A2,IF(Grig1!A2=Posled1!A2,Grig1!A2,"расчитаны не все формы"),"расчитаны не все формы"),"расчитаны не все формы")</f>
        <v>расчитаны не все формы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19" ht="44.25" customHeight="1" x14ac:dyDescent="0.2">
      <c r="A3" s="85" t="s">
        <v>7</v>
      </c>
      <c r="B3" s="86" t="s">
        <v>210</v>
      </c>
      <c r="C3" s="87"/>
      <c r="D3" s="88"/>
      <c r="E3" s="89" t="s">
        <v>211</v>
      </c>
      <c r="F3" s="87"/>
      <c r="G3" s="88"/>
      <c r="H3" s="89" t="s">
        <v>209</v>
      </c>
      <c r="I3" s="87"/>
      <c r="J3" s="88"/>
      <c r="K3" s="89" t="s">
        <v>212</v>
      </c>
      <c r="L3" s="87"/>
      <c r="M3" s="88"/>
      <c r="N3" s="90" t="s">
        <v>156</v>
      </c>
      <c r="O3" s="87"/>
      <c r="P3" s="88"/>
      <c r="Q3" s="90" t="s">
        <v>119</v>
      </c>
      <c r="R3" s="87"/>
      <c r="S3" s="88"/>
    </row>
    <row r="4" spans="1:19" s="172" customFormat="1" ht="19.5" thickBot="1" x14ac:dyDescent="0.35">
      <c r="A4" s="170"/>
      <c r="B4" s="168">
        <f>YEAR(Комментарии!B2)</f>
        <v>2008</v>
      </c>
      <c r="C4" s="169">
        <f>YEAR(Комментарии!B7)</f>
        <v>2007</v>
      </c>
      <c r="D4" s="171" t="s">
        <v>11</v>
      </c>
      <c r="E4" s="168">
        <f>B4</f>
        <v>2008</v>
      </c>
      <c r="F4" s="168">
        <f>C4</f>
        <v>2007</v>
      </c>
      <c r="G4" s="171" t="s">
        <v>11</v>
      </c>
      <c r="H4" s="168">
        <f>B4</f>
        <v>2008</v>
      </c>
      <c r="I4" s="168">
        <f>C4</f>
        <v>2007</v>
      </c>
      <c r="J4" s="171" t="s">
        <v>11</v>
      </c>
      <c r="K4" s="168">
        <f>B4</f>
        <v>2008</v>
      </c>
      <c r="L4" s="168">
        <f>C4</f>
        <v>2007</v>
      </c>
      <c r="M4" s="171" t="s">
        <v>11</v>
      </c>
      <c r="N4" s="168">
        <f>B4</f>
        <v>2008</v>
      </c>
      <c r="O4" s="168">
        <f>C4</f>
        <v>2007</v>
      </c>
      <c r="P4" s="171" t="s">
        <v>11</v>
      </c>
      <c r="Q4" s="168">
        <f>B4</f>
        <v>2008</v>
      </c>
      <c r="R4" s="168">
        <f>C4</f>
        <v>2007</v>
      </c>
      <c r="S4" s="171" t="s">
        <v>11</v>
      </c>
    </row>
    <row r="5" spans="1:19" ht="18.75" x14ac:dyDescent="0.2">
      <c r="A5" s="93" t="str">
        <f>Grig1!A$10</f>
        <v>Алатырский</v>
      </c>
      <c r="B5" s="94">
        <f>VLOOKUP($A5,Grig1!$A$6:$P$58,2,FALSE)-VLOOKUP($A6,Grig1!$A$6:$P$58,2,FALSE)</f>
        <v>0</v>
      </c>
      <c r="C5" s="95">
        <f>VLOOKUP($A5,Grig1!$A$6:$P$58,3,FALSE)-VLOOKUP($A6,Grig1!$A$6:$P$58,3,FALSE)</f>
        <v>-4</v>
      </c>
      <c r="D5" s="96">
        <f t="shared" ref="D5:D33" si="0">IF(C5=0,"--",(((B5*100)/C5)-100)/100)</f>
        <v>-1</v>
      </c>
      <c r="E5" s="152">
        <f>VLOOKUP($A5,Grig1!$A$6:$P$58,5,FALSE)-VLOOKUP($A6,Grig1!$A$6:$P$58,5,FALSE)</f>
        <v>1181200</v>
      </c>
      <c r="F5" s="153">
        <f>VLOOKUP($A5,Grig1!$A$6:$P$58,6,FALSE)-VLOOKUP($A6,Grig1!$A$6:$P$58,6,FALSE)</f>
        <v>-830000</v>
      </c>
      <c r="G5" s="96">
        <f t="shared" ref="G5:G33" si="1">IF(F5=0,"--",(((E5*100)/F5)-100)/100)</f>
        <v>-2.423132530120482</v>
      </c>
      <c r="H5" s="97">
        <f>B5/VLOOKUP($A5,НаселГлавы!$A$1:$B$29,2,FALSE)*10000</f>
        <v>0</v>
      </c>
      <c r="I5" s="98">
        <f>C5/VLOOKUP($A5,НаселГлавы!$A$1:$B$29,2,FALSE)*10000</f>
        <v>-1.5936254980079683</v>
      </c>
      <c r="J5" s="96">
        <f t="shared" ref="J5:J33" si="2">IF(I5=0,"--",(((H5*100)/I5)-100)/100)</f>
        <v>-1</v>
      </c>
      <c r="K5" s="245" t="e">
        <f>E5/B5</f>
        <v>#DIV/0!</v>
      </c>
      <c r="L5" s="249">
        <f>F5/C5</f>
        <v>207500</v>
      </c>
      <c r="M5" s="243" t="e">
        <f t="shared" ref="M5:M33" si="3">IF(L5=0,"--",(((K5*100)/L5)-100)/100)</f>
        <v>#DIV/0!</v>
      </c>
      <c r="N5" s="97">
        <f>E5/VLOOKUP($A5,НаселГлавы!$A$1:$B$29,2,FALSE)</f>
        <v>47.059760956175296</v>
      </c>
      <c r="O5" s="98">
        <f>F5/VLOOKUP($A5,НаселГлавы!$A$1:$B$29,2,FALSE)</f>
        <v>-33.067729083665341</v>
      </c>
      <c r="P5" s="96">
        <f t="shared" ref="P5:P33" si="4">IF(O5=0,"--",(((N5*100)/O5)-100)/100)</f>
        <v>-2.4231325301204816</v>
      </c>
      <c r="Q5" s="94">
        <f>VLOOKUP($A5,Grig1!$A$6:$P$58,8,FALSE)-Q6</f>
        <v>0</v>
      </c>
      <c r="R5" s="95">
        <f>VLOOKUP($A5,Grig1!$A$6:$P$58,9,FALSE)-R6</f>
        <v>0</v>
      </c>
      <c r="S5" s="96" t="str">
        <f t="shared" ref="S5:S33" si="5">IF(R5=0,"--",(((Q5*100)/R5)-100)/100)</f>
        <v>--</v>
      </c>
    </row>
    <row r="6" spans="1:19" ht="18.75" x14ac:dyDescent="0.25">
      <c r="A6" s="167" t="s">
        <v>162</v>
      </c>
      <c r="B6" s="100">
        <f>VLOOKUP($A6,Grig1!$A$6:$P$58,2,FALSE)</f>
        <v>27</v>
      </c>
      <c r="C6" s="229">
        <f>VLOOKUP($A6,Grig1!$A$6:$P$58,3,FALSE)</f>
        <v>28</v>
      </c>
      <c r="D6" s="96">
        <f t="shared" si="0"/>
        <v>-3.5714285714285691E-2</v>
      </c>
      <c r="E6" s="152">
        <f>VLOOKUP($A6,Grig1!$A$6:$P$58,5,FALSE)</f>
        <v>2844800</v>
      </c>
      <c r="F6" s="153">
        <f>VLOOKUP($A6,Grig1!$A$6:$P$58,6,FALSE)</f>
        <v>5765600</v>
      </c>
      <c r="G6" s="96">
        <f t="shared" si="1"/>
        <v>-0.50659081448591647</v>
      </c>
      <c r="H6" s="97">
        <f>B6/VLOOKUP($A6,НаселГлавы!$A$1:$B$29,2,FALSE)*10000</f>
        <v>6.490384615384615</v>
      </c>
      <c r="I6" s="98">
        <f>C6/VLOOKUP($A6,НаселГлавы!$A$1:$B$29,2,FALSE)*10000</f>
        <v>6.7307692307692308</v>
      </c>
      <c r="J6" s="96">
        <f t="shared" si="2"/>
        <v>-3.5714285714285691E-2</v>
      </c>
      <c r="K6" s="245">
        <f>E6/B6</f>
        <v>105362.96296296296</v>
      </c>
      <c r="L6" s="250" t="s">
        <v>225</v>
      </c>
      <c r="M6" s="244" t="s">
        <v>225</v>
      </c>
      <c r="N6" s="97">
        <f>E6/VLOOKUP($A6,НаселГлавы!$A$1:$B$29,2,FALSE)</f>
        <v>68.384615384615387</v>
      </c>
      <c r="O6" s="98">
        <f>F6/VLOOKUP($A6,НаселГлавы!$A$1:$B$29,2,FALSE)</f>
        <v>138.59615384615384</v>
      </c>
      <c r="P6" s="96">
        <f t="shared" si="4"/>
        <v>-0.50659081448591647</v>
      </c>
      <c r="Q6" s="94">
        <f>VLOOKUP($A6,Grig1!$A$6:$P$58,8,FALSE)</f>
        <v>2</v>
      </c>
      <c r="R6" s="95">
        <f>VLOOKUP($A6,Grig1!$A$6:$P$58,9,FALSE)</f>
        <v>2</v>
      </c>
      <c r="S6" s="96">
        <f t="shared" si="5"/>
        <v>0</v>
      </c>
    </row>
    <row r="7" spans="1:19" ht="18.75" x14ac:dyDescent="0.2">
      <c r="A7" s="99" t="str">
        <f>Grig1!A$13</f>
        <v>Аликовский</v>
      </c>
      <c r="B7" s="100">
        <f>VLOOKUP($A7,Grig1!$A$6:$P$58,2,FALSE)</f>
        <v>17</v>
      </c>
      <c r="C7" s="101">
        <f>VLOOKUP($A7,Grig1!$A$6:$P$58,3,FALSE)</f>
        <v>16</v>
      </c>
      <c r="D7" s="102">
        <f t="shared" si="0"/>
        <v>6.25E-2</v>
      </c>
      <c r="E7" s="154">
        <f>VLOOKUP($A7,Grig1!$A$6:$P$58,5,FALSE)</f>
        <v>3127600</v>
      </c>
      <c r="F7" s="155">
        <f>VLOOKUP($A7,Grig1!$A$6:$P$58,6,FALSE)</f>
        <v>2861000</v>
      </c>
      <c r="G7" s="102">
        <f t="shared" si="1"/>
        <v>9.3184201328206914E-2</v>
      </c>
      <c r="H7" s="97">
        <f>B7/VLOOKUP($A7,НаселГлавы!$A$1:$B$29,2,FALSE)*10000</f>
        <v>7.5221238938053103</v>
      </c>
      <c r="I7" s="98">
        <f>C7/VLOOKUP($A7,НаселГлавы!$A$1:$B$29,2,FALSE)*10000</f>
        <v>7.0796460176991154</v>
      </c>
      <c r="J7" s="102">
        <f t="shared" si="2"/>
        <v>6.25E-2</v>
      </c>
      <c r="K7" s="242" t="s">
        <v>225</v>
      </c>
      <c r="L7" s="250" t="s">
        <v>225</v>
      </c>
      <c r="M7" s="244" t="s">
        <v>225</v>
      </c>
      <c r="N7" s="97">
        <f>E7/VLOOKUP($A7,НаселГлавы!$A$1:$B$29,2,FALSE)</f>
        <v>138.38938053097345</v>
      </c>
      <c r="O7" s="98">
        <f>F7/VLOOKUP($A7,НаселГлавы!$A$1:$B$29,2,FALSE)</f>
        <v>126.59292035398231</v>
      </c>
      <c r="P7" s="102">
        <f t="shared" si="4"/>
        <v>9.3184201328206914E-2</v>
      </c>
      <c r="Q7" s="100">
        <f>VLOOKUP($A7,Grig1!$A$6:$P$58,8,FALSE)</f>
        <v>0</v>
      </c>
      <c r="R7" s="101">
        <f>VLOOKUP($A7,Grig1!$A$6:$P$58,9,FALSE)</f>
        <v>1</v>
      </c>
      <c r="S7" s="102">
        <f t="shared" si="5"/>
        <v>-1</v>
      </c>
    </row>
    <row r="8" spans="1:19" ht="18.75" x14ac:dyDescent="0.2">
      <c r="A8" s="99" t="str">
        <f>Grig1!A$15</f>
        <v>Батыревский</v>
      </c>
      <c r="B8" s="100">
        <f>VLOOKUP($A8,Grig1!$A$6:$P$58,2,FALSE)</f>
        <v>34</v>
      </c>
      <c r="C8" s="101">
        <f>VLOOKUP($A8,Grig1!$A$6:$P$58,3,FALSE)</f>
        <v>32</v>
      </c>
      <c r="D8" s="102">
        <f t="shared" si="0"/>
        <v>6.25E-2</v>
      </c>
      <c r="E8" s="154">
        <f>VLOOKUP($A8,Grig1!$A$6:$P$58,5,FALSE)</f>
        <v>4310000</v>
      </c>
      <c r="F8" s="155">
        <f>VLOOKUP($A8,Grig1!$A$6:$P$58,6,FALSE)</f>
        <v>3072000</v>
      </c>
      <c r="G8" s="102">
        <f t="shared" si="1"/>
        <v>0.40299479166666657</v>
      </c>
      <c r="H8" s="97">
        <f>B8/VLOOKUP($A8,НаселГлавы!$A$1:$B$29,2,FALSE)*10000</f>
        <v>8.3129584352078236</v>
      </c>
      <c r="I8" s="98">
        <f>C8/VLOOKUP($A8,НаселГлавы!$A$1:$B$29,2,FALSE)*10000</f>
        <v>7.8239608801955995</v>
      </c>
      <c r="J8" s="102">
        <f t="shared" si="2"/>
        <v>6.2499999999999861E-2</v>
      </c>
      <c r="K8" s="246">
        <f t="shared" ref="K8:L33" si="6">E8/B8</f>
        <v>126764.70588235294</v>
      </c>
      <c r="L8" s="155">
        <f t="shared" si="6"/>
        <v>96000</v>
      </c>
      <c r="M8" s="102">
        <f t="shared" si="3"/>
        <v>0.32046568627450994</v>
      </c>
      <c r="N8" s="97">
        <f>E8/VLOOKUP($A8,НаселГлавы!$A$1:$B$29,2,FALSE)</f>
        <v>105.37897310513448</v>
      </c>
      <c r="O8" s="98">
        <f>F8/VLOOKUP($A8,НаселГлавы!$A$1:$B$29,2,FALSE)</f>
        <v>75.110024449877756</v>
      </c>
      <c r="P8" s="102">
        <f t="shared" si="4"/>
        <v>0.40299479166666657</v>
      </c>
      <c r="Q8" s="100">
        <f>VLOOKUP($A8,Grig1!$A$6:$P$58,8,FALSE)</f>
        <v>1</v>
      </c>
      <c r="R8" s="101">
        <f>VLOOKUP($A8,Grig1!$A$6:$P$58,9,FALSE)</f>
        <v>1</v>
      </c>
      <c r="S8" s="102">
        <f t="shared" si="5"/>
        <v>0</v>
      </c>
    </row>
    <row r="9" spans="1:19" ht="18.75" x14ac:dyDescent="0.2">
      <c r="A9" s="99" t="str">
        <f>Grig1!A$17</f>
        <v>Вурнарский</v>
      </c>
      <c r="B9" s="100">
        <f>VLOOKUP($A9,Grig1!$A$6:$P$58,2,FALSE)</f>
        <v>37</v>
      </c>
      <c r="C9" s="101">
        <f>VLOOKUP($A9,Grig1!$A$6:$P$58,3,FALSE)</f>
        <v>30</v>
      </c>
      <c r="D9" s="102">
        <f t="shared" si="0"/>
        <v>0.23333333333333328</v>
      </c>
      <c r="E9" s="154">
        <f>VLOOKUP($A9,Grig1!$A$6:$P$58,5,FALSE)</f>
        <v>4361781</v>
      </c>
      <c r="F9" s="155">
        <f>VLOOKUP($A9,Grig1!$A$6:$P$58,6,FALSE)</f>
        <v>5429780</v>
      </c>
      <c r="G9" s="102">
        <f t="shared" si="1"/>
        <v>-0.19669286785099943</v>
      </c>
      <c r="H9" s="97">
        <f>B9/VLOOKUP($A9,НаселГлавы!$A$1:$B$29,2,FALSE)*10000</f>
        <v>8.3521444695259603</v>
      </c>
      <c r="I9" s="98">
        <f>C9/VLOOKUP($A9,НаселГлавы!$A$1:$B$29,2,FALSE)*10000</f>
        <v>6.7720090293453721</v>
      </c>
      <c r="J9" s="102">
        <f t="shared" si="2"/>
        <v>0.23333333333333356</v>
      </c>
      <c r="K9" s="246">
        <f t="shared" si="6"/>
        <v>117885.97297297297</v>
      </c>
      <c r="L9" s="155">
        <f t="shared" si="6"/>
        <v>180992.66666666666</v>
      </c>
      <c r="M9" s="102">
        <f t="shared" si="3"/>
        <v>-0.34866989285216177</v>
      </c>
      <c r="N9" s="97">
        <f>E9/VLOOKUP($A9,НаселГлавы!$A$1:$B$29,2,FALSE)</f>
        <v>98.460067720090294</v>
      </c>
      <c r="O9" s="98">
        <f>F9/VLOOKUP($A9,НаселГлавы!$A$1:$B$29,2,FALSE)</f>
        <v>122.56839729119639</v>
      </c>
      <c r="P9" s="102">
        <f t="shared" si="4"/>
        <v>-0.19669286785099943</v>
      </c>
      <c r="Q9" s="100">
        <f>VLOOKUP($A9,Grig1!$A$6:$P$58,8,FALSE)</f>
        <v>3</v>
      </c>
      <c r="R9" s="101">
        <f>VLOOKUP($A9,Grig1!$A$6:$P$58,9,FALSE)</f>
        <v>3</v>
      </c>
      <c r="S9" s="102">
        <f t="shared" si="5"/>
        <v>0</v>
      </c>
    </row>
    <row r="10" spans="1:19" ht="18.75" x14ac:dyDescent="0.2">
      <c r="A10" s="99" t="str">
        <f>Grig1!A$19</f>
        <v>Ибресинский</v>
      </c>
      <c r="B10" s="100">
        <f>VLOOKUP($A10,Grig1!$A$6:$P$58,2,FALSE)</f>
        <v>25</v>
      </c>
      <c r="C10" s="101">
        <f>VLOOKUP($A10,Grig1!$A$6:$P$58,3,FALSE)</f>
        <v>21</v>
      </c>
      <c r="D10" s="102">
        <f t="shared" si="0"/>
        <v>0.19047619047619052</v>
      </c>
      <c r="E10" s="154">
        <f>VLOOKUP($A10,Grig1!$A$6:$P$58,5,FALSE)</f>
        <v>3743928</v>
      </c>
      <c r="F10" s="155">
        <f>VLOOKUP($A10,Grig1!$A$6:$P$58,6,FALSE)</f>
        <v>5727487</v>
      </c>
      <c r="G10" s="102">
        <f t="shared" si="1"/>
        <v>-0.34632274154441561</v>
      </c>
      <c r="H10" s="97">
        <f>B10/VLOOKUP($A10,НаселГлавы!$A$1:$B$29,2,FALSE)*10000</f>
        <v>8.7108013937282234</v>
      </c>
      <c r="I10" s="98">
        <f>C10/VLOOKUP($A10,НаселГлавы!$A$1:$B$29,2,FALSE)*10000</f>
        <v>7.3170731707317076</v>
      </c>
      <c r="J10" s="102">
        <f t="shared" si="2"/>
        <v>0.19047619047619052</v>
      </c>
      <c r="K10" s="246">
        <f t="shared" si="6"/>
        <v>149757.12</v>
      </c>
      <c r="L10" s="155">
        <f t="shared" si="6"/>
        <v>272737.47619047621</v>
      </c>
      <c r="M10" s="102">
        <f t="shared" si="3"/>
        <v>-0.45091110289730912</v>
      </c>
      <c r="N10" s="97">
        <f>E10/VLOOKUP($A10,НаселГлавы!$A$1:$B$29,2,FALSE)</f>
        <v>130.45045296167248</v>
      </c>
      <c r="O10" s="98">
        <f>F10/VLOOKUP($A10,НаселГлавы!$A$1:$B$29,2,FALSE)</f>
        <v>199.56400696864111</v>
      </c>
      <c r="P10" s="102">
        <f t="shared" si="4"/>
        <v>-0.34632274154441545</v>
      </c>
      <c r="Q10" s="100">
        <f>VLOOKUP($A10,Grig1!$A$6:$P$58,8,FALSE)</f>
        <v>1</v>
      </c>
      <c r="R10" s="101">
        <f>VLOOKUP($A10,Grig1!$A$6:$P$58,9,FALSE)</f>
        <v>1</v>
      </c>
      <c r="S10" s="102">
        <f t="shared" si="5"/>
        <v>0</v>
      </c>
    </row>
    <row r="11" spans="1:19" ht="18.75" x14ac:dyDescent="0.2">
      <c r="A11" s="99" t="str">
        <f>Grig1!A$22</f>
        <v>Канашский</v>
      </c>
      <c r="B11" s="100">
        <f>VLOOKUP($A11,Grig1!$A$6:$P$58,2,FALSE)-VLOOKUP($A12,Grig1!$A$6:$P$58,2,FALSE)</f>
        <v>24</v>
      </c>
      <c r="C11" s="101">
        <f>VLOOKUP($A11,Grig1!$A$6:$P$58,3,FALSE)-VLOOKUP($A12,Grig1!$A$6:$P$58,3,FALSE)</f>
        <v>12</v>
      </c>
      <c r="D11" s="102">
        <f t="shared" si="0"/>
        <v>1</v>
      </c>
      <c r="E11" s="154">
        <f>VLOOKUP($A11,Grig1!$A$6:$P$58,5,FALSE)-VLOOKUP($A12,Grig1!$A$6:$P$58,5,FALSE)</f>
        <v>1789500</v>
      </c>
      <c r="F11" s="155">
        <f>VLOOKUP($A11,Grig1!$A$6:$P$58,6,FALSE)-VLOOKUP($A12,Grig1!$A$6:$P$58,6,FALSE)</f>
        <v>520000</v>
      </c>
      <c r="G11" s="102">
        <f t="shared" si="1"/>
        <v>2.4413461538461534</v>
      </c>
      <c r="H11" s="97">
        <f>B11/VLOOKUP($A11,НаселГлавы!$A$1:$B$29,2,FALSE)*10000</f>
        <v>4.7904191616766463</v>
      </c>
      <c r="I11" s="98">
        <f>C11/VLOOKUP($A11,НаселГлавы!$A$1:$B$29,2,FALSE)*10000</f>
        <v>2.3952095808383231</v>
      </c>
      <c r="J11" s="102">
        <f t="shared" si="2"/>
        <v>1</v>
      </c>
      <c r="K11" s="246">
        <f t="shared" si="6"/>
        <v>74562.5</v>
      </c>
      <c r="L11" s="155">
        <f t="shared" si="6"/>
        <v>43333.333333333336</v>
      </c>
      <c r="M11" s="102">
        <f t="shared" si="3"/>
        <v>0.72067307692307681</v>
      </c>
      <c r="N11" s="97">
        <f>E11/VLOOKUP($A11,НаселГлавы!$A$1:$B$29,2,FALSE)</f>
        <v>35.718562874251496</v>
      </c>
      <c r="O11" s="98">
        <f>F11/VLOOKUP($A11,НаселГлавы!$A$1:$B$29,2,FALSE)</f>
        <v>10.379241516966069</v>
      </c>
      <c r="P11" s="102">
        <f t="shared" si="4"/>
        <v>2.4413461538461534</v>
      </c>
      <c r="Q11" s="100">
        <f>VLOOKUP($A11,Grig1!$A$6:$P$58,8,FALSE)-Q12</f>
        <v>3</v>
      </c>
      <c r="R11" s="101">
        <f>VLOOKUP($A11,Grig1!$A$6:$P$58,9,FALSE)-R12</f>
        <v>4</v>
      </c>
      <c r="S11" s="102">
        <f t="shared" si="5"/>
        <v>-0.25</v>
      </c>
    </row>
    <row r="12" spans="1:19" ht="18.75" x14ac:dyDescent="0.2">
      <c r="A12" s="99" t="s">
        <v>174</v>
      </c>
      <c r="B12" s="100">
        <f>VLOOKUP($A12,Grig1!$A$6:$P$58,2,FALSE)</f>
        <v>12</v>
      </c>
      <c r="C12" s="229">
        <f>VLOOKUP($A12,Grig1!$A$6:$P$58,3,FALSE)</f>
        <v>31</v>
      </c>
      <c r="D12" s="96">
        <f t="shared" si="0"/>
        <v>-0.61290322580645162</v>
      </c>
      <c r="E12" s="154">
        <f>VLOOKUP($A12,Grig1!$A$6:$P$58,5,FALSE)</f>
        <v>1495500</v>
      </c>
      <c r="F12" s="155">
        <f>VLOOKUP($A12,Grig1!$A$6:$P$58,6,FALSE)</f>
        <v>3920000</v>
      </c>
      <c r="G12" s="102">
        <f t="shared" si="1"/>
        <v>-0.61849489795918366</v>
      </c>
      <c r="H12" s="97">
        <f>B12/VLOOKUP($A12,НаселГлавы!$A$1:$B$29,2,FALSE)*10000</f>
        <v>2.5477707006369426</v>
      </c>
      <c r="I12" s="98">
        <f>C12/VLOOKUP($A12,НаселГлавы!$A$1:$B$29,2,FALSE)*10000</f>
        <v>6.5817409766454356</v>
      </c>
      <c r="J12" s="96">
        <f t="shared" si="2"/>
        <v>-0.61290322580645162</v>
      </c>
      <c r="K12" s="246">
        <f t="shared" si="6"/>
        <v>124625</v>
      </c>
      <c r="L12" s="250" t="s">
        <v>225</v>
      </c>
      <c r="M12" s="244" t="s">
        <v>225</v>
      </c>
      <c r="N12" s="97">
        <f>E12/VLOOKUP($A12,НаселГлавы!$A$1:$B$29,2,FALSE)</f>
        <v>31.751592356687897</v>
      </c>
      <c r="O12" s="98">
        <f>F12/VLOOKUP($A12,НаселГлавы!$A$1:$B$29,2,FALSE)</f>
        <v>83.227176220806797</v>
      </c>
      <c r="P12" s="96">
        <f t="shared" si="4"/>
        <v>-0.61849489795918366</v>
      </c>
      <c r="Q12" s="100">
        <f>VLOOKUP($A12,Grig1!$A$6:$P$58,8,FALSE)</f>
        <v>1</v>
      </c>
      <c r="R12" s="101">
        <f>VLOOKUP($A12,Grig1!$A$6:$P$58,9,FALSE)</f>
        <v>1</v>
      </c>
      <c r="S12" s="102">
        <f t="shared" si="5"/>
        <v>0</v>
      </c>
    </row>
    <row r="13" spans="1:19" ht="18.75" x14ac:dyDescent="0.2">
      <c r="A13" s="99" t="str">
        <f>Grig1!A$24</f>
        <v>Козловский</v>
      </c>
      <c r="B13" s="100">
        <f>VLOOKUP($A13,Grig1!$A$6:$P$58,2,FALSE)</f>
        <v>23</v>
      </c>
      <c r="C13" s="101">
        <f>VLOOKUP($A13,Grig1!$A$6:$P$58,3,FALSE)</f>
        <v>15</v>
      </c>
      <c r="D13" s="102">
        <f t="shared" si="0"/>
        <v>0.53333333333333344</v>
      </c>
      <c r="E13" s="154">
        <f>VLOOKUP($A13,Grig1!$A$6:$P$58,5,FALSE)</f>
        <v>2788097</v>
      </c>
      <c r="F13" s="155">
        <f>VLOOKUP($A13,Grig1!$A$6:$P$58,6,FALSE)</f>
        <v>3525000</v>
      </c>
      <c r="G13" s="102">
        <f t="shared" si="1"/>
        <v>-0.20905049645390064</v>
      </c>
      <c r="H13" s="97">
        <f>B13/VLOOKUP($A13,НаселГлавы!$A$1:$B$29,2,FALSE)*10000</f>
        <v>8.4249084249084252</v>
      </c>
      <c r="I13" s="98">
        <f>C13/VLOOKUP($A13,НаселГлавы!$A$1:$B$29,2,FALSE)*10000</f>
        <v>5.4945054945054945</v>
      </c>
      <c r="J13" s="102">
        <f t="shared" si="2"/>
        <v>0.53333333333333344</v>
      </c>
      <c r="K13" s="246">
        <f t="shared" si="6"/>
        <v>121221.60869565218</v>
      </c>
      <c r="L13" s="155">
        <f t="shared" si="6"/>
        <v>235000</v>
      </c>
      <c r="M13" s="102">
        <f t="shared" si="3"/>
        <v>-0.48416336725254394</v>
      </c>
      <c r="N13" s="97">
        <f>E13/VLOOKUP($A13,НаселГлавы!$A$1:$B$29,2,FALSE)</f>
        <v>102.12809523809524</v>
      </c>
      <c r="O13" s="98">
        <f>F13/VLOOKUP($A13,НаселГлавы!$A$1:$B$29,2,FALSE)</f>
        <v>129.12087912087912</v>
      </c>
      <c r="P13" s="102">
        <f t="shared" si="4"/>
        <v>-0.20905049645390064</v>
      </c>
      <c r="Q13" s="100">
        <f>VLOOKUP($A13,Grig1!$A$6:$P$58,8,FALSE)</f>
        <v>5</v>
      </c>
      <c r="R13" s="101">
        <f>VLOOKUP($A13,Grig1!$A$6:$P$58,9,FALSE)</f>
        <v>2</v>
      </c>
      <c r="S13" s="102">
        <f t="shared" si="5"/>
        <v>1.5</v>
      </c>
    </row>
    <row r="14" spans="1:19" ht="18.75" x14ac:dyDescent="0.2">
      <c r="A14" s="99" t="str">
        <f>Grig1!A$26</f>
        <v>Комсомольский</v>
      </c>
      <c r="B14" s="100">
        <f>VLOOKUP($A14,Grig1!$A$6:$P$58,2,FALSE)</f>
        <v>23</v>
      </c>
      <c r="C14" s="101">
        <f>VLOOKUP($A14,Grig1!$A$6:$P$58,3,FALSE)</f>
        <v>23</v>
      </c>
      <c r="D14" s="102">
        <f t="shared" si="0"/>
        <v>0</v>
      </c>
      <c r="E14" s="154">
        <f>VLOOKUP($A14,Grig1!$A$6:$P$58,5,FALSE)</f>
        <v>7835887</v>
      </c>
      <c r="F14" s="155">
        <f>VLOOKUP($A14,Grig1!$A$6:$P$58,6,FALSE)</f>
        <v>3491326</v>
      </c>
      <c r="G14" s="102">
        <f t="shared" si="1"/>
        <v>1.244387089604351</v>
      </c>
      <c r="H14" s="97">
        <f>B14/VLOOKUP($A14,НаселГлавы!$A$1:$B$29,2,FALSE)*10000</f>
        <v>8.2733812949640289</v>
      </c>
      <c r="I14" s="98">
        <f>C14/VLOOKUP($A14,НаселГлавы!$A$1:$B$29,2,FALSE)*10000</f>
        <v>8.2733812949640289</v>
      </c>
      <c r="J14" s="102">
        <f t="shared" si="2"/>
        <v>0</v>
      </c>
      <c r="K14" s="246">
        <f t="shared" si="6"/>
        <v>340690.73913043475</v>
      </c>
      <c r="L14" s="250" t="s">
        <v>225</v>
      </c>
      <c r="M14" s="244" t="s">
        <v>225</v>
      </c>
      <c r="N14" s="97">
        <f>E14/VLOOKUP($A14,НаселГлавы!$A$1:$B$29,2,FALSE)</f>
        <v>281.86643884892084</v>
      </c>
      <c r="O14" s="98">
        <f>F14/VLOOKUP($A14,НаселГлавы!$A$1:$B$29,2,FALSE)</f>
        <v>125.58726618705036</v>
      </c>
      <c r="P14" s="102">
        <f t="shared" si="4"/>
        <v>1.2443870896043507</v>
      </c>
      <c r="Q14" s="100">
        <f>VLOOKUP($A14,Grig1!$A$6:$P$58,8,FALSE)</f>
        <v>2</v>
      </c>
      <c r="R14" s="101">
        <f>VLOOKUP($A14,Grig1!$A$6:$P$58,9,FALSE)</f>
        <v>1</v>
      </c>
      <c r="S14" s="102">
        <f t="shared" si="5"/>
        <v>1</v>
      </c>
    </row>
    <row r="15" spans="1:19" ht="18.75" x14ac:dyDescent="0.2">
      <c r="A15" s="99" t="str">
        <f>Grig1!A$28</f>
        <v>Красноармейский</v>
      </c>
      <c r="B15" s="100">
        <f>VLOOKUP($A15,Grig1!$A$6:$P$58,2,FALSE)</f>
        <v>12</v>
      </c>
      <c r="C15" s="101">
        <f>VLOOKUP($A15,Grig1!$A$6:$P$58,3,FALSE)</f>
        <v>9</v>
      </c>
      <c r="D15" s="102">
        <f t="shared" si="0"/>
        <v>0.33333333333333343</v>
      </c>
      <c r="E15" s="154">
        <f>VLOOKUP($A15,Grig1!$A$6:$P$58,5,FALSE)</f>
        <v>1534000</v>
      </c>
      <c r="F15" s="155">
        <f>VLOOKUP($A15,Grig1!$A$6:$P$58,6,FALSE)</f>
        <v>834500</v>
      </c>
      <c r="G15" s="102">
        <f t="shared" si="1"/>
        <v>0.83822648292390656</v>
      </c>
      <c r="H15" s="97">
        <f>B15/VLOOKUP($A15,НаселГлавы!$A$1:$B$29,2,FALSE)*10000</f>
        <v>6.3829787234042552</v>
      </c>
      <c r="I15" s="98">
        <f>C15/VLOOKUP($A15,НаселГлавы!$A$1:$B$29,2,FALSE)*10000</f>
        <v>4.787234042553191</v>
      </c>
      <c r="J15" s="102">
        <f t="shared" si="2"/>
        <v>0.33333333333333343</v>
      </c>
      <c r="K15" s="246">
        <f t="shared" si="6"/>
        <v>127833.33333333333</v>
      </c>
      <c r="L15" s="250" t="s">
        <v>225</v>
      </c>
      <c r="M15" s="244" t="s">
        <v>225</v>
      </c>
      <c r="N15" s="97">
        <f>E15/VLOOKUP($A15,НаселГлавы!$A$1:$B$29,2,FALSE)</f>
        <v>81.59574468085107</v>
      </c>
      <c r="O15" s="98">
        <f>F15/VLOOKUP($A15,НаселГлавы!$A$1:$B$29,2,FALSE)</f>
        <v>44.388297872340424</v>
      </c>
      <c r="P15" s="102">
        <f t="shared" si="4"/>
        <v>0.83822648292390678</v>
      </c>
      <c r="Q15" s="100">
        <f>VLOOKUP($A15,Grig1!$A$6:$P$58,8,FALSE)</f>
        <v>0</v>
      </c>
      <c r="R15" s="101">
        <f>VLOOKUP($A15,Grig1!$A$6:$P$58,9,FALSE)</f>
        <v>0</v>
      </c>
      <c r="S15" s="102" t="str">
        <f t="shared" si="5"/>
        <v>--</v>
      </c>
    </row>
    <row r="16" spans="1:19" ht="18.75" x14ac:dyDescent="0.2">
      <c r="A16" s="99" t="str">
        <f>Grig1!A$30</f>
        <v>Красночетайский</v>
      </c>
      <c r="B16" s="100">
        <f>VLOOKUP($A16,Grig1!$A$6:$P$58,2,FALSE)</f>
        <v>15</v>
      </c>
      <c r="C16" s="101">
        <f>VLOOKUP($A16,Grig1!$A$6:$P$58,3,FALSE)</f>
        <v>22</v>
      </c>
      <c r="D16" s="102">
        <f t="shared" si="0"/>
        <v>-0.31818181818181812</v>
      </c>
      <c r="E16" s="154">
        <f>VLOOKUP($A16,Grig1!$A$6:$P$58,5,FALSE)</f>
        <v>531000</v>
      </c>
      <c r="F16" s="155">
        <f>VLOOKUP($A16,Grig1!$A$6:$P$58,6,FALSE)</f>
        <v>3270000</v>
      </c>
      <c r="G16" s="102">
        <f t="shared" si="1"/>
        <v>-0.83761467889908259</v>
      </c>
      <c r="H16" s="97">
        <f>B16/VLOOKUP($A16,НаселГлавы!$A$1:$B$29,2,FALSE)*10000</f>
        <v>6.437768240343348</v>
      </c>
      <c r="I16" s="98">
        <f>C16/VLOOKUP($A16,НаселГлавы!$A$1:$B$29,2,FALSE)*10000</f>
        <v>9.4420600858369106</v>
      </c>
      <c r="J16" s="102">
        <f t="shared" si="2"/>
        <v>-0.31818181818181812</v>
      </c>
      <c r="K16" s="246">
        <f t="shared" si="6"/>
        <v>35400</v>
      </c>
      <c r="L16" s="155">
        <f t="shared" si="6"/>
        <v>148636.36363636365</v>
      </c>
      <c r="M16" s="102">
        <f t="shared" si="3"/>
        <v>-0.76183486238532117</v>
      </c>
      <c r="N16" s="97">
        <f>E16/VLOOKUP($A16,НаселГлавы!$A$1:$B$29,2,FALSE)</f>
        <v>22.789699570815451</v>
      </c>
      <c r="O16" s="98">
        <f>F16/VLOOKUP($A16,НаселГлавы!$A$1:$B$29,2,FALSE)</f>
        <v>140.34334763948499</v>
      </c>
      <c r="P16" s="102">
        <f t="shared" si="4"/>
        <v>-0.83761467889908259</v>
      </c>
      <c r="Q16" s="100">
        <f>VLOOKUP($A16,Grig1!$A$6:$P$58,8,FALSE)</f>
        <v>1</v>
      </c>
      <c r="R16" s="101">
        <f>VLOOKUP($A16,Grig1!$A$6:$P$58,9,FALSE)</f>
        <v>2</v>
      </c>
      <c r="S16" s="102">
        <f t="shared" si="5"/>
        <v>-0.5</v>
      </c>
    </row>
    <row r="17" spans="1:19" ht="18.75" x14ac:dyDescent="0.2">
      <c r="A17" s="99" t="str">
        <f>Grig1!A$32</f>
        <v>Марпосадский</v>
      </c>
      <c r="B17" s="100">
        <f>VLOOKUP($A17,Grig1!$A$6:$P$58,2,FALSE)</f>
        <v>17</v>
      </c>
      <c r="C17" s="101">
        <f>VLOOKUP($A17,Grig1!$A$6:$P$58,3,FALSE)</f>
        <v>18</v>
      </c>
      <c r="D17" s="102">
        <f t="shared" si="0"/>
        <v>-5.5555555555555573E-2</v>
      </c>
      <c r="E17" s="154">
        <f>VLOOKUP($A17,Grig1!$A$6:$P$58,5,FALSE)</f>
        <v>2221000</v>
      </c>
      <c r="F17" s="155">
        <f>VLOOKUP($A17,Grig1!$A$6:$P$58,6,FALSE)</f>
        <v>2640000</v>
      </c>
      <c r="G17" s="102">
        <f t="shared" si="1"/>
        <v>-0.15871212121212125</v>
      </c>
      <c r="H17" s="97">
        <f>B17/VLOOKUP($A17,НаселГлавы!$A$1:$B$29,2,FALSE)*10000</f>
        <v>6.0283687943262407</v>
      </c>
      <c r="I17" s="98">
        <f>C17/VLOOKUP($A17,НаселГлавы!$A$1:$B$29,2,FALSE)*10000</f>
        <v>6.3829787234042552</v>
      </c>
      <c r="J17" s="102">
        <f t="shared" si="2"/>
        <v>-5.5555555555555573E-2</v>
      </c>
      <c r="K17" s="246">
        <f t="shared" si="6"/>
        <v>130647.05882352941</v>
      </c>
      <c r="L17" s="155">
        <f t="shared" si="6"/>
        <v>146666.66666666666</v>
      </c>
      <c r="M17" s="102">
        <f t="shared" si="3"/>
        <v>-0.10922459893048128</v>
      </c>
      <c r="N17" s="97">
        <f>E17/VLOOKUP($A17,НаселГлавы!$A$1:$B$29,2,FALSE)</f>
        <v>78.758865248226954</v>
      </c>
      <c r="O17" s="98">
        <f>F17/VLOOKUP($A17,НаселГлавы!$A$1:$B$29,2,FALSE)</f>
        <v>93.61702127659575</v>
      </c>
      <c r="P17" s="102">
        <f t="shared" si="4"/>
        <v>-0.15871212121212125</v>
      </c>
      <c r="Q17" s="100">
        <f>VLOOKUP($A17,Grig1!$A$6:$P$58,8,FALSE)</f>
        <v>4</v>
      </c>
      <c r="R17" s="101">
        <f>VLOOKUP($A17,Grig1!$A$6:$P$58,9,FALSE)</f>
        <v>2</v>
      </c>
      <c r="S17" s="102">
        <f t="shared" si="5"/>
        <v>1</v>
      </c>
    </row>
    <row r="18" spans="1:19" ht="18.75" x14ac:dyDescent="0.2">
      <c r="A18" s="99" t="str">
        <f>Grig1!A$34</f>
        <v>Моргаушский</v>
      </c>
      <c r="B18" s="100">
        <f>VLOOKUP($A18,Grig1!$A$6:$P$58,2,FALSE)</f>
        <v>33</v>
      </c>
      <c r="C18" s="101">
        <f>VLOOKUP($A18,Grig1!$A$6:$P$58,3,FALSE)</f>
        <v>34</v>
      </c>
      <c r="D18" s="102">
        <f t="shared" si="0"/>
        <v>-2.9411764705882318E-2</v>
      </c>
      <c r="E18" s="154">
        <f>VLOOKUP($A18,Grig1!$A$6:$P$58,5,FALSE)</f>
        <v>3552400</v>
      </c>
      <c r="F18" s="155">
        <f>VLOOKUP($A18,Grig1!$A$6:$P$58,6,FALSE)</f>
        <v>5243000</v>
      </c>
      <c r="G18" s="102">
        <f t="shared" si="1"/>
        <v>-0.32244897959183677</v>
      </c>
      <c r="H18" s="97">
        <f>B18/VLOOKUP($A18,НаселГлавы!$A$1:$B$29,2,FALSE)*10000</f>
        <v>8.7533156498673748</v>
      </c>
      <c r="I18" s="98">
        <f>C18/VLOOKUP($A18,НаселГлавы!$A$1:$B$29,2,FALSE)*10000</f>
        <v>9.0185676392572951</v>
      </c>
      <c r="J18" s="102">
        <f t="shared" si="2"/>
        <v>-2.9411764705882318E-2</v>
      </c>
      <c r="K18" s="246">
        <f t="shared" si="6"/>
        <v>107648.48484848485</v>
      </c>
      <c r="L18" s="250" t="s">
        <v>225</v>
      </c>
      <c r="M18" s="244" t="s">
        <v>225</v>
      </c>
      <c r="N18" s="97">
        <f>E18/VLOOKUP($A18,НаселГлавы!$A$1:$B$29,2,FALSE)</f>
        <v>94.228116710875327</v>
      </c>
      <c r="O18" s="98">
        <f>F18/VLOOKUP($A18,НаселГлавы!$A$1:$B$29,2,FALSE)</f>
        <v>139.07161803713527</v>
      </c>
      <c r="P18" s="102">
        <f t="shared" si="4"/>
        <v>-0.32244897959183677</v>
      </c>
      <c r="Q18" s="100">
        <f>VLOOKUP($A18,Grig1!$A$6:$P$58,8,FALSE)</f>
        <v>4</v>
      </c>
      <c r="R18" s="101">
        <f>VLOOKUP($A18,Grig1!$A$6:$P$58,9,FALSE)</f>
        <v>4</v>
      </c>
      <c r="S18" s="102">
        <f t="shared" si="5"/>
        <v>0</v>
      </c>
    </row>
    <row r="19" spans="1:19" ht="18.75" x14ac:dyDescent="0.2">
      <c r="A19" s="99" t="str">
        <f>Grig1!A$37</f>
        <v>г.Новочебоксарск</v>
      </c>
      <c r="B19" s="100">
        <f>VLOOKUP($A19,Grig1!$A$6:$P$58,2,FALSE)</f>
        <v>28</v>
      </c>
      <c r="C19" s="101">
        <f>VLOOKUP($A19,Grig1!$A$6:$P$58,3,FALSE)</f>
        <v>50</v>
      </c>
      <c r="D19" s="102">
        <f t="shared" si="0"/>
        <v>-0.44</v>
      </c>
      <c r="E19" s="154">
        <f>VLOOKUP($A19,Grig1!$A$6:$P$58,5,FALSE)</f>
        <v>4400546</v>
      </c>
      <c r="F19" s="155">
        <f>VLOOKUP($A19,Grig1!$A$6:$P$58,6,FALSE)</f>
        <v>4944595</v>
      </c>
      <c r="G19" s="102">
        <f t="shared" si="1"/>
        <v>-0.11002903170027067</v>
      </c>
      <c r="H19" s="97">
        <f>B19/VLOOKUP($A19,НаселГлавы!$A$1:$B$29,2,FALSE)*10000</f>
        <v>2.1926389976507439</v>
      </c>
      <c r="I19" s="98">
        <f>C19/VLOOKUP($A19,НаселГлавы!$A$1:$B$29,2,FALSE)*10000</f>
        <v>3.9154267815191854</v>
      </c>
      <c r="J19" s="102">
        <f t="shared" si="2"/>
        <v>-0.43999999999999995</v>
      </c>
      <c r="K19" s="246">
        <f t="shared" si="6"/>
        <v>157162.35714285713</v>
      </c>
      <c r="L19" s="155">
        <f t="shared" si="6"/>
        <v>98891.9</v>
      </c>
      <c r="M19" s="102">
        <f t="shared" si="3"/>
        <v>0.58923387196380217</v>
      </c>
      <c r="N19" s="97">
        <f>E19/VLOOKUP($A19,НаселГлавы!$A$1:$B$29,2,FALSE)</f>
        <v>34.460031323414249</v>
      </c>
      <c r="O19" s="98">
        <f>F19/VLOOKUP($A19,НаселГлавы!$A$1:$B$29,2,FALSE)</f>
        <v>38.720399373531713</v>
      </c>
      <c r="P19" s="102">
        <f t="shared" si="4"/>
        <v>-0.11002903170027067</v>
      </c>
      <c r="Q19" s="100">
        <f>VLOOKUP($A19,Grig1!$A$6:$P$58,8,FALSE)</f>
        <v>1</v>
      </c>
      <c r="R19" s="101">
        <f>VLOOKUP($A19,Grig1!$A$6:$P$58,9,FALSE)</f>
        <v>1</v>
      </c>
      <c r="S19" s="102">
        <f t="shared" si="5"/>
        <v>0</v>
      </c>
    </row>
    <row r="20" spans="1:19" ht="18.75" x14ac:dyDescent="0.2">
      <c r="A20" s="99" t="str">
        <f>Grig1!A$38</f>
        <v>Порецкий</v>
      </c>
      <c r="B20" s="100">
        <f>VLOOKUP($A20,Grig1!$A$6:$P$58,2,FALSE)</f>
        <v>13</v>
      </c>
      <c r="C20" s="101">
        <f>VLOOKUP($A20,Grig1!$A$6:$P$58,3,FALSE)</f>
        <v>14</v>
      </c>
      <c r="D20" s="102">
        <f t="shared" si="0"/>
        <v>-7.1428571428571383E-2</v>
      </c>
      <c r="E20" s="154">
        <f>VLOOKUP($A20,Grig1!$A$6:$P$58,5,FALSE)</f>
        <v>1065700</v>
      </c>
      <c r="F20" s="155">
        <f>VLOOKUP($A20,Grig1!$A$6:$P$58,6,FALSE)</f>
        <v>4295500</v>
      </c>
      <c r="G20" s="102">
        <f t="shared" si="1"/>
        <v>-0.75190315446397393</v>
      </c>
      <c r="H20" s="97">
        <f>B20/VLOOKUP($A20,НаселГлавы!$A$1:$B$29,2,FALSE)*10000</f>
        <v>6.8062827225130889</v>
      </c>
      <c r="I20" s="98">
        <f>C20/VLOOKUP($A20,НаселГлавы!$A$1:$B$29,2,FALSE)*10000</f>
        <v>7.3298429319371721</v>
      </c>
      <c r="J20" s="102">
        <f t="shared" si="2"/>
        <v>-7.1428571428571383E-2</v>
      </c>
      <c r="K20" s="246">
        <f t="shared" si="6"/>
        <v>81976.923076923078</v>
      </c>
      <c r="L20" s="155">
        <f t="shared" si="6"/>
        <v>306821.42857142858</v>
      </c>
      <c r="M20" s="102">
        <f t="shared" si="3"/>
        <v>-0.73281878173043336</v>
      </c>
      <c r="N20" s="97">
        <f>E20/VLOOKUP($A20,НаселГлавы!$A$1:$B$29,2,FALSE)</f>
        <v>55.795811518324605</v>
      </c>
      <c r="O20" s="98">
        <f>F20/VLOOKUP($A20,НаселГлавы!$A$1:$B$29,2,FALSE)</f>
        <v>224.89528795811518</v>
      </c>
      <c r="P20" s="102">
        <f t="shared" si="4"/>
        <v>-0.75190315446397393</v>
      </c>
      <c r="Q20" s="100">
        <f>VLOOKUP($A20,Grig1!$A$6:$P$58,8,FALSE)</f>
        <v>0</v>
      </c>
      <c r="R20" s="101">
        <f>VLOOKUP($A20,Grig1!$A$6:$P$58,9,FALSE)</f>
        <v>1</v>
      </c>
      <c r="S20" s="102">
        <f t="shared" si="5"/>
        <v>-1</v>
      </c>
    </row>
    <row r="21" spans="1:19" ht="18.75" x14ac:dyDescent="0.2">
      <c r="A21" s="99" t="str">
        <f>Grig1!A$40</f>
        <v>Урмарский</v>
      </c>
      <c r="B21" s="100">
        <f>VLOOKUP($A21,Grig1!$A$6:$P$58,2,FALSE)</f>
        <v>20</v>
      </c>
      <c r="C21" s="101">
        <f>VLOOKUP($A21,Grig1!$A$6:$P$58,3,FALSE)</f>
        <v>24</v>
      </c>
      <c r="D21" s="102">
        <f t="shared" si="0"/>
        <v>-0.16666666666666671</v>
      </c>
      <c r="E21" s="154">
        <f>VLOOKUP($A21,Grig1!$A$6:$P$58,5,FALSE)</f>
        <v>2736242</v>
      </c>
      <c r="F21" s="155">
        <f>VLOOKUP($A21,Grig1!$A$6:$P$58,6,FALSE)</f>
        <v>4055000</v>
      </c>
      <c r="G21" s="102">
        <f t="shared" si="1"/>
        <v>-0.32521775585696672</v>
      </c>
      <c r="H21" s="97">
        <f>B21/VLOOKUP($A21,НаселГлавы!$A$1:$B$29,2,FALSE)*10000</f>
        <v>6.8728522336769764</v>
      </c>
      <c r="I21" s="98">
        <f>C21/VLOOKUP($A21,НаселГлавы!$A$1:$B$29,2,FALSE)*10000</f>
        <v>8.247422680412372</v>
      </c>
      <c r="J21" s="102">
        <f t="shared" si="2"/>
        <v>-0.16666666666666671</v>
      </c>
      <c r="K21" s="246">
        <f t="shared" si="6"/>
        <v>136812.1</v>
      </c>
      <c r="L21" s="155">
        <f t="shared" si="6"/>
        <v>168958.33333333334</v>
      </c>
      <c r="M21" s="102">
        <f t="shared" si="3"/>
        <v>-0.19026130702836014</v>
      </c>
      <c r="N21" s="97">
        <f>E21/VLOOKUP($A21,НаселГлавы!$A$1:$B$29,2,FALSE)</f>
        <v>94.028934707903787</v>
      </c>
      <c r="O21" s="98">
        <f>F21/VLOOKUP($A21,НаселГлавы!$A$1:$B$29,2,FALSE)</f>
        <v>139.34707903780068</v>
      </c>
      <c r="P21" s="102">
        <f t="shared" si="4"/>
        <v>-0.32521775585696661</v>
      </c>
      <c r="Q21" s="100">
        <f>VLOOKUP($A21,Grig1!$A$6:$P$58,8,FALSE)</f>
        <v>1</v>
      </c>
      <c r="R21" s="101">
        <f>VLOOKUP($A21,Grig1!$A$6:$P$58,9,FALSE)</f>
        <v>3</v>
      </c>
      <c r="S21" s="102">
        <f t="shared" si="5"/>
        <v>-0.66666666666666652</v>
      </c>
    </row>
    <row r="22" spans="1:19" ht="18.75" x14ac:dyDescent="0.2">
      <c r="A22" s="99" t="str">
        <f>Grig1!A$42</f>
        <v>Цивильский</v>
      </c>
      <c r="B22" s="100">
        <f>VLOOKUP($A22,Grig1!$A$6:$P$58,2,FALSE)</f>
        <v>39</v>
      </c>
      <c r="C22" s="101">
        <f>VLOOKUP($A22,Grig1!$A$6:$P$58,3,FALSE)</f>
        <v>27</v>
      </c>
      <c r="D22" s="102">
        <f t="shared" si="0"/>
        <v>0.44444444444444459</v>
      </c>
      <c r="E22" s="154">
        <f>VLOOKUP($A22,Grig1!$A$6:$P$58,5,FALSE)</f>
        <v>4217000</v>
      </c>
      <c r="F22" s="155">
        <f>VLOOKUP($A22,Grig1!$A$6:$P$58,6,FALSE)</f>
        <v>4650100</v>
      </c>
      <c r="G22" s="102">
        <f t="shared" si="1"/>
        <v>-9.3137781983183177E-2</v>
      </c>
      <c r="H22" s="97">
        <f>B22/VLOOKUP($A22,НаселГлавы!$A$1:$B$29,2,FALSE)*10000</f>
        <v>10.483870967741934</v>
      </c>
      <c r="I22" s="98">
        <f>C22/VLOOKUP($A22,НаселГлавы!$A$1:$B$29,2,FALSE)*10000</f>
        <v>7.2580645161290329</v>
      </c>
      <c r="J22" s="102">
        <f t="shared" si="2"/>
        <v>0.44444444444444398</v>
      </c>
      <c r="K22" s="246">
        <f t="shared" si="6"/>
        <v>108128.20512820513</v>
      </c>
      <c r="L22" s="155">
        <f t="shared" si="6"/>
        <v>172225.92592592593</v>
      </c>
      <c r="M22" s="102">
        <f t="shared" si="3"/>
        <v>-0.37217231060374223</v>
      </c>
      <c r="N22" s="97">
        <f>E22/VLOOKUP($A22,НаселГлавы!$A$1:$B$29,2,FALSE)</f>
        <v>113.36021505376344</v>
      </c>
      <c r="O22" s="98">
        <f>F22/VLOOKUP($A22,НаселГлавы!$A$1:$B$29,2,FALSE)</f>
        <v>125.00268817204301</v>
      </c>
      <c r="P22" s="102">
        <f t="shared" si="4"/>
        <v>-9.3137781983183177E-2</v>
      </c>
      <c r="Q22" s="100">
        <f>VLOOKUP($A22,Grig1!$A$6:$P$58,8,FALSE)</f>
        <v>1</v>
      </c>
      <c r="R22" s="101">
        <f>VLOOKUP($A22,Grig1!$A$6:$P$58,9,FALSE)</f>
        <v>2</v>
      </c>
      <c r="S22" s="102">
        <f t="shared" si="5"/>
        <v>-0.5</v>
      </c>
    </row>
    <row r="23" spans="1:19" ht="18.75" x14ac:dyDescent="0.2">
      <c r="A23" s="99" t="str">
        <f>Grig1!A$44</f>
        <v>Чебоксарский</v>
      </c>
      <c r="B23" s="100">
        <f>VLOOKUP($A23,Grig1!$A$6:$P$58,2,FALSE)</f>
        <v>57</v>
      </c>
      <c r="C23" s="101">
        <f>VLOOKUP($A23,Grig1!$A$6:$P$58,3,FALSE)</f>
        <v>55</v>
      </c>
      <c r="D23" s="102">
        <f t="shared" si="0"/>
        <v>3.6363636363636404E-2</v>
      </c>
      <c r="E23" s="154">
        <f>VLOOKUP($A23,Grig1!$A$6:$P$58,5,FALSE)</f>
        <v>14510418</v>
      </c>
      <c r="F23" s="155">
        <f>VLOOKUP($A23,Grig1!$A$6:$P$58,6,FALSE)</f>
        <v>7905161</v>
      </c>
      <c r="G23" s="102">
        <f t="shared" si="1"/>
        <v>0.83556261535976317</v>
      </c>
      <c r="H23" s="97">
        <f>B23/VLOOKUP($A23,НаселГлавы!$A$1:$B$29,2,FALSE)*10000</f>
        <v>9.8445595854922274</v>
      </c>
      <c r="I23" s="98">
        <f>C23/VLOOKUP($A23,НаселГлавы!$A$1:$B$29,2,FALSE)*10000</f>
        <v>9.4991364421416229</v>
      </c>
      <c r="J23" s="102">
        <f t="shared" si="2"/>
        <v>3.6363636363636404E-2</v>
      </c>
      <c r="K23" s="246">
        <f t="shared" si="6"/>
        <v>254568.73684210525</v>
      </c>
      <c r="L23" s="155">
        <f t="shared" si="6"/>
        <v>143730.20000000001</v>
      </c>
      <c r="M23" s="102">
        <f t="shared" si="3"/>
        <v>0.7711569095576658</v>
      </c>
      <c r="N23" s="97">
        <f>E23/VLOOKUP($A23,НаселГлавы!$A$1:$B$29,2,FALSE)</f>
        <v>250.61170984455958</v>
      </c>
      <c r="O23" s="98">
        <f>F23/VLOOKUP($A23,НаселГлавы!$A$1:$B$29,2,FALSE)</f>
        <v>136.5312780656304</v>
      </c>
      <c r="P23" s="102">
        <f t="shared" si="4"/>
        <v>0.83556261535976295</v>
      </c>
      <c r="Q23" s="100">
        <f>VLOOKUP($A23,Grig1!$A$6:$P$58,8,FALSE)</f>
        <v>6</v>
      </c>
      <c r="R23" s="101">
        <f>VLOOKUP($A23,Grig1!$A$6:$P$58,9,FALSE)</f>
        <v>3</v>
      </c>
      <c r="S23" s="102">
        <f t="shared" si="5"/>
        <v>1</v>
      </c>
    </row>
    <row r="24" spans="1:19" ht="18.75" x14ac:dyDescent="0.2">
      <c r="A24" s="99" t="str">
        <f>Grig1!A$46</f>
        <v>Шемуршинский</v>
      </c>
      <c r="B24" s="100">
        <f>VLOOKUP($A24,Grig1!$A$6:$P$58,2,FALSE)</f>
        <v>9</v>
      </c>
      <c r="C24" s="101">
        <f>VLOOKUP($A24,Grig1!$A$6:$P$58,3,FALSE)</f>
        <v>16</v>
      </c>
      <c r="D24" s="102">
        <f t="shared" si="0"/>
        <v>-0.4375</v>
      </c>
      <c r="E24" s="154">
        <f>VLOOKUP($A24,Grig1!$A$6:$P$58,5,FALSE)</f>
        <v>906000</v>
      </c>
      <c r="F24" s="155">
        <f>VLOOKUP($A24,Grig1!$A$6:$P$58,6,FALSE)</f>
        <v>2231136</v>
      </c>
      <c r="G24" s="102">
        <f t="shared" si="1"/>
        <v>-0.5939288326664085</v>
      </c>
      <c r="H24" s="97">
        <f>B24/VLOOKUP($A24,НаселГлавы!$A$1:$B$29,2,FALSE)*10000</f>
        <v>5.2023121387283231</v>
      </c>
      <c r="I24" s="98">
        <f>C24/VLOOKUP($A24,НаселГлавы!$A$1:$B$29,2,FALSE)*10000</f>
        <v>9.2485549132947966</v>
      </c>
      <c r="J24" s="102">
        <f t="shared" si="2"/>
        <v>-0.4375</v>
      </c>
      <c r="K24" s="246">
        <f t="shared" si="6"/>
        <v>100666.66666666667</v>
      </c>
      <c r="L24" s="155">
        <f t="shared" si="6"/>
        <v>139446</v>
      </c>
      <c r="M24" s="102">
        <f t="shared" si="3"/>
        <v>-0.27809570251805948</v>
      </c>
      <c r="N24" s="97">
        <f>E24/VLOOKUP($A24,НаселГлавы!$A$1:$B$29,2,FALSE)</f>
        <v>52.369942196531795</v>
      </c>
      <c r="O24" s="98">
        <f>F24/VLOOKUP($A24,НаселГлавы!$A$1:$B$29,2,FALSE)</f>
        <v>128.96739884393062</v>
      </c>
      <c r="P24" s="102">
        <f t="shared" si="4"/>
        <v>-0.59392883266640839</v>
      </c>
      <c r="Q24" s="100">
        <f>VLOOKUP($A24,Grig1!$A$6:$P$58,8,FALSE)</f>
        <v>1</v>
      </c>
      <c r="R24" s="101">
        <f>VLOOKUP($A24,Grig1!$A$6:$P$58,9,FALSE)</f>
        <v>2</v>
      </c>
      <c r="S24" s="102">
        <f t="shared" si="5"/>
        <v>-0.5</v>
      </c>
    </row>
    <row r="25" spans="1:19" ht="18.75" x14ac:dyDescent="0.2">
      <c r="A25" s="99" t="str">
        <f>Grig1!A$48</f>
        <v>Шумерлинский</v>
      </c>
      <c r="B25" s="100">
        <f>VLOOKUP($A25,Grig1!$A$6:$P$58,2,FALSE)-VLOOKUP($A26,Grig1!$A$6:$P$58,2,FALSE)</f>
        <v>-8</v>
      </c>
      <c r="C25" s="101">
        <f>VLOOKUP($A25,Grig1!$A$6:$P$58,3,FALSE)-VLOOKUP($A26,Grig1!$A$6:$P$58,3,FALSE)</f>
        <v>-5</v>
      </c>
      <c r="D25" s="102">
        <f t="shared" si="0"/>
        <v>0.6</v>
      </c>
      <c r="E25" s="154">
        <f>VLOOKUP($A25,Grig1!$A$6:$P$58,5,FALSE)-VLOOKUP($A26,Grig1!$A$6:$P$58,5,FALSE)</f>
        <v>-2400750</v>
      </c>
      <c r="F25" s="155">
        <f>VLOOKUP($A25,Grig1!$A$6:$P$58,6,FALSE)-VLOOKUP($A26,Grig1!$A$6:$P$58,6,FALSE)</f>
        <v>-432500</v>
      </c>
      <c r="G25" s="102">
        <f t="shared" si="1"/>
        <v>4.5508670520231211</v>
      </c>
      <c r="H25" s="97">
        <f>B25/VLOOKUP($A25,НаселГлавы!$A$1:$B$29,2,FALSE)*10000</f>
        <v>-3.755868544600939</v>
      </c>
      <c r="I25" s="98">
        <f>C25/VLOOKUP($A25,НаселГлавы!$A$1:$B$29,2,FALSE)*10000</f>
        <v>-2.347417840375587</v>
      </c>
      <c r="J25" s="102">
        <f t="shared" si="2"/>
        <v>0.6</v>
      </c>
      <c r="K25" s="246">
        <f t="shared" si="6"/>
        <v>300093.75</v>
      </c>
      <c r="L25" s="155">
        <f t="shared" si="6"/>
        <v>86500</v>
      </c>
      <c r="M25" s="102">
        <f t="shared" si="3"/>
        <v>2.4692919075144513</v>
      </c>
      <c r="N25" s="97">
        <f>E25/VLOOKUP($A25,НаселГлавы!$A$1:$B$29,2,FALSE)</f>
        <v>-112.71126760563381</v>
      </c>
      <c r="O25" s="98">
        <f>F25/VLOOKUP($A25,НаселГлавы!$A$1:$B$29,2,FALSE)</f>
        <v>-20.305164319248828</v>
      </c>
      <c r="P25" s="102">
        <f t="shared" si="4"/>
        <v>4.5508670520231211</v>
      </c>
      <c r="Q25" s="100">
        <f>VLOOKUP($A25,Grig1!$A$6:$P$58,8,FALSE)-Q26</f>
        <v>-2</v>
      </c>
      <c r="R25" s="101">
        <f>VLOOKUP($A25,Grig1!$A$6:$P$58,9,FALSE)-R26</f>
        <v>3</v>
      </c>
      <c r="S25" s="102">
        <f t="shared" si="5"/>
        <v>-1.666666666666667</v>
      </c>
    </row>
    <row r="26" spans="1:19" ht="18.75" x14ac:dyDescent="0.2">
      <c r="A26" s="99" t="s">
        <v>200</v>
      </c>
      <c r="B26" s="100">
        <f>VLOOKUP($A26,Grig1!$A$6:$P$58,2,FALSE)</f>
        <v>24</v>
      </c>
      <c r="C26" s="229">
        <f>VLOOKUP($A26,Grig1!$A$6:$P$58,3,FALSE)</f>
        <v>19</v>
      </c>
      <c r="D26" s="102">
        <f t="shared" si="0"/>
        <v>0.26315789473684204</v>
      </c>
      <c r="E26" s="154">
        <f>VLOOKUP($A26,Grig1!$A$6:$P$58,5,FALSE)</f>
        <v>4400750</v>
      </c>
      <c r="F26" s="155">
        <f>VLOOKUP($A26,Grig1!$A$6:$P$58,6,FALSE)</f>
        <v>2467000</v>
      </c>
      <c r="G26" s="102">
        <f t="shared" si="1"/>
        <v>0.78384677746250508</v>
      </c>
      <c r="H26" s="97">
        <f>B26/VLOOKUP($A26,НаселГлавы!$A$1:$B$29,2,FALSE)*10000</f>
        <v>7.1856287425149699</v>
      </c>
      <c r="I26" s="98">
        <f>C26/VLOOKUP($A26,НаселГлавы!$A$1:$B$29,2,FALSE)*10000</f>
        <v>5.6886227544910186</v>
      </c>
      <c r="J26" s="96">
        <f t="shared" si="2"/>
        <v>0.26315789473684192</v>
      </c>
      <c r="K26" s="246">
        <f t="shared" si="6"/>
        <v>183364.58333333334</v>
      </c>
      <c r="L26" s="155">
        <f t="shared" si="6"/>
        <v>129842.10526315789</v>
      </c>
      <c r="M26" s="102">
        <f t="shared" si="3"/>
        <v>0.41221203215781688</v>
      </c>
      <c r="N26" s="97">
        <f>E26/VLOOKUP($A26,НаселГлавы!$A$1:$B$29,2,FALSE)</f>
        <v>131.75898203592814</v>
      </c>
      <c r="O26" s="98">
        <f>F26/VLOOKUP($A26,НаселГлавы!$A$1:$B$29,2,FALSE)</f>
        <v>73.862275449101801</v>
      </c>
      <c r="P26" s="96">
        <f t="shared" si="4"/>
        <v>0.78384677746250508</v>
      </c>
      <c r="Q26" s="100">
        <f>VLOOKUP($A26,Grig1!$A$6:$P$58,8,FALSE)</f>
        <v>2</v>
      </c>
      <c r="R26" s="101">
        <f>VLOOKUP($A26,Grig1!$A$6:$P$58,9,FALSE)</f>
        <v>0</v>
      </c>
      <c r="S26" s="102" t="str">
        <f t="shared" si="5"/>
        <v>--</v>
      </c>
    </row>
    <row r="27" spans="1:19" ht="18.75" x14ac:dyDescent="0.2">
      <c r="A27" s="99" t="str">
        <f>Grig1!A$50</f>
        <v>Ядринский</v>
      </c>
      <c r="B27" s="100">
        <f>VLOOKUP($A27,Grig1!$A$6:$P$58,2,FALSE)</f>
        <v>29</v>
      </c>
      <c r="C27" s="101">
        <f>VLOOKUP($A27,Grig1!$A$6:$P$58,3,FALSE)</f>
        <v>25</v>
      </c>
      <c r="D27" s="102">
        <f t="shared" si="0"/>
        <v>0.16</v>
      </c>
      <c r="E27" s="154">
        <f>VLOOKUP($A27,Grig1!$A$6:$P$58,5,FALSE)</f>
        <v>6138347</v>
      </c>
      <c r="F27" s="155">
        <f>VLOOKUP($A27,Grig1!$A$6:$P$58,6,FALSE)</f>
        <v>3005000</v>
      </c>
      <c r="G27" s="102">
        <f t="shared" si="1"/>
        <v>1.0427111480865223</v>
      </c>
      <c r="H27" s="97">
        <f>B27/VLOOKUP($A27,НаселГлавы!$A$1:$B$29,2,FALSE)*10000</f>
        <v>7.9889807162534439</v>
      </c>
      <c r="I27" s="98">
        <f>C27/VLOOKUP($A27,НаселГлавы!$A$1:$B$29,2,FALSE)*10000</f>
        <v>6.887052341597796</v>
      </c>
      <c r="J27" s="102">
        <f t="shared" si="2"/>
        <v>0.16000000000000014</v>
      </c>
      <c r="K27" s="246">
        <f t="shared" si="6"/>
        <v>211667.13793103449</v>
      </c>
      <c r="L27" s="155">
        <f t="shared" si="6"/>
        <v>120200</v>
      </c>
      <c r="M27" s="102">
        <f t="shared" si="3"/>
        <v>0.76095788628148486</v>
      </c>
      <c r="N27" s="97">
        <f>E27/VLOOKUP($A27,НаселГлавы!$A$1:$B$29,2,FALSE)</f>
        <v>169.10046831955924</v>
      </c>
      <c r="O27" s="98">
        <f>F27/VLOOKUP($A27,НаселГлавы!$A$1:$B$29,2,FALSE)</f>
        <v>82.782369146005507</v>
      </c>
      <c r="P27" s="102">
        <f t="shared" si="4"/>
        <v>1.0427111480865223</v>
      </c>
      <c r="Q27" s="100">
        <f>VLOOKUP($A27,Grig1!$A$6:$P$58,8,FALSE)</f>
        <v>1</v>
      </c>
      <c r="R27" s="101">
        <f>VLOOKUP($A27,Grig1!$A$6:$P$58,9,FALSE)</f>
        <v>4</v>
      </c>
      <c r="S27" s="102">
        <f t="shared" si="5"/>
        <v>-0.75</v>
      </c>
    </row>
    <row r="28" spans="1:19" ht="18.75" x14ac:dyDescent="0.2">
      <c r="A28" s="99" t="str">
        <f>Grig1!A$52</f>
        <v>Яльчикский</v>
      </c>
      <c r="B28" s="100">
        <f>VLOOKUP($A28,Grig1!$A$6:$P$58,2,FALSE)</f>
        <v>14</v>
      </c>
      <c r="C28" s="101">
        <f>VLOOKUP($A28,Grig1!$A$6:$P$58,3,FALSE)</f>
        <v>15</v>
      </c>
      <c r="D28" s="102">
        <f t="shared" si="0"/>
        <v>-6.6666666666666707E-2</v>
      </c>
      <c r="E28" s="154">
        <f>VLOOKUP($A28,Grig1!$A$6:$P$58,5,FALSE)</f>
        <v>784000</v>
      </c>
      <c r="F28" s="155">
        <f>VLOOKUP($A28,Grig1!$A$6:$P$58,6,FALSE)</f>
        <v>1374528</v>
      </c>
      <c r="G28" s="102">
        <f t="shared" si="1"/>
        <v>-0.42962238673930253</v>
      </c>
      <c r="H28" s="97">
        <f>B28/VLOOKUP($A28,НаселГлавы!$A$1:$B$29,2,FALSE)*10000</f>
        <v>5.3030303030303036</v>
      </c>
      <c r="I28" s="98">
        <f>C28/VLOOKUP($A28,НаселГлавы!$A$1:$B$29,2,FALSE)*10000</f>
        <v>5.6818181818181817</v>
      </c>
      <c r="J28" s="102">
        <f t="shared" si="2"/>
        <v>-6.6666666666666569E-2</v>
      </c>
      <c r="K28" s="246">
        <f t="shared" si="6"/>
        <v>56000</v>
      </c>
      <c r="L28" s="250" t="s">
        <v>225</v>
      </c>
      <c r="M28" s="244" t="s">
        <v>225</v>
      </c>
      <c r="N28" s="97">
        <f>E28/VLOOKUP($A28,НаселГлавы!$A$1:$B$29,2,FALSE)</f>
        <v>29.696969696969695</v>
      </c>
      <c r="O28" s="98">
        <f>F28/VLOOKUP($A28,НаселГлавы!$A$1:$B$29,2,FALSE)</f>
        <v>52.065454545454543</v>
      </c>
      <c r="P28" s="102">
        <f t="shared" si="4"/>
        <v>-0.42962238673930253</v>
      </c>
      <c r="Q28" s="100">
        <f>VLOOKUP($A28,Grig1!$A$6:$P$58,8,FALSE)</f>
        <v>2</v>
      </c>
      <c r="R28" s="101">
        <f>VLOOKUP($A28,Grig1!$A$6:$P$58,9,FALSE)</f>
        <v>5</v>
      </c>
      <c r="S28" s="102">
        <f t="shared" si="5"/>
        <v>-0.6</v>
      </c>
    </row>
    <row r="29" spans="1:19" ht="18.75" x14ac:dyDescent="0.2">
      <c r="A29" s="99" t="str">
        <f>Grig1!A$54</f>
        <v>Янтиковский</v>
      </c>
      <c r="B29" s="100">
        <f>VLOOKUP($A29,Grig1!$A$6:$P$58,2,FALSE)</f>
        <v>8</v>
      </c>
      <c r="C29" s="101">
        <f>VLOOKUP($A29,Grig1!$A$6:$P$58,3,FALSE)</f>
        <v>11</v>
      </c>
      <c r="D29" s="102">
        <f t="shared" si="0"/>
        <v>-0.27272727272727265</v>
      </c>
      <c r="E29" s="154">
        <f>VLOOKUP($A29,Grig1!$A$6:$P$58,5,FALSE)</f>
        <v>938800</v>
      </c>
      <c r="F29" s="155">
        <f>VLOOKUP($A29,Grig1!$A$6:$P$58,6,FALSE)</f>
        <v>5335325</v>
      </c>
      <c r="G29" s="102">
        <f t="shared" si="1"/>
        <v>-0.82404070979743493</v>
      </c>
      <c r="H29" s="97">
        <f>B29/VLOOKUP($A29,НаселГлавы!$A$1:$B$29,2,FALSE)*10000</f>
        <v>4.123711340206186</v>
      </c>
      <c r="I29" s="98">
        <f>C29/VLOOKUP($A29,НаселГлавы!$A$1:$B$29,2,FALSE)*10000</f>
        <v>5.6701030927835046</v>
      </c>
      <c r="J29" s="102">
        <f t="shared" si="2"/>
        <v>-0.27272727272727254</v>
      </c>
      <c r="K29" s="246">
        <f t="shared" si="6"/>
        <v>117350</v>
      </c>
      <c r="L29" s="155">
        <f t="shared" si="6"/>
        <v>485029.54545454547</v>
      </c>
      <c r="M29" s="102">
        <f t="shared" si="3"/>
        <v>-0.75805597597147312</v>
      </c>
      <c r="N29" s="97">
        <f>E29/VLOOKUP($A29,НаселГлавы!$A$1:$B$29,2,FALSE)</f>
        <v>48.391752577319586</v>
      </c>
      <c r="O29" s="98">
        <f>F29/VLOOKUP($A29,НаселГлавы!$A$1:$B$29,2,FALSE)</f>
        <v>275.01675257731961</v>
      </c>
      <c r="P29" s="102">
        <f t="shared" si="4"/>
        <v>-0.82404070979743504</v>
      </c>
      <c r="Q29" s="100">
        <f>VLOOKUP($A29,Grig1!$A$6:$P$58,8,FALSE)</f>
        <v>3</v>
      </c>
      <c r="R29" s="101">
        <f>VLOOKUP($A29,Grig1!$A$6:$P$58,9,FALSE)</f>
        <v>1</v>
      </c>
      <c r="S29" s="102">
        <f t="shared" si="5"/>
        <v>2</v>
      </c>
    </row>
    <row r="30" spans="1:19" ht="18.75" x14ac:dyDescent="0.2">
      <c r="A30" s="99" t="str">
        <f>Grig1!A$7</f>
        <v>Ленинский</v>
      </c>
      <c r="B30" s="100">
        <f>VLOOKUP($A30,Grig1!$A$6:$P$58,2,FALSE)</f>
        <v>46</v>
      </c>
      <c r="C30" s="101">
        <f>VLOOKUP($A30,Grig1!$A$6:$P$58,3,FALSE)</f>
        <v>42</v>
      </c>
      <c r="D30" s="102">
        <f t="shared" si="0"/>
        <v>9.5238095238095177E-2</v>
      </c>
      <c r="E30" s="154">
        <f>VLOOKUP($A30,Grig1!$A$6:$P$58,5,FALSE)</f>
        <v>4673581</v>
      </c>
      <c r="F30" s="155">
        <f>VLOOKUP($A30,Grig1!$A$6:$P$58,6,FALSE)</f>
        <v>6700000</v>
      </c>
      <c r="G30" s="102">
        <f t="shared" si="1"/>
        <v>-0.30245059701492538</v>
      </c>
      <c r="H30" s="97">
        <f>B30/VLOOKUP($A30,НаселГлавы!$A$1:$B$29,2,FALSE)*10000</f>
        <v>3.5658914728682172</v>
      </c>
      <c r="I30" s="98">
        <f>C30/VLOOKUP($A30,НаселГлавы!$A$1:$B$29,2,FALSE)*10000</f>
        <v>3.2558139534883721</v>
      </c>
      <c r="J30" s="102">
        <f t="shared" si="2"/>
        <v>9.523809523809533E-2</v>
      </c>
      <c r="K30" s="246">
        <f t="shared" si="6"/>
        <v>101599.58695652174</v>
      </c>
      <c r="L30" s="155">
        <f t="shared" si="6"/>
        <v>159523.80952380953</v>
      </c>
      <c r="M30" s="102">
        <f t="shared" si="3"/>
        <v>-0.36310706683971444</v>
      </c>
      <c r="N30" s="97">
        <f>E30/VLOOKUP($A30,НаселГлавы!$A$1:$B$29,2,FALSE)</f>
        <v>36.229310077519379</v>
      </c>
      <c r="O30" s="98">
        <f>F30/VLOOKUP($A30,НаселГлавы!$A$1:$B$29,2,FALSE)</f>
        <v>51.937984496124031</v>
      </c>
      <c r="P30" s="102">
        <f t="shared" si="4"/>
        <v>-0.30245059701492538</v>
      </c>
      <c r="Q30" s="100">
        <f>VLOOKUP($A30,Grig1!$A$6:$P$58,8,FALSE)</f>
        <v>5</v>
      </c>
      <c r="R30" s="101">
        <f>VLOOKUP($A30,Grig1!$A$6:$P$58,9,FALSE)</f>
        <v>0</v>
      </c>
      <c r="S30" s="102" t="str">
        <f t="shared" si="5"/>
        <v>--</v>
      </c>
    </row>
    <row r="31" spans="1:19" ht="18.75" x14ac:dyDescent="0.2">
      <c r="A31" s="99" t="str">
        <f>Grig1!A$8</f>
        <v>Московский</v>
      </c>
      <c r="B31" s="100">
        <f>VLOOKUP($A31,Grig1!$A$6:$P$58,2,FALSE)</f>
        <v>56</v>
      </c>
      <c r="C31" s="101">
        <f>VLOOKUP($A31,Grig1!$A$6:$P$58,3,FALSE)</f>
        <v>58</v>
      </c>
      <c r="D31" s="102">
        <f t="shared" si="0"/>
        <v>-3.4482758620689682E-2</v>
      </c>
      <c r="E31" s="154">
        <f>VLOOKUP($A31,Grig1!$A$6:$P$58,5,FALSE)</f>
        <v>6042000</v>
      </c>
      <c r="F31" s="155">
        <f>VLOOKUP($A31,Grig1!$A$6:$P$58,6,FALSE)</f>
        <v>5873500</v>
      </c>
      <c r="G31" s="102">
        <f t="shared" si="1"/>
        <v>2.8688175704435111E-2</v>
      </c>
      <c r="H31" s="97">
        <f>B31/VLOOKUP($A31,НаселГлавы!$A$1:$B$29,2,FALSE)*10000</f>
        <v>3.4674922600619191</v>
      </c>
      <c r="I31" s="98">
        <f>C31/VLOOKUP($A31,НаселГлавы!$A$1:$B$29,2,FALSE)*10000</f>
        <v>3.5913312693498454</v>
      </c>
      <c r="J31" s="102">
        <f t="shared" si="2"/>
        <v>-3.4482758620689821E-2</v>
      </c>
      <c r="K31" s="246">
        <f t="shared" si="6"/>
        <v>107892.85714285714</v>
      </c>
      <c r="L31" s="155">
        <f t="shared" si="6"/>
        <v>101267.24137931035</v>
      </c>
      <c r="M31" s="102">
        <f t="shared" si="3"/>
        <v>6.5427039122450736E-2</v>
      </c>
      <c r="N31" s="97">
        <f>E31/VLOOKUP($A31,НаселГлавы!$A$1:$B$29,2,FALSE)</f>
        <v>37.411764705882355</v>
      </c>
      <c r="O31" s="98">
        <f>F31/VLOOKUP($A31,НаселГлавы!$A$1:$B$29,2,FALSE)</f>
        <v>36.368421052631582</v>
      </c>
      <c r="P31" s="102">
        <f t="shared" si="4"/>
        <v>2.8688175704435111E-2</v>
      </c>
      <c r="Q31" s="100">
        <f>VLOOKUP($A31,Grig1!$A$6:$P$58,8,FALSE)</f>
        <v>3</v>
      </c>
      <c r="R31" s="101">
        <f>VLOOKUP($A31,Grig1!$A$6:$P$58,9,FALSE)</f>
        <v>2</v>
      </c>
      <c r="S31" s="102">
        <f t="shared" si="5"/>
        <v>0.5</v>
      </c>
    </row>
    <row r="32" spans="1:19" ht="19.5" thickBot="1" x14ac:dyDescent="0.25">
      <c r="A32" s="105" t="str">
        <f>Grig1!A$9</f>
        <v>Калининский</v>
      </c>
      <c r="B32" s="106">
        <f>VLOOKUP($A32,Grig1!$A$6:$P$58,2,FALSE)</f>
        <v>51</v>
      </c>
      <c r="C32" s="107">
        <f>VLOOKUP($A32,Grig1!$A$6:$P$58,3,FALSE)</f>
        <v>62</v>
      </c>
      <c r="D32" s="108">
        <f t="shared" si="0"/>
        <v>-0.1774193548387096</v>
      </c>
      <c r="E32" s="156">
        <f>VLOOKUP($A32,Grig1!$A$6:$P$58,5,FALSE)</f>
        <v>5700892</v>
      </c>
      <c r="F32" s="157">
        <f>VLOOKUP($A32,Grig1!$A$6:$P$58,6,FALSE)</f>
        <v>9449912</v>
      </c>
      <c r="G32" s="108">
        <f t="shared" si="1"/>
        <v>-0.39672538749567193</v>
      </c>
      <c r="H32" s="230">
        <f>B32/VLOOKUP($A32,НаселГлавы!$A$1:$B$29,2,FALSE)*10000</f>
        <v>3.1657355679702048</v>
      </c>
      <c r="I32" s="231">
        <f>C32/VLOOKUP($A32,НаселГлавы!$A$1:$B$29,2,FALSE)*10000</f>
        <v>3.8485412787088769</v>
      </c>
      <c r="J32" s="108">
        <f t="shared" si="2"/>
        <v>-0.17741935483870974</v>
      </c>
      <c r="K32" s="247">
        <f t="shared" si="6"/>
        <v>111782.19607843137</v>
      </c>
      <c r="L32" s="157">
        <f t="shared" si="6"/>
        <v>152417.93548387097</v>
      </c>
      <c r="M32" s="108">
        <f t="shared" si="3"/>
        <v>-0.2666073338182679</v>
      </c>
      <c r="N32" s="230">
        <f>E32/VLOOKUP($A32,НаселГлавы!$A$1:$B$29,2,FALSE)</f>
        <v>35.387287399130976</v>
      </c>
      <c r="O32" s="231">
        <f>F32/VLOOKUP($A32,НаселГлавы!$A$1:$B$29,2,FALSE)</f>
        <v>58.658671632526378</v>
      </c>
      <c r="P32" s="108">
        <f t="shared" si="4"/>
        <v>-0.39672538749567182</v>
      </c>
      <c r="Q32" s="106">
        <f>VLOOKUP($A32,Grig1!$A$6:$P$58,8,FALSE)</f>
        <v>1</v>
      </c>
      <c r="R32" s="107">
        <f>VLOOKUP($A32,Grig1!$A$6:$P$58,9,FALSE)</f>
        <v>5</v>
      </c>
      <c r="S32" s="108">
        <f t="shared" si="5"/>
        <v>-0.8</v>
      </c>
    </row>
    <row r="33" spans="1:19" ht="19.5" thickBot="1" x14ac:dyDescent="0.25">
      <c r="A33" s="111" t="str">
        <f>Grig1!A$58</f>
        <v>По республике</v>
      </c>
      <c r="B33" s="112">
        <f>SUM(B5:B32)</f>
        <v>685</v>
      </c>
      <c r="C33" s="113">
        <f>SUM(C5:C32)</f>
        <v>700</v>
      </c>
      <c r="D33" s="114">
        <f t="shared" si="0"/>
        <v>-2.1428571428571387E-2</v>
      </c>
      <c r="E33" s="158">
        <f>SUM(E5:E32)</f>
        <v>95430219</v>
      </c>
      <c r="F33" s="159">
        <f>SUM(F5:F32)</f>
        <v>107323950</v>
      </c>
      <c r="G33" s="114">
        <f t="shared" si="1"/>
        <v>-0.11082084660506808</v>
      </c>
      <c r="H33" s="115">
        <f>B33/VLOOKUP($A33,НаселГлавы!$A$1:$B$29,2,FALSE)*10000</f>
        <v>5.033433757072526</v>
      </c>
      <c r="I33" s="116">
        <f>C33/VLOOKUP($A33,НаселГлавы!$A$1:$B$29,2,FALSE)*10000</f>
        <v>5.1436549342346973</v>
      </c>
      <c r="J33" s="114">
        <f t="shared" si="2"/>
        <v>-2.1428571428571245E-2</v>
      </c>
      <c r="K33" s="248">
        <f t="shared" si="6"/>
        <v>139314.18832116789</v>
      </c>
      <c r="L33" s="159">
        <f t="shared" si="6"/>
        <v>153319.92857142858</v>
      </c>
      <c r="M33" s="114">
        <f t="shared" si="3"/>
        <v>-9.1349770253354168E-2</v>
      </c>
      <c r="N33" s="115">
        <f>E33/VLOOKUP($A33,НаселГлавы!$A$1:$B$29,2,FALSE)</f>
        <v>70.122873833492548</v>
      </c>
      <c r="O33" s="116">
        <f>F33/VLOOKUP($A33,НаселГлавы!$A$1:$B$29,2,FALSE)</f>
        <v>78.862480711293998</v>
      </c>
      <c r="P33" s="114">
        <f t="shared" si="4"/>
        <v>-0.11082084660506808</v>
      </c>
      <c r="Q33" s="112">
        <f>VLOOKUP($A33,Grig1!$A$6:$P$58,8,FALSE)</f>
        <v>57</v>
      </c>
      <c r="R33" s="113">
        <f>VLOOKUP($A33,Grig1!$A$6:$P$58,9,FALSE)</f>
        <v>59</v>
      </c>
      <c r="S33" s="114">
        <f t="shared" si="5"/>
        <v>-3.3898305084745742E-2</v>
      </c>
    </row>
  </sheetData>
  <phoneticPr fontId="59" type="noConversion"/>
  <pageMargins left="0.39370078740157483" right="0.39370078740157483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V31"/>
  <sheetViews>
    <sheetView zoomScale="70" zoomScaleNormal="70" workbookViewId="0">
      <selection activeCell="J36" sqref="J36"/>
    </sheetView>
  </sheetViews>
  <sheetFormatPr defaultColWidth="17.85546875" defaultRowHeight="18" x14ac:dyDescent="0.2"/>
  <cols>
    <col min="1" max="1" width="31.28515625" style="84" bestFit="1" customWidth="1"/>
    <col min="2" max="2" width="8" style="84" bestFit="1" customWidth="1"/>
    <col min="3" max="3" width="7.5703125" style="84" bestFit="1" customWidth="1"/>
    <col min="4" max="4" width="10.5703125" style="84" bestFit="1" customWidth="1"/>
    <col min="5" max="6" width="15.5703125" style="84" bestFit="1" customWidth="1"/>
    <col min="7" max="7" width="12.28515625" style="84" bestFit="1" customWidth="1"/>
    <col min="8" max="8" width="10" style="84" bestFit="1" customWidth="1"/>
    <col min="9" max="9" width="8.28515625" style="84" bestFit="1" customWidth="1"/>
    <col min="10" max="10" width="10.5703125" style="84" bestFit="1" customWidth="1"/>
    <col min="11" max="11" width="11.85546875" style="84" bestFit="1" customWidth="1"/>
    <col min="12" max="12" width="12.7109375" style="84" customWidth="1"/>
    <col min="13" max="13" width="11.140625" style="84" bestFit="1" customWidth="1"/>
    <col min="14" max="14" width="10.140625" style="84" customWidth="1"/>
    <col min="15" max="15" width="10.42578125" style="84" customWidth="1"/>
    <col min="16" max="16" width="10.85546875" style="84" bestFit="1" customWidth="1"/>
    <col min="17" max="18" width="7.5703125" style="84" bestFit="1" customWidth="1"/>
    <col min="19" max="19" width="10.42578125" style="84" bestFit="1" customWidth="1"/>
    <col min="20" max="21" width="7.5703125" style="84" bestFit="1" customWidth="1"/>
    <col min="22" max="22" width="10.42578125" style="84" bestFit="1" customWidth="1"/>
    <col min="23" max="16384" width="17.85546875" style="84"/>
  </cols>
  <sheetData>
    <row r="1" spans="1:22" ht="20.25" x14ac:dyDescent="0.2">
      <c r="A1" s="117" t="s">
        <v>155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</row>
    <row r="2" spans="1:22" ht="21" thickBot="1" x14ac:dyDescent="0.25">
      <c r="A2" s="117" t="str">
        <f>Grig1!A2</f>
        <v xml:space="preserve"> Сведения по пожарам в Чувашской Республике с 00 ч.00мин. 01.01. по 00 ч.00мин. 16.11.2018 г.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22" ht="44.25" customHeight="1" x14ac:dyDescent="0.2">
      <c r="A3" s="85" t="s">
        <v>7</v>
      </c>
      <c r="B3" s="86" t="s">
        <v>210</v>
      </c>
      <c r="C3" s="87"/>
      <c r="D3" s="88"/>
      <c r="E3" s="89" t="s">
        <v>211</v>
      </c>
      <c r="F3" s="87"/>
      <c r="G3" s="88"/>
      <c r="H3" s="89" t="s">
        <v>209</v>
      </c>
      <c r="I3" s="87"/>
      <c r="J3" s="88"/>
      <c r="K3" s="89" t="s">
        <v>212</v>
      </c>
      <c r="L3" s="87"/>
      <c r="M3" s="88"/>
      <c r="N3" s="90" t="s">
        <v>156</v>
      </c>
      <c r="O3" s="87"/>
      <c r="P3" s="88"/>
      <c r="Q3" s="90" t="s">
        <v>119</v>
      </c>
      <c r="R3" s="87"/>
      <c r="S3" s="88"/>
      <c r="T3" s="655" t="s">
        <v>478</v>
      </c>
      <c r="U3" s="656"/>
      <c r="V3" s="657"/>
    </row>
    <row r="4" spans="1:22" ht="18.75" thickBot="1" x14ac:dyDescent="0.3">
      <c r="A4" s="91"/>
      <c r="B4" s="423">
        <f>Grig1!B5</f>
        <v>2017</v>
      </c>
      <c r="C4" s="168">
        <f>Grig1!C5</f>
        <v>2018</v>
      </c>
      <c r="D4" s="92" t="s">
        <v>11</v>
      </c>
      <c r="E4" s="168">
        <f>B4</f>
        <v>2017</v>
      </c>
      <c r="F4" s="168">
        <f>C4</f>
        <v>2018</v>
      </c>
      <c r="G4" s="92" t="s">
        <v>11</v>
      </c>
      <c r="H4" s="168">
        <f>B4</f>
        <v>2017</v>
      </c>
      <c r="I4" s="168">
        <f>C4</f>
        <v>2018</v>
      </c>
      <c r="J4" s="92" t="s">
        <v>11</v>
      </c>
      <c r="K4" s="168">
        <f>B4</f>
        <v>2017</v>
      </c>
      <c r="L4" s="168">
        <f>C4</f>
        <v>2018</v>
      </c>
      <c r="M4" s="92" t="s">
        <v>11</v>
      </c>
      <c r="N4" s="168">
        <f>B4</f>
        <v>2017</v>
      </c>
      <c r="O4" s="168">
        <f>C4</f>
        <v>2018</v>
      </c>
      <c r="P4" s="92" t="s">
        <v>11</v>
      </c>
      <c r="Q4" s="168">
        <f>B4</f>
        <v>2017</v>
      </c>
      <c r="R4" s="168">
        <f>C4</f>
        <v>2018</v>
      </c>
      <c r="S4" s="92" t="s">
        <v>11</v>
      </c>
      <c r="T4" s="451">
        <f t="shared" ref="T4:U4" si="0">Q4</f>
        <v>2017</v>
      </c>
      <c r="U4" s="450">
        <f t="shared" si="0"/>
        <v>2018</v>
      </c>
      <c r="V4" s="92" t="s">
        <v>11</v>
      </c>
    </row>
    <row r="5" spans="1:22" ht="18.75" x14ac:dyDescent="0.2">
      <c r="A5" s="93" t="str">
        <f>Grig1!A$10</f>
        <v>Алатырский</v>
      </c>
      <c r="B5" s="95">
        <f>Grig1!B10</f>
        <v>27</v>
      </c>
      <c r="C5" s="94">
        <f>Grig1!C10</f>
        <v>24</v>
      </c>
      <c r="D5" s="96">
        <f t="shared" ref="D5:D31" si="1">IF(B5=0,"--",(((C5*100)/B5)-100)/100)</f>
        <v>-0.11111111111111115</v>
      </c>
      <c r="E5" s="153">
        <f>Grig1!E10</f>
        <v>4026000</v>
      </c>
      <c r="F5" s="152">
        <f>Grig1!F10</f>
        <v>4935600</v>
      </c>
      <c r="G5" s="96">
        <f t="shared" ref="G5:G31" si="2">IF(E5=0,"--",(((F5*100)/E5)-100)/100)</f>
        <v>0.22593144560357672</v>
      </c>
      <c r="H5" s="98">
        <f>B5/VLOOKUP($A5,Население!$A$1:$B$30,2,FALSE)*10000</f>
        <v>18.15126050420168</v>
      </c>
      <c r="I5" s="97">
        <f>C5/VLOOKUP($A5,Население!$A$1:$B$30,2,FALSE)*10000</f>
        <v>16.134453781512605</v>
      </c>
      <c r="J5" s="96">
        <f t="shared" ref="J5:J31" si="3">IF(H5=0,"--",(((I5*100)/H5)-100)/100)</f>
        <v>-0.11111111111111115</v>
      </c>
      <c r="K5" s="153">
        <f t="shared" ref="K5:K31" si="4">E5/B5</f>
        <v>149111.11111111112</v>
      </c>
      <c r="L5" s="152">
        <f t="shared" ref="L5:L31" si="5">F5/C5</f>
        <v>205650</v>
      </c>
      <c r="M5" s="96">
        <f t="shared" ref="M5:M31" si="6">IF(K5=0,"--",(((L5*100)/K5)-100)/100)</f>
        <v>0.37917287630402369</v>
      </c>
      <c r="N5" s="98">
        <f>E5/VLOOKUP($A5,Население!$A$1:$B$30,2,FALSE)</f>
        <v>270.65546218487395</v>
      </c>
      <c r="O5" s="97">
        <f>F5/VLOOKUP($A5,Население!$A$1:$B$30,2,FALSE)</f>
        <v>331.80504201680674</v>
      </c>
      <c r="P5" s="96">
        <f t="shared" ref="P5:P31" si="7">IF(N5=0,"--",(((O5*100)/N5)-100)/100)</f>
        <v>0.22593144560357686</v>
      </c>
      <c r="Q5" s="95">
        <f>Grig1!H10</f>
        <v>2</v>
      </c>
      <c r="R5" s="94">
        <f>Grig1!I10</f>
        <v>2</v>
      </c>
      <c r="S5" s="96">
        <f t="shared" ref="S5:S31" si="8">IF(Q5=0,"--",(((R5*100)/Q5)-100)/100)</f>
        <v>0</v>
      </c>
      <c r="T5" s="98">
        <f>Q5/VLOOKUP($A5,Население!$A$1:$B$30,2,FALSE)*10000</f>
        <v>1.3445378151260505</v>
      </c>
      <c r="U5" s="97">
        <f>R5/VLOOKUP($A5,Население!$A$1:$B$30,2,FALSE)*10000</f>
        <v>1.3445378151260505</v>
      </c>
      <c r="V5" s="96">
        <f t="shared" ref="V5:V31" si="9">IF(T5=0,"--",(((U5*100)/T5)-100)/100)</f>
        <v>0</v>
      </c>
    </row>
    <row r="6" spans="1:22" ht="18.75" x14ac:dyDescent="0.2">
      <c r="A6" s="93" t="s">
        <v>295</v>
      </c>
      <c r="B6" s="95">
        <f>Grig1!B11</f>
        <v>27</v>
      </c>
      <c r="C6" s="94">
        <f>Grig1!C11</f>
        <v>28</v>
      </c>
      <c r="D6" s="96">
        <f t="shared" ref="D6" si="10">IF(B6=0,"--",(((C6*100)/B6)-100)/100)</f>
        <v>3.7037037037037097E-2</v>
      </c>
      <c r="E6" s="153">
        <f>Grig1!E11</f>
        <v>2844800</v>
      </c>
      <c r="F6" s="152">
        <f>Grig1!F11</f>
        <v>5765600</v>
      </c>
      <c r="G6" s="96">
        <f t="shared" ref="G6" si="11">IF(E6=0,"--",(((F6*100)/E6)-100)/100)</f>
        <v>1.0267154105736782</v>
      </c>
      <c r="H6" s="98">
        <f>B6/VLOOKUP($A6,Население!$A$1:$B$30,2,FALSE)*10000</f>
        <v>7.6491585925548184</v>
      </c>
      <c r="I6" s="97">
        <f>C6/VLOOKUP($A6,Население!$A$1:$B$30,2,FALSE)*10000</f>
        <v>7.9324607626494421</v>
      </c>
      <c r="J6" s="96">
        <f t="shared" ref="J6" si="12">IF(H6=0,"--",(((I6*100)/H6)-100)/100)</f>
        <v>3.7037037037037236E-2</v>
      </c>
      <c r="K6" s="153">
        <f t="shared" ref="K6" si="13">E6/B6</f>
        <v>105362.96296296296</v>
      </c>
      <c r="L6" s="152">
        <f t="shared" ref="L6" si="14">F6/C6</f>
        <v>205914.28571428571</v>
      </c>
      <c r="M6" s="96">
        <f t="shared" ref="M6" si="15">IF(K6=0,"--",(((L6*100)/K6)-100)/100)</f>
        <v>0.9543327173389039</v>
      </c>
      <c r="N6" s="98">
        <f>E6/VLOOKUP($A6,Население!$A$1:$B$30,2,FALSE)</f>
        <v>80.593801348518326</v>
      </c>
      <c r="O6" s="97">
        <f>F6/VLOOKUP($A6,Население!$A$1:$B$30,2,FALSE)</f>
        <v>163.34069918975578</v>
      </c>
      <c r="P6" s="96">
        <f t="shared" ref="P6" si="16">IF(N6=0,"--",(((O6*100)/N6)-100)/100)</f>
        <v>1.0267154105736782</v>
      </c>
      <c r="Q6" s="95">
        <f>Grig1!H11</f>
        <v>2</v>
      </c>
      <c r="R6" s="94">
        <f>Grig1!I11</f>
        <v>2</v>
      </c>
      <c r="S6" s="96">
        <f t="shared" ref="S6" si="17">IF(Q6=0,"--",(((R6*100)/Q6)-100)/100)</f>
        <v>0</v>
      </c>
      <c r="T6" s="98">
        <f>Q6/VLOOKUP($A6,Население!$A$1:$B$30,2,FALSE)*10000</f>
        <v>0.56660434018924588</v>
      </c>
      <c r="U6" s="97">
        <f>R6/VLOOKUP($A6,Население!$A$1:$B$30,2,FALSE)*10000</f>
        <v>0.56660434018924588</v>
      </c>
      <c r="V6" s="96">
        <f t="shared" ref="V6" si="18">IF(T6=0,"--",(((U6*100)/T6)-100)/100)</f>
        <v>0</v>
      </c>
    </row>
    <row r="7" spans="1:22" ht="18.75" x14ac:dyDescent="0.2">
      <c r="A7" s="99" t="str">
        <f>Grig1!A$13</f>
        <v>Аликовский</v>
      </c>
      <c r="B7" s="101">
        <f>Grig1!B13</f>
        <v>17</v>
      </c>
      <c r="C7" s="100">
        <f>Grig1!C13</f>
        <v>16</v>
      </c>
      <c r="D7" s="102">
        <f t="shared" si="1"/>
        <v>-5.8823529411764636E-2</v>
      </c>
      <c r="E7" s="155">
        <f>Grig1!E13</f>
        <v>3127600</v>
      </c>
      <c r="F7" s="154">
        <f>Grig1!F13</f>
        <v>2861000</v>
      </c>
      <c r="G7" s="102">
        <f t="shared" si="2"/>
        <v>-8.5241079421921023E-2</v>
      </c>
      <c r="H7" s="104">
        <f>B7/VLOOKUP($A7,Население!$A$1:$B$30,2,FALSE)*10000</f>
        <v>10.703941569071905</v>
      </c>
      <c r="I7" s="103">
        <f>C7/VLOOKUP($A7,Население!$A$1:$B$30,2,FALSE)*10000</f>
        <v>10.074297947361792</v>
      </c>
      <c r="J7" s="102">
        <f t="shared" si="3"/>
        <v>-5.8823529411764781E-2</v>
      </c>
      <c r="K7" s="155">
        <f t="shared" si="4"/>
        <v>183976.4705882353</v>
      </c>
      <c r="L7" s="154">
        <f t="shared" si="5"/>
        <v>178812.5</v>
      </c>
      <c r="M7" s="102">
        <f t="shared" si="6"/>
        <v>-2.806864688579111E-2</v>
      </c>
      <c r="N7" s="104">
        <f>E7/VLOOKUP($A7,Население!$A$1:$B$30,2,FALSE)</f>
        <v>196.92733912605465</v>
      </c>
      <c r="O7" s="103">
        <f>F7/VLOOKUP($A7,Население!$A$1:$B$30,2,FALSE)</f>
        <v>180.14104017126306</v>
      </c>
      <c r="P7" s="102">
        <f t="shared" si="7"/>
        <v>-8.5241079421921023E-2</v>
      </c>
      <c r="Q7" s="101">
        <f>Grig1!H13</f>
        <v>0</v>
      </c>
      <c r="R7" s="100">
        <f>Grig1!I13</f>
        <v>1</v>
      </c>
      <c r="S7" s="102" t="str">
        <f t="shared" si="8"/>
        <v>--</v>
      </c>
      <c r="T7" s="104">
        <f>Q7/VLOOKUP($A7,Население!$A$1:$B$30,2,FALSE)*10000</f>
        <v>0</v>
      </c>
      <c r="U7" s="103">
        <f>R7/VLOOKUP($A7,Население!$A$1:$B$30,2,FALSE)*10000</f>
        <v>0.62964362171011201</v>
      </c>
      <c r="V7" s="102" t="str">
        <f t="shared" si="9"/>
        <v>--</v>
      </c>
    </row>
    <row r="8" spans="1:22" ht="18.75" x14ac:dyDescent="0.2">
      <c r="A8" s="99" t="str">
        <f>Grig1!A$15</f>
        <v>Батыревский</v>
      </c>
      <c r="B8" s="101">
        <f>Grig1!B15</f>
        <v>34</v>
      </c>
      <c r="C8" s="100">
        <f>Grig1!C15</f>
        <v>32</v>
      </c>
      <c r="D8" s="102">
        <f t="shared" si="1"/>
        <v>-5.8823529411764636E-2</v>
      </c>
      <c r="E8" s="155">
        <f>Grig1!E15</f>
        <v>4310000</v>
      </c>
      <c r="F8" s="154">
        <f>Grig1!F15</f>
        <v>3072000</v>
      </c>
      <c r="G8" s="102">
        <f t="shared" si="2"/>
        <v>-0.28723897911832952</v>
      </c>
      <c r="H8" s="104">
        <f>B8/VLOOKUP($A8,Население!$A$1:$B$30,2,FALSE)*10000</f>
        <v>9.8562152133580714</v>
      </c>
      <c r="I8" s="103">
        <f>C8/VLOOKUP($A8,Население!$A$1:$B$30,2,FALSE)*10000</f>
        <v>9.2764378478664202</v>
      </c>
      <c r="J8" s="102">
        <f t="shared" si="3"/>
        <v>-5.8823529411764636E-2</v>
      </c>
      <c r="K8" s="155">
        <f t="shared" si="4"/>
        <v>126764.70588235294</v>
      </c>
      <c r="L8" s="154">
        <f t="shared" si="5"/>
        <v>96000</v>
      </c>
      <c r="M8" s="102">
        <f t="shared" si="6"/>
        <v>-0.24269141531322502</v>
      </c>
      <c r="N8" s="104">
        <f>E8/VLOOKUP($A8,Население!$A$1:$B$30,2,FALSE)</f>
        <v>124.94202226345084</v>
      </c>
      <c r="O8" s="103">
        <f>F8/VLOOKUP($A8,Население!$A$1:$B$30,2,FALSE)</f>
        <v>89.053803339517629</v>
      </c>
      <c r="P8" s="102">
        <f t="shared" si="7"/>
        <v>-0.28723897911832935</v>
      </c>
      <c r="Q8" s="101">
        <f>Grig1!H15</f>
        <v>1</v>
      </c>
      <c r="R8" s="100">
        <f>Grig1!I15</f>
        <v>1</v>
      </c>
      <c r="S8" s="102">
        <f t="shared" si="8"/>
        <v>0</v>
      </c>
      <c r="T8" s="104">
        <f>Q8/VLOOKUP($A8,Население!$A$1:$B$30,2,FALSE)*10000</f>
        <v>0.28988868274582563</v>
      </c>
      <c r="U8" s="103">
        <f>R8/VLOOKUP($A8,Население!$A$1:$B$30,2,FALSE)*10000</f>
        <v>0.28988868274582563</v>
      </c>
      <c r="V8" s="102">
        <f t="shared" si="9"/>
        <v>0</v>
      </c>
    </row>
    <row r="9" spans="1:22" ht="18.75" x14ac:dyDescent="0.2">
      <c r="A9" s="99" t="str">
        <f>Grig1!A$17</f>
        <v>Вурнарский</v>
      </c>
      <c r="B9" s="101">
        <f>Grig1!B17</f>
        <v>37</v>
      </c>
      <c r="C9" s="100">
        <f>Grig1!C17</f>
        <v>30</v>
      </c>
      <c r="D9" s="102">
        <f t="shared" si="1"/>
        <v>-0.1891891891891892</v>
      </c>
      <c r="E9" s="155">
        <f>Grig1!E17</f>
        <v>4361781</v>
      </c>
      <c r="F9" s="154">
        <f>Grig1!F17</f>
        <v>5429780</v>
      </c>
      <c r="G9" s="102">
        <f t="shared" si="2"/>
        <v>0.24485387964228381</v>
      </c>
      <c r="H9" s="104">
        <f>B9/VLOOKUP($A9,Население!$A$1:$B$30,2,FALSE)*10000</f>
        <v>11.483194190124452</v>
      </c>
      <c r="I9" s="103">
        <f>C9/VLOOKUP($A9,Население!$A$1:$B$30,2,FALSE)*10000</f>
        <v>9.3106979919928001</v>
      </c>
      <c r="J9" s="102">
        <f t="shared" si="3"/>
        <v>-0.18918918918918906</v>
      </c>
      <c r="K9" s="155">
        <f t="shared" si="4"/>
        <v>117885.97297297297</v>
      </c>
      <c r="L9" s="154">
        <f t="shared" si="5"/>
        <v>180992.66666666666</v>
      </c>
      <c r="M9" s="102">
        <f t="shared" si="6"/>
        <v>0.5353197848921496</v>
      </c>
      <c r="N9" s="104">
        <f>E9/VLOOKUP($A9,Население!$A$1:$B$30,2,FALSE)</f>
        <v>135.37075199404114</v>
      </c>
      <c r="O9" s="103">
        <f>F9/VLOOKUP($A9,Население!$A$1:$B$30,2,FALSE)</f>
        <v>168.51680580987554</v>
      </c>
      <c r="P9" s="102">
        <f t="shared" si="7"/>
        <v>0.24485387964228381</v>
      </c>
      <c r="Q9" s="101">
        <f>Grig1!H17</f>
        <v>3</v>
      </c>
      <c r="R9" s="100">
        <f>Grig1!I17</f>
        <v>3</v>
      </c>
      <c r="S9" s="102">
        <f t="shared" si="8"/>
        <v>0</v>
      </c>
      <c r="T9" s="104">
        <f>Q9/VLOOKUP($A9,Население!$A$1:$B$30,2,FALSE)*10000</f>
        <v>0.93106979919928001</v>
      </c>
      <c r="U9" s="103">
        <f>R9/VLOOKUP($A9,Население!$A$1:$B$30,2,FALSE)*10000</f>
        <v>0.93106979919928001</v>
      </c>
      <c r="V9" s="102">
        <f t="shared" si="9"/>
        <v>-1.4210854715202004E-16</v>
      </c>
    </row>
    <row r="10" spans="1:22" ht="18.75" x14ac:dyDescent="0.2">
      <c r="A10" s="99" t="str">
        <f>Grig1!A$19</f>
        <v>Ибресинский</v>
      </c>
      <c r="B10" s="101">
        <f>Grig1!B19</f>
        <v>25</v>
      </c>
      <c r="C10" s="100">
        <f>Grig1!C19</f>
        <v>21</v>
      </c>
      <c r="D10" s="102">
        <f t="shared" si="1"/>
        <v>-0.16</v>
      </c>
      <c r="E10" s="155">
        <f>Grig1!E19</f>
        <v>3743928</v>
      </c>
      <c r="F10" s="154">
        <f>Grig1!F19</f>
        <v>5727487</v>
      </c>
      <c r="G10" s="102">
        <f t="shared" si="2"/>
        <v>0.52980693004779988</v>
      </c>
      <c r="H10" s="104">
        <f>B10/VLOOKUP($A10,Население!$A$1:$B$30,2,FALSE)*10000</f>
        <v>10.62970364386241</v>
      </c>
      <c r="I10" s="103">
        <f>C10/VLOOKUP($A10,Население!$A$1:$B$30,2,FALSE)*10000</f>
        <v>8.9289510608444225</v>
      </c>
      <c r="J10" s="102">
        <f t="shared" si="3"/>
        <v>-0.16000000000000014</v>
      </c>
      <c r="K10" s="155">
        <f t="shared" si="4"/>
        <v>149757.12</v>
      </c>
      <c r="L10" s="154">
        <f t="shared" si="5"/>
        <v>272737.47619047621</v>
      </c>
      <c r="M10" s="102">
        <f t="shared" si="6"/>
        <v>0.82119872624738122</v>
      </c>
      <c r="N10" s="104">
        <f>E10/VLOOKUP($A10,Население!$A$1:$B$30,2,FALSE)</f>
        <v>159.18738041583401</v>
      </c>
      <c r="O10" s="103">
        <f>F10/VLOOKUP($A10,Население!$A$1:$B$30,2,FALSE)</f>
        <v>243.52595773629832</v>
      </c>
      <c r="P10" s="102">
        <f t="shared" si="7"/>
        <v>0.52980693004780022</v>
      </c>
      <c r="Q10" s="101">
        <f>Grig1!H19</f>
        <v>1</v>
      </c>
      <c r="R10" s="100">
        <f>Grig1!I19</f>
        <v>1</v>
      </c>
      <c r="S10" s="102">
        <f t="shared" si="8"/>
        <v>0</v>
      </c>
      <c r="T10" s="104">
        <f>Q10/VLOOKUP($A10,Население!$A$1:$B$30,2,FALSE)*10000</f>
        <v>0.42518814575449637</v>
      </c>
      <c r="U10" s="103">
        <f>R10/VLOOKUP($A10,Население!$A$1:$B$30,2,FALSE)*10000</f>
        <v>0.42518814575449637</v>
      </c>
      <c r="V10" s="102">
        <f t="shared" si="9"/>
        <v>0</v>
      </c>
    </row>
    <row r="11" spans="1:22" ht="18.75" x14ac:dyDescent="0.2">
      <c r="A11" s="99" t="str">
        <f>Grig1!A$22</f>
        <v>Канашский</v>
      </c>
      <c r="B11" s="101">
        <f>Grig1!B22</f>
        <v>36</v>
      </c>
      <c r="C11" s="100">
        <f>Grig1!C22</f>
        <v>43</v>
      </c>
      <c r="D11" s="102">
        <f t="shared" si="1"/>
        <v>0.19444444444444442</v>
      </c>
      <c r="E11" s="155">
        <f>Grig1!E22</f>
        <v>3285000</v>
      </c>
      <c r="F11" s="154">
        <f>Grig1!F22</f>
        <v>4440000</v>
      </c>
      <c r="G11" s="102">
        <f t="shared" si="2"/>
        <v>0.35159817351598177</v>
      </c>
      <c r="H11" s="104">
        <f>B11/VLOOKUP($A11,Население!$A$1:$B$30,2,FALSE)*10000</f>
        <v>10.084598576951089</v>
      </c>
      <c r="I11" s="103">
        <f>C11/VLOOKUP($A11,Население!$A$1:$B$30,2,FALSE)*10000</f>
        <v>12.045492744691579</v>
      </c>
      <c r="J11" s="102">
        <f t="shared" si="3"/>
        <v>0.19444444444444442</v>
      </c>
      <c r="K11" s="155">
        <f t="shared" si="4"/>
        <v>91250</v>
      </c>
      <c r="L11" s="154">
        <f t="shared" si="5"/>
        <v>103255.81395348837</v>
      </c>
      <c r="M11" s="102">
        <f t="shared" si="6"/>
        <v>0.131570563873845</v>
      </c>
      <c r="N11" s="104">
        <f>E11/VLOOKUP($A11,Население!$A$1:$B$30,2,FALSE)</f>
        <v>92.021962014678692</v>
      </c>
      <c r="O11" s="103">
        <f>F11/VLOOKUP($A11,Население!$A$1:$B$30,2,FALSE)</f>
        <v>124.37671578239677</v>
      </c>
      <c r="P11" s="102">
        <f t="shared" si="7"/>
        <v>0.35159817351598177</v>
      </c>
      <c r="Q11" s="101">
        <f>Grig1!H22</f>
        <v>4</v>
      </c>
      <c r="R11" s="100">
        <f>Grig1!I22</f>
        <v>5</v>
      </c>
      <c r="S11" s="102">
        <f t="shared" si="8"/>
        <v>0.25</v>
      </c>
      <c r="T11" s="104">
        <f>Q11/VLOOKUP($A11,Население!$A$1:$B$30,2,FALSE)*10000</f>
        <v>1.1205109529945654</v>
      </c>
      <c r="U11" s="103">
        <f>R11/VLOOKUP($A11,Население!$A$1:$B$30,2,FALSE)*10000</f>
        <v>1.4006386912432069</v>
      </c>
      <c r="V11" s="102">
        <f t="shared" si="9"/>
        <v>0.25000000000000017</v>
      </c>
    </row>
    <row r="12" spans="1:22" ht="18.75" x14ac:dyDescent="0.2">
      <c r="A12" s="99" t="s">
        <v>296</v>
      </c>
      <c r="B12" s="101">
        <f>Grig1!B23</f>
        <v>12</v>
      </c>
      <c r="C12" s="100">
        <f>Grig1!C23</f>
        <v>31</v>
      </c>
      <c r="D12" s="102">
        <f t="shared" ref="D12" si="19">IF(B12=0,"--",(((C12*100)/B12)-100)/100)</f>
        <v>1.583333333333333</v>
      </c>
      <c r="E12" s="155">
        <f>Grig1!E23</f>
        <v>1495500</v>
      </c>
      <c r="F12" s="154">
        <f>Grig1!F23</f>
        <v>3920000</v>
      </c>
      <c r="G12" s="102">
        <f t="shared" ref="G12" si="20">IF(E12=0,"--",(((F12*100)/E12)-100)/100)</f>
        <v>1.6211969241056505</v>
      </c>
      <c r="H12" s="104">
        <f>B12/VLOOKUP($A12,Население!$A$1:$B$30,2,FALSE)*10000</f>
        <v>2.6373046746225359</v>
      </c>
      <c r="I12" s="103">
        <f>C12/VLOOKUP($A12,Население!$A$1:$B$30,2,FALSE)*10000</f>
        <v>6.813037076108218</v>
      </c>
      <c r="J12" s="102">
        <f t="shared" ref="J12" si="21">IF(H12=0,"--",(((I12*100)/H12)-100)/100)</f>
        <v>1.583333333333333</v>
      </c>
      <c r="K12" s="155">
        <f t="shared" ref="K12" si="22">E12/B12</f>
        <v>124625</v>
      </c>
      <c r="L12" s="154">
        <f t="shared" ref="L12" si="23">F12/C12</f>
        <v>126451.6129032258</v>
      </c>
      <c r="M12" s="102">
        <f t="shared" ref="M12" si="24">IF(K12=0,"--",(((L12*100)/K12)-100)/100)</f>
        <v>1.465687384734835E-2</v>
      </c>
      <c r="N12" s="104">
        <f>E12/VLOOKUP($A12,Население!$A$1:$B$30,2,FALSE)</f>
        <v>32.867409507483352</v>
      </c>
      <c r="O12" s="103">
        <f>F12/VLOOKUP($A12,Население!$A$1:$B$30,2,FALSE)</f>
        <v>86.151952704336168</v>
      </c>
      <c r="P12" s="102">
        <f t="shared" ref="P12" si="25">IF(N12=0,"--",(((O12*100)/N12)-100)/100)</f>
        <v>1.6211969241056499</v>
      </c>
      <c r="Q12" s="101">
        <f>Grig1!H23</f>
        <v>1</v>
      </c>
      <c r="R12" s="100">
        <f>Grig1!I23</f>
        <v>1</v>
      </c>
      <c r="S12" s="102">
        <f t="shared" ref="S12" si="26">IF(Q12=0,"--",(((R12*100)/Q12)-100)/100)</f>
        <v>0</v>
      </c>
      <c r="T12" s="104">
        <f>Q12/VLOOKUP($A12,Население!$A$1:$B$30,2,FALSE)*10000</f>
        <v>0.21977538955187798</v>
      </c>
      <c r="U12" s="103">
        <f>R12/VLOOKUP($A12,Население!$A$1:$B$30,2,FALSE)*10000</f>
        <v>0.21977538955187798</v>
      </c>
      <c r="V12" s="102">
        <f t="shared" ref="V12" si="27">IF(T12=0,"--",(((U12*100)/T12)-100)/100)</f>
        <v>0</v>
      </c>
    </row>
    <row r="13" spans="1:22" ht="18.75" x14ac:dyDescent="0.2">
      <c r="A13" s="99" t="str">
        <f>Grig1!A$24</f>
        <v>Козловский</v>
      </c>
      <c r="B13" s="101">
        <f>Grig1!B24</f>
        <v>23</v>
      </c>
      <c r="C13" s="100">
        <f>Grig1!C24</f>
        <v>15</v>
      </c>
      <c r="D13" s="102">
        <f t="shared" si="1"/>
        <v>-0.34782608695652173</v>
      </c>
      <c r="E13" s="155">
        <f>Grig1!E24</f>
        <v>2788097</v>
      </c>
      <c r="F13" s="154">
        <f>Grig1!F24</f>
        <v>3525000</v>
      </c>
      <c r="G13" s="102">
        <f t="shared" si="2"/>
        <v>0.26430321470164059</v>
      </c>
      <c r="H13" s="104">
        <f>B13/VLOOKUP($A13,Население!$A$1:$B$30,2,FALSE)*10000</f>
        <v>11.933793389716184</v>
      </c>
      <c r="I13" s="103">
        <f>C13/VLOOKUP($A13,Население!$A$1:$B$30,2,FALSE)*10000</f>
        <v>7.7829087324235982</v>
      </c>
      <c r="J13" s="102">
        <f t="shared" si="3"/>
        <v>-0.34782608695652173</v>
      </c>
      <c r="K13" s="155">
        <f t="shared" si="4"/>
        <v>121221.60869565218</v>
      </c>
      <c r="L13" s="154">
        <f t="shared" si="5"/>
        <v>235000</v>
      </c>
      <c r="M13" s="102">
        <f t="shared" si="6"/>
        <v>0.93859826254251544</v>
      </c>
      <c r="N13" s="104">
        <f>E13/VLOOKUP($A13,Население!$A$1:$B$30,2,FALSE)</f>
        <v>144.66336325429356</v>
      </c>
      <c r="O13" s="103">
        <f>F13/VLOOKUP($A13,Население!$A$1:$B$30,2,FALSE)</f>
        <v>182.89835521195454</v>
      </c>
      <c r="P13" s="102">
        <f t="shared" si="7"/>
        <v>0.26430321470164075</v>
      </c>
      <c r="Q13" s="101">
        <f>Grig1!H24</f>
        <v>5</v>
      </c>
      <c r="R13" s="100">
        <f>Grig1!I24</f>
        <v>2</v>
      </c>
      <c r="S13" s="102">
        <f t="shared" si="8"/>
        <v>-0.6</v>
      </c>
      <c r="T13" s="104">
        <f>Q13/VLOOKUP($A13,Население!$A$1:$B$30,2,FALSE)*10000</f>
        <v>2.5943029108078659</v>
      </c>
      <c r="U13" s="103">
        <f>R13/VLOOKUP($A13,Население!$A$1:$B$30,2,FALSE)*10000</f>
        <v>1.0377211643231463</v>
      </c>
      <c r="V13" s="102">
        <f t="shared" si="9"/>
        <v>-0.6</v>
      </c>
    </row>
    <row r="14" spans="1:22" ht="18.75" x14ac:dyDescent="0.2">
      <c r="A14" s="99" t="str">
        <f>Grig1!A$26</f>
        <v>Комсомольский</v>
      </c>
      <c r="B14" s="101">
        <f>Grig1!B26</f>
        <v>23</v>
      </c>
      <c r="C14" s="100">
        <f>Grig1!C26</f>
        <v>23</v>
      </c>
      <c r="D14" s="102">
        <f t="shared" si="1"/>
        <v>0</v>
      </c>
      <c r="E14" s="155">
        <f>Grig1!E26</f>
        <v>7835887</v>
      </c>
      <c r="F14" s="154">
        <f>Grig1!F26</f>
        <v>3491326</v>
      </c>
      <c r="G14" s="102">
        <f t="shared" si="2"/>
        <v>-0.55444405974716071</v>
      </c>
      <c r="H14" s="104">
        <f>B14/VLOOKUP($A14,Население!$A$1:$B$30,2,FALSE)*10000</f>
        <v>9.1208311853114949</v>
      </c>
      <c r="I14" s="103">
        <f>C14/VLOOKUP($A14,Население!$A$1:$B$30,2,FALSE)*10000</f>
        <v>9.1208311853114949</v>
      </c>
      <c r="J14" s="102">
        <f t="shared" si="3"/>
        <v>0</v>
      </c>
      <c r="K14" s="155">
        <f t="shared" si="4"/>
        <v>340690.73913043475</v>
      </c>
      <c r="L14" s="154">
        <f t="shared" si="5"/>
        <v>151796.78260869565</v>
      </c>
      <c r="M14" s="102">
        <f t="shared" si="6"/>
        <v>-0.55444405974716071</v>
      </c>
      <c r="N14" s="104">
        <f>E14/VLOOKUP($A14,Население!$A$1:$B$30,2,FALSE)</f>
        <v>310.73827180076933</v>
      </c>
      <c r="O14" s="103">
        <f>F14/VLOOKUP($A14,Население!$A$1:$B$30,2,FALSE)</f>
        <v>138.45128286473411</v>
      </c>
      <c r="P14" s="102">
        <f t="shared" si="7"/>
        <v>-0.55444405974716071</v>
      </c>
      <c r="Q14" s="101">
        <f>Grig1!H26</f>
        <v>2</v>
      </c>
      <c r="R14" s="100">
        <f>Grig1!I26</f>
        <v>1</v>
      </c>
      <c r="S14" s="102">
        <f t="shared" si="8"/>
        <v>-0.5</v>
      </c>
      <c r="T14" s="104">
        <f>Q14/VLOOKUP($A14,Население!$A$1:$B$30,2,FALSE)*10000</f>
        <v>0.79311575524447786</v>
      </c>
      <c r="U14" s="103">
        <f>R14/VLOOKUP($A14,Население!$A$1:$B$30,2,FALSE)*10000</f>
        <v>0.39655787762223893</v>
      </c>
      <c r="V14" s="102">
        <f t="shared" si="9"/>
        <v>-0.5</v>
      </c>
    </row>
    <row r="15" spans="1:22" ht="18.75" x14ac:dyDescent="0.2">
      <c r="A15" s="99" t="str">
        <f>Grig1!A$28</f>
        <v>Красноармейский</v>
      </c>
      <c r="B15" s="101">
        <f>Grig1!B28</f>
        <v>12</v>
      </c>
      <c r="C15" s="100">
        <f>Grig1!C28</f>
        <v>9</v>
      </c>
      <c r="D15" s="102">
        <f t="shared" si="1"/>
        <v>-0.25</v>
      </c>
      <c r="E15" s="155">
        <f>Grig1!E28</f>
        <v>1534000</v>
      </c>
      <c r="F15" s="154">
        <f>Grig1!F28</f>
        <v>834500</v>
      </c>
      <c r="G15" s="102">
        <f t="shared" si="2"/>
        <v>-0.45599739243807041</v>
      </c>
      <c r="H15" s="104">
        <f>B15/VLOOKUP($A15,Население!$A$1:$B$30,2,FALSE)*10000</f>
        <v>8.4039498564325221</v>
      </c>
      <c r="I15" s="103">
        <f>C15/VLOOKUP($A15,Население!$A$1:$B$30,2,FALSE)*10000</f>
        <v>6.3029623923243925</v>
      </c>
      <c r="J15" s="102">
        <f t="shared" si="3"/>
        <v>-0.24999999999999986</v>
      </c>
      <c r="K15" s="155">
        <f t="shared" si="4"/>
        <v>127833.33333333333</v>
      </c>
      <c r="L15" s="154">
        <f t="shared" si="5"/>
        <v>92722.222222222219</v>
      </c>
      <c r="M15" s="102">
        <f t="shared" si="6"/>
        <v>-0.27466318991742722</v>
      </c>
      <c r="N15" s="104">
        <f>E15/VLOOKUP($A15,Население!$A$1:$B$30,2,FALSE)</f>
        <v>107.43049233139575</v>
      </c>
      <c r="O15" s="103">
        <f>F15/VLOOKUP($A15,Население!$A$1:$B$30,2,FALSE)</f>
        <v>58.442467959941169</v>
      </c>
      <c r="P15" s="102">
        <f t="shared" si="7"/>
        <v>-0.45599739243807041</v>
      </c>
      <c r="Q15" s="101">
        <f>Grig1!H28</f>
        <v>0</v>
      </c>
      <c r="R15" s="100">
        <f>Grig1!I28</f>
        <v>0</v>
      </c>
      <c r="S15" s="102" t="str">
        <f t="shared" si="8"/>
        <v>--</v>
      </c>
      <c r="T15" s="104">
        <f>Q15/VLOOKUP($A15,Население!$A$1:$B$30,2,FALSE)*10000</f>
        <v>0</v>
      </c>
      <c r="U15" s="103">
        <f>R15/VLOOKUP($A15,Население!$A$1:$B$30,2,FALSE)*10000</f>
        <v>0</v>
      </c>
      <c r="V15" s="102" t="str">
        <f t="shared" si="9"/>
        <v>--</v>
      </c>
    </row>
    <row r="16" spans="1:22" ht="18.75" x14ac:dyDescent="0.2">
      <c r="A16" s="99" t="str">
        <f>Grig1!A$30</f>
        <v>Красночетайский</v>
      </c>
      <c r="B16" s="101">
        <f>Grig1!B30</f>
        <v>15</v>
      </c>
      <c r="C16" s="100">
        <f>Grig1!C30</f>
        <v>22</v>
      </c>
      <c r="D16" s="102">
        <f t="shared" si="1"/>
        <v>0.46666666666666656</v>
      </c>
      <c r="E16" s="155">
        <f>Grig1!E30</f>
        <v>531000</v>
      </c>
      <c r="F16" s="154">
        <f>Grig1!F30</f>
        <v>3270000</v>
      </c>
      <c r="G16" s="102">
        <f t="shared" si="2"/>
        <v>5.1581920903954801</v>
      </c>
      <c r="H16" s="104">
        <f>B16/VLOOKUP($A16,Население!$A$1:$B$30,2,FALSE)*10000</f>
        <v>10.397892693747401</v>
      </c>
      <c r="I16" s="103">
        <f>C16/VLOOKUP($A16,Население!$A$1:$B$30,2,FALSE)*10000</f>
        <v>15.250242617496188</v>
      </c>
      <c r="J16" s="102">
        <f t="shared" si="3"/>
        <v>0.46666666666666656</v>
      </c>
      <c r="K16" s="155">
        <f t="shared" si="4"/>
        <v>35400</v>
      </c>
      <c r="L16" s="154">
        <f t="shared" si="5"/>
        <v>148636.36363636365</v>
      </c>
      <c r="M16" s="102">
        <f t="shared" si="6"/>
        <v>3.1987673343605554</v>
      </c>
      <c r="N16" s="104">
        <f>E16/VLOOKUP($A16,Население!$A$1:$B$30,2,FALSE)</f>
        <v>36.808540135865798</v>
      </c>
      <c r="O16" s="103">
        <f>F16/VLOOKUP($A16,Население!$A$1:$B$30,2,FALSE)</f>
        <v>226.67406072369334</v>
      </c>
      <c r="P16" s="102">
        <f t="shared" si="7"/>
        <v>5.1581920903954801</v>
      </c>
      <c r="Q16" s="101">
        <f>Grig1!H30</f>
        <v>1</v>
      </c>
      <c r="R16" s="100">
        <f>Grig1!I30</f>
        <v>2</v>
      </c>
      <c r="S16" s="102">
        <f t="shared" si="8"/>
        <v>1</v>
      </c>
      <c r="T16" s="104">
        <f>Q16/VLOOKUP($A16,Население!$A$1:$B$30,2,FALSE)*10000</f>
        <v>0.69319284624982669</v>
      </c>
      <c r="U16" s="103">
        <f>R16/VLOOKUP($A16,Население!$A$1:$B$30,2,FALSE)*10000</f>
        <v>1.3863856924996534</v>
      </c>
      <c r="V16" s="102">
        <f t="shared" si="9"/>
        <v>1</v>
      </c>
    </row>
    <row r="17" spans="1:22" ht="18.75" x14ac:dyDescent="0.2">
      <c r="A17" s="99" t="str">
        <f>Grig1!A$32</f>
        <v>Марпосадский</v>
      </c>
      <c r="B17" s="101">
        <f>Grig1!B32</f>
        <v>17</v>
      </c>
      <c r="C17" s="100">
        <f>Grig1!C32</f>
        <v>18</v>
      </c>
      <c r="D17" s="102">
        <f t="shared" si="1"/>
        <v>5.8823529411764636E-2</v>
      </c>
      <c r="E17" s="155">
        <f>Grig1!E32</f>
        <v>2221000</v>
      </c>
      <c r="F17" s="154">
        <f>Grig1!F32</f>
        <v>2640000</v>
      </c>
      <c r="G17" s="102">
        <f t="shared" si="2"/>
        <v>0.18865375956776234</v>
      </c>
      <c r="H17" s="104">
        <f>B17/VLOOKUP($A17,Население!$A$1:$B$30,2,FALSE)*10000</f>
        <v>7.5855606621748253</v>
      </c>
      <c r="I17" s="103">
        <f>C17/VLOOKUP($A17,Население!$A$1:$B$30,2,FALSE)*10000</f>
        <v>8.0317701128909906</v>
      </c>
      <c r="J17" s="102">
        <f t="shared" si="3"/>
        <v>5.8823529411764497E-2</v>
      </c>
      <c r="K17" s="155">
        <f t="shared" si="4"/>
        <v>130647.05882352941</v>
      </c>
      <c r="L17" s="154">
        <f t="shared" si="5"/>
        <v>146666.66666666666</v>
      </c>
      <c r="M17" s="102">
        <f t="shared" si="6"/>
        <v>0.12261743959177536</v>
      </c>
      <c r="N17" s="104">
        <f>E17/VLOOKUP($A17,Население!$A$1:$B$30,2,FALSE)</f>
        <v>99.103119004060503</v>
      </c>
      <c r="O17" s="103">
        <f>F17/VLOOKUP($A17,Население!$A$1:$B$30,2,FALSE)</f>
        <v>117.79929498906787</v>
      </c>
      <c r="P17" s="102">
        <f t="shared" si="7"/>
        <v>0.18865375956776234</v>
      </c>
      <c r="Q17" s="101">
        <f>Grig1!H32</f>
        <v>4</v>
      </c>
      <c r="R17" s="100">
        <f>Grig1!I32</f>
        <v>2</v>
      </c>
      <c r="S17" s="102">
        <f t="shared" si="8"/>
        <v>-0.5</v>
      </c>
      <c r="T17" s="104">
        <f>Q17/VLOOKUP($A17,Население!$A$1:$B$30,2,FALSE)*10000</f>
        <v>1.7848378028646648</v>
      </c>
      <c r="U17" s="103">
        <f>R17/VLOOKUP($A17,Население!$A$1:$B$30,2,FALSE)*10000</f>
        <v>0.89241890143233238</v>
      </c>
      <c r="V17" s="102">
        <f t="shared" si="9"/>
        <v>-0.5</v>
      </c>
    </row>
    <row r="18" spans="1:22" ht="18.75" x14ac:dyDescent="0.2">
      <c r="A18" s="99" t="str">
        <f>Grig1!A$34</f>
        <v>Моргаушский</v>
      </c>
      <c r="B18" s="101">
        <f>Grig1!B34</f>
        <v>33</v>
      </c>
      <c r="C18" s="100">
        <f>Grig1!C34</f>
        <v>34</v>
      </c>
      <c r="D18" s="102">
        <f t="shared" si="1"/>
        <v>3.0303030303030311E-2</v>
      </c>
      <c r="E18" s="155">
        <f>Grig1!E34</f>
        <v>3552400</v>
      </c>
      <c r="F18" s="154">
        <f>Grig1!F34</f>
        <v>5243000</v>
      </c>
      <c r="G18" s="102">
        <f t="shared" si="2"/>
        <v>0.47590361445783147</v>
      </c>
      <c r="H18" s="104">
        <f>B18/VLOOKUP($A18,Население!$A$1:$B$30,2,FALSE)*10000</f>
        <v>9.9972734708715798</v>
      </c>
      <c r="I18" s="103">
        <f>C18/VLOOKUP($A18,Население!$A$1:$B$30,2,FALSE)*10000</f>
        <v>10.300221151807083</v>
      </c>
      <c r="J18" s="102">
        <f t="shared" si="3"/>
        <v>3.0303030303030453E-2</v>
      </c>
      <c r="K18" s="155">
        <f t="shared" si="4"/>
        <v>107648.48484848485</v>
      </c>
      <c r="L18" s="154">
        <f t="shared" si="5"/>
        <v>154205.88235294117</v>
      </c>
      <c r="M18" s="102">
        <f t="shared" si="6"/>
        <v>0.43249468462083629</v>
      </c>
      <c r="N18" s="104">
        <f>E18/VLOOKUP($A18,Население!$A$1:$B$30,2,FALSE)</f>
        <v>107.61913417552789</v>
      </c>
      <c r="O18" s="103">
        <f>F18/VLOOKUP($A18,Население!$A$1:$B$30,2,FALSE)</f>
        <v>158.83546911448394</v>
      </c>
      <c r="P18" s="102">
        <f t="shared" si="7"/>
        <v>0.47590361445783147</v>
      </c>
      <c r="Q18" s="101">
        <f>Grig1!H34</f>
        <v>4</v>
      </c>
      <c r="R18" s="100">
        <f>Grig1!I34</f>
        <v>4</v>
      </c>
      <c r="S18" s="102">
        <f t="shared" si="8"/>
        <v>0</v>
      </c>
      <c r="T18" s="104">
        <f>Q18/VLOOKUP($A18,Население!$A$1:$B$30,2,FALSE)*10000</f>
        <v>1.2117907237420098</v>
      </c>
      <c r="U18" s="103">
        <f>R18/VLOOKUP($A18,Население!$A$1:$B$30,2,FALSE)*10000</f>
        <v>1.2117907237420098</v>
      </c>
      <c r="V18" s="102">
        <f t="shared" si="9"/>
        <v>0</v>
      </c>
    </row>
    <row r="19" spans="1:22" ht="18.75" x14ac:dyDescent="0.2">
      <c r="A19" s="99" t="str">
        <f>Grig1!A$37</f>
        <v>г.Новочебоксарск</v>
      </c>
      <c r="B19" s="101">
        <f>Grig1!B37</f>
        <v>28</v>
      </c>
      <c r="C19" s="100">
        <f>Grig1!C37</f>
        <v>50</v>
      </c>
      <c r="D19" s="102">
        <f t="shared" si="1"/>
        <v>0.78571428571428581</v>
      </c>
      <c r="E19" s="155">
        <f>Grig1!E37</f>
        <v>4400546</v>
      </c>
      <c r="F19" s="154">
        <f>Grig1!F37</f>
        <v>4944595</v>
      </c>
      <c r="G19" s="102">
        <f t="shared" si="2"/>
        <v>0.12363215837307465</v>
      </c>
      <c r="H19" s="104">
        <f>B19/VLOOKUP($A19,Население!$A$1:$B$30,2,FALSE)*10000</f>
        <v>2.2209531061615584</v>
      </c>
      <c r="I19" s="103">
        <f>C19/VLOOKUP($A19,Население!$A$1:$B$30,2,FALSE)*10000</f>
        <v>3.9659876895742112</v>
      </c>
      <c r="J19" s="102">
        <f t="shared" si="3"/>
        <v>0.78571428571428559</v>
      </c>
      <c r="K19" s="155">
        <f t="shared" si="4"/>
        <v>157162.35714285713</v>
      </c>
      <c r="L19" s="154">
        <f t="shared" si="5"/>
        <v>98891.9</v>
      </c>
      <c r="M19" s="102">
        <f t="shared" si="6"/>
        <v>-0.37076599131107818</v>
      </c>
      <c r="N19" s="104">
        <f>E19/VLOOKUP($A19,Население!$A$1:$B$30,2,FALSE)</f>
        <v>34.905022526810079</v>
      </c>
      <c r="O19" s="103">
        <f>F19/VLOOKUP($A19,Население!$A$1:$B$30,2,FALSE)</f>
        <v>39.220405799860394</v>
      </c>
      <c r="P19" s="102">
        <f t="shared" si="7"/>
        <v>0.12363215837307451</v>
      </c>
      <c r="Q19" s="101">
        <f>Grig1!H37</f>
        <v>1</v>
      </c>
      <c r="R19" s="100">
        <f>Grig1!I37</f>
        <v>1</v>
      </c>
      <c r="S19" s="102">
        <f t="shared" si="8"/>
        <v>0</v>
      </c>
      <c r="T19" s="104">
        <f>Q19/VLOOKUP($A19,Население!$A$1:$B$30,2,FALSE)*10000</f>
        <v>7.9319753791484232E-2</v>
      </c>
      <c r="U19" s="103">
        <f>R19/VLOOKUP($A19,Население!$A$1:$B$30,2,FALSE)*10000</f>
        <v>7.9319753791484232E-2</v>
      </c>
      <c r="V19" s="102">
        <f t="shared" si="9"/>
        <v>0</v>
      </c>
    </row>
    <row r="20" spans="1:22" ht="18.75" x14ac:dyDescent="0.2">
      <c r="A20" s="99" t="str">
        <f>Grig1!A$38</f>
        <v>Порецкий</v>
      </c>
      <c r="B20" s="101">
        <f>Grig1!B38</f>
        <v>13</v>
      </c>
      <c r="C20" s="100">
        <f>Grig1!C38</f>
        <v>14</v>
      </c>
      <c r="D20" s="102">
        <f t="shared" si="1"/>
        <v>7.6923076923076927E-2</v>
      </c>
      <c r="E20" s="155">
        <f>Grig1!E38</f>
        <v>1065700</v>
      </c>
      <c r="F20" s="154">
        <f>Grig1!F38</f>
        <v>4295500</v>
      </c>
      <c r="G20" s="102">
        <f t="shared" si="2"/>
        <v>3.0306840574270435</v>
      </c>
      <c r="H20" s="104">
        <f>B20/VLOOKUP($A20,Население!$A$1:$B$30,2,FALSE)*10000</f>
        <v>10.312549579565287</v>
      </c>
      <c r="I20" s="103">
        <f>C20/VLOOKUP($A20,Население!$A$1:$B$30,2,FALSE)*10000</f>
        <v>11.105822624147232</v>
      </c>
      <c r="J20" s="102">
        <f t="shared" si="3"/>
        <v>7.6923076923076789E-2</v>
      </c>
      <c r="K20" s="155">
        <f t="shared" si="4"/>
        <v>81976.923076923078</v>
      </c>
      <c r="L20" s="154">
        <f t="shared" si="5"/>
        <v>306821.42857142858</v>
      </c>
      <c r="M20" s="102">
        <f t="shared" si="6"/>
        <v>2.7427780533251114</v>
      </c>
      <c r="N20" s="104">
        <f>E20/VLOOKUP($A20,Население!$A$1:$B$30,2,FALSE)</f>
        <v>84.539108361097888</v>
      </c>
      <c r="O20" s="103">
        <f>F20/VLOOKUP($A20,Население!$A$1:$B$30,2,FALSE)</f>
        <v>340.7504363001745</v>
      </c>
      <c r="P20" s="102">
        <f t="shared" si="7"/>
        <v>3.0306840574270426</v>
      </c>
      <c r="Q20" s="101">
        <f>Grig1!H38</f>
        <v>0</v>
      </c>
      <c r="R20" s="100">
        <f>Grig1!I38</f>
        <v>1</v>
      </c>
      <c r="S20" s="102" t="str">
        <f t="shared" si="8"/>
        <v>--</v>
      </c>
      <c r="T20" s="104">
        <f>Q20/VLOOKUP($A20,Население!$A$1:$B$30,2,FALSE)*10000</f>
        <v>0</v>
      </c>
      <c r="U20" s="103">
        <f>R20/VLOOKUP($A20,Население!$A$1:$B$30,2,FALSE)*10000</f>
        <v>0.79327304458194514</v>
      </c>
      <c r="V20" s="102" t="str">
        <f t="shared" si="9"/>
        <v>--</v>
      </c>
    </row>
    <row r="21" spans="1:22" ht="18.75" x14ac:dyDescent="0.2">
      <c r="A21" s="99" t="str">
        <f>Grig1!A$40</f>
        <v>Урмарский</v>
      </c>
      <c r="B21" s="101">
        <f>Grig1!B40</f>
        <v>20</v>
      </c>
      <c r="C21" s="100">
        <f>Grig1!C40</f>
        <v>24</v>
      </c>
      <c r="D21" s="102">
        <f t="shared" si="1"/>
        <v>0.2</v>
      </c>
      <c r="E21" s="155">
        <f>Grig1!E40</f>
        <v>2736242</v>
      </c>
      <c r="F21" s="154">
        <f>Grig1!F40</f>
        <v>4055000</v>
      </c>
      <c r="G21" s="102">
        <f t="shared" si="2"/>
        <v>0.48195956351813918</v>
      </c>
      <c r="H21" s="104">
        <f>B21/VLOOKUP($A21,Население!$A$1:$B$30,2,FALSE)*10000</f>
        <v>8.6986778009742522</v>
      </c>
      <c r="I21" s="103">
        <f>C21/VLOOKUP($A21,Население!$A$1:$B$30,2,FALSE)*10000</f>
        <v>10.438413361169101</v>
      </c>
      <c r="J21" s="102">
        <f t="shared" si="3"/>
        <v>0.19999999999999971</v>
      </c>
      <c r="K21" s="155">
        <f t="shared" si="4"/>
        <v>136812.1</v>
      </c>
      <c r="L21" s="154">
        <f t="shared" si="5"/>
        <v>168958.33333333334</v>
      </c>
      <c r="M21" s="102">
        <f t="shared" si="6"/>
        <v>0.23496630293178269</v>
      </c>
      <c r="N21" s="104">
        <f>E21/VLOOKUP($A21,Население!$A$1:$B$30,2,FALSE)</f>
        <v>119.00843771746695</v>
      </c>
      <c r="O21" s="103">
        <f>F21/VLOOKUP($A21,Население!$A$1:$B$30,2,FALSE)</f>
        <v>176.36569241475297</v>
      </c>
      <c r="P21" s="102">
        <f t="shared" si="7"/>
        <v>0.48195956351813918</v>
      </c>
      <c r="Q21" s="101">
        <f>Grig1!H40</f>
        <v>1</v>
      </c>
      <c r="R21" s="100">
        <f>Grig1!I40</f>
        <v>3</v>
      </c>
      <c r="S21" s="102">
        <f t="shared" si="8"/>
        <v>2</v>
      </c>
      <c r="T21" s="104">
        <f>Q21/VLOOKUP($A21,Население!$A$1:$B$30,2,FALSE)*10000</f>
        <v>0.43493389004871263</v>
      </c>
      <c r="U21" s="103">
        <f>R21/VLOOKUP($A21,Население!$A$1:$B$30,2,FALSE)*10000</f>
        <v>1.3048016701461376</v>
      </c>
      <c r="V21" s="102">
        <f t="shared" si="9"/>
        <v>1.9999999999999993</v>
      </c>
    </row>
    <row r="22" spans="1:22" ht="18.75" x14ac:dyDescent="0.2">
      <c r="A22" s="99" t="str">
        <f>Grig1!A$42</f>
        <v>Цивильский</v>
      </c>
      <c r="B22" s="101">
        <f>Grig1!B42</f>
        <v>39</v>
      </c>
      <c r="C22" s="100">
        <f>Grig1!C42</f>
        <v>27</v>
      </c>
      <c r="D22" s="102">
        <f t="shared" si="1"/>
        <v>-0.30769230769230771</v>
      </c>
      <c r="E22" s="155">
        <f>Grig1!E42</f>
        <v>4217000</v>
      </c>
      <c r="F22" s="154">
        <f>Grig1!F42</f>
        <v>4650100</v>
      </c>
      <c r="G22" s="102">
        <f t="shared" si="2"/>
        <v>0.10270334360920089</v>
      </c>
      <c r="H22" s="104">
        <f>B22/VLOOKUP($A22,Население!$A$1:$B$30,2,FALSE)*10000</f>
        <v>10.826416456153012</v>
      </c>
      <c r="I22" s="103">
        <f>C22/VLOOKUP($A22,Население!$A$1:$B$30,2,FALSE)*10000</f>
        <v>7.4952113927213162</v>
      </c>
      <c r="J22" s="102">
        <f t="shared" si="3"/>
        <v>-0.3076923076923076</v>
      </c>
      <c r="K22" s="155">
        <f t="shared" si="4"/>
        <v>108128.20512820513</v>
      </c>
      <c r="L22" s="154">
        <f t="shared" si="5"/>
        <v>172225.92592592593</v>
      </c>
      <c r="M22" s="102">
        <f t="shared" si="6"/>
        <v>0.59279371854662344</v>
      </c>
      <c r="N22" s="104">
        <f>E22/VLOOKUP($A22,Население!$A$1:$B$30,2,FALSE)</f>
        <v>117.06409793742887</v>
      </c>
      <c r="O22" s="103">
        <f>F22/VLOOKUP($A22,Население!$A$1:$B$30,2,FALSE)</f>
        <v>129.08697221219776</v>
      </c>
      <c r="P22" s="102">
        <f t="shared" si="7"/>
        <v>0.10270334360920075</v>
      </c>
      <c r="Q22" s="101">
        <f>Grig1!H42</f>
        <v>1</v>
      </c>
      <c r="R22" s="100">
        <f>Grig1!I42</f>
        <v>2</v>
      </c>
      <c r="S22" s="102">
        <f t="shared" si="8"/>
        <v>1</v>
      </c>
      <c r="T22" s="104">
        <f>Q22/VLOOKUP($A22,Население!$A$1:$B$30,2,FALSE)*10000</f>
        <v>0.2776004219526414</v>
      </c>
      <c r="U22" s="103">
        <f>R22/VLOOKUP($A22,Население!$A$1:$B$30,2,FALSE)*10000</f>
        <v>0.55520084390528279</v>
      </c>
      <c r="V22" s="102">
        <f t="shared" si="9"/>
        <v>1</v>
      </c>
    </row>
    <row r="23" spans="1:22" ht="18.75" x14ac:dyDescent="0.2">
      <c r="A23" s="99" t="str">
        <f>Grig1!A$44</f>
        <v>Чебоксарский</v>
      </c>
      <c r="B23" s="101">
        <f>Grig1!B44</f>
        <v>57</v>
      </c>
      <c r="C23" s="100">
        <f>Grig1!C44</f>
        <v>55</v>
      </c>
      <c r="D23" s="102">
        <f t="shared" si="1"/>
        <v>-3.5087719298245619E-2</v>
      </c>
      <c r="E23" s="155">
        <f>Grig1!E44</f>
        <v>14510418</v>
      </c>
      <c r="F23" s="154">
        <f>Grig1!F44</f>
        <v>7905161</v>
      </c>
      <c r="G23" s="102">
        <f t="shared" si="2"/>
        <v>-0.45520790648484422</v>
      </c>
      <c r="H23" s="104">
        <f>B23/VLOOKUP($A23,Население!$A$1:$B$30,2,FALSE)*10000</f>
        <v>9.1578034124867447</v>
      </c>
      <c r="I23" s="103">
        <f>C23/VLOOKUP($A23,Население!$A$1:$B$30,2,FALSE)*10000</f>
        <v>8.8364769769608955</v>
      </c>
      <c r="J23" s="102">
        <f t="shared" si="3"/>
        <v>-3.5087719298245335E-2</v>
      </c>
      <c r="K23" s="155">
        <f t="shared" si="4"/>
        <v>254568.73684210525</v>
      </c>
      <c r="L23" s="154">
        <f t="shared" si="5"/>
        <v>143730.20000000001</v>
      </c>
      <c r="M23" s="102">
        <f t="shared" si="6"/>
        <v>-0.43539728490247476</v>
      </c>
      <c r="N23" s="104">
        <f>E23/VLOOKUP($A23,Население!$A$1:$B$30,2,FALSE)</f>
        <v>233.12904469650718</v>
      </c>
      <c r="O23" s="103">
        <f>F23/VLOOKUP($A23,Население!$A$1:$B$30,2,FALSE)</f>
        <v>127.00686031939847</v>
      </c>
      <c r="P23" s="102">
        <f t="shared" si="7"/>
        <v>-0.45520790648484422</v>
      </c>
      <c r="Q23" s="101">
        <f>Grig1!H44</f>
        <v>6</v>
      </c>
      <c r="R23" s="100">
        <f>Grig1!I44</f>
        <v>3</v>
      </c>
      <c r="S23" s="102">
        <f t="shared" si="8"/>
        <v>-0.5</v>
      </c>
      <c r="T23" s="104">
        <f>Q23/VLOOKUP($A23,Население!$A$1:$B$30,2,FALSE)*10000</f>
        <v>0.96397930657755215</v>
      </c>
      <c r="U23" s="103">
        <f>R23/VLOOKUP($A23,Население!$A$1:$B$30,2,FALSE)*10000</f>
        <v>0.48198965328877608</v>
      </c>
      <c r="V23" s="102">
        <f t="shared" si="9"/>
        <v>-0.5</v>
      </c>
    </row>
    <row r="24" spans="1:22" ht="18.75" x14ac:dyDescent="0.2">
      <c r="A24" s="99" t="str">
        <f>Grig1!A$46</f>
        <v>Шемуршинский</v>
      </c>
      <c r="B24" s="101">
        <f>Grig1!B46</f>
        <v>9</v>
      </c>
      <c r="C24" s="100">
        <f>Grig1!C46</f>
        <v>16</v>
      </c>
      <c r="D24" s="102">
        <f t="shared" si="1"/>
        <v>0.77777777777777768</v>
      </c>
      <c r="E24" s="155">
        <f>Grig1!E46</f>
        <v>906000</v>
      </c>
      <c r="F24" s="154">
        <f>Grig1!F46</f>
        <v>2231136</v>
      </c>
      <c r="G24" s="102">
        <f t="shared" si="2"/>
        <v>1.4626225165562914</v>
      </c>
      <c r="H24" s="104">
        <f>B24/VLOOKUP($A24,Население!$A$1:$B$30,2,FALSE)*10000</f>
        <v>7.1604741825125311</v>
      </c>
      <c r="I24" s="103">
        <f>C24/VLOOKUP($A24,Население!$A$1:$B$30,2,FALSE)*10000</f>
        <v>12.729731880022277</v>
      </c>
      <c r="J24" s="102">
        <f t="shared" si="3"/>
        <v>0.77777777777777768</v>
      </c>
      <c r="K24" s="155">
        <f t="shared" si="4"/>
        <v>100666.66666666667</v>
      </c>
      <c r="L24" s="154">
        <f t="shared" si="5"/>
        <v>139446</v>
      </c>
      <c r="M24" s="102">
        <f t="shared" si="6"/>
        <v>0.38522516556291381</v>
      </c>
      <c r="N24" s="104">
        <f>E24/VLOOKUP($A24,Население!$A$1:$B$30,2,FALSE)</f>
        <v>72.08210677062614</v>
      </c>
      <c r="O24" s="103">
        <f>F24/VLOOKUP($A24,Население!$A$1:$B$30,2,FALSE)</f>
        <v>177.51101917415863</v>
      </c>
      <c r="P24" s="102">
        <f t="shared" si="7"/>
        <v>1.4626225165562914</v>
      </c>
      <c r="Q24" s="101">
        <f>Grig1!H46</f>
        <v>1</v>
      </c>
      <c r="R24" s="100">
        <f>Grig1!I46</f>
        <v>2</v>
      </c>
      <c r="S24" s="102">
        <f t="shared" si="8"/>
        <v>1</v>
      </c>
      <c r="T24" s="104">
        <f>Q24/VLOOKUP($A24,Население!$A$1:$B$30,2,FALSE)*10000</f>
        <v>0.79560824250139228</v>
      </c>
      <c r="U24" s="103">
        <f>R24/VLOOKUP($A24,Население!$A$1:$B$30,2,FALSE)*10000</f>
        <v>1.5912164850027846</v>
      </c>
      <c r="V24" s="102">
        <f t="shared" si="9"/>
        <v>1.0000000000000002</v>
      </c>
    </row>
    <row r="25" spans="1:22" ht="18.75" x14ac:dyDescent="0.2">
      <c r="A25" s="99" t="str">
        <f>Grig1!A$48</f>
        <v>Шумерлинский</v>
      </c>
      <c r="B25" s="101">
        <f>Grig1!B48</f>
        <v>16</v>
      </c>
      <c r="C25" s="100">
        <f>Grig1!C48</f>
        <v>14</v>
      </c>
      <c r="D25" s="102">
        <f t="shared" si="1"/>
        <v>-0.125</v>
      </c>
      <c r="E25" s="155">
        <f>Grig1!E48</f>
        <v>2000000</v>
      </c>
      <c r="F25" s="154">
        <f>Grig1!F48</f>
        <v>2034500</v>
      </c>
      <c r="G25" s="102">
        <f t="shared" si="2"/>
        <v>1.7249999999999942E-2</v>
      </c>
      <c r="H25" s="104">
        <f>B25/VLOOKUP($A25,Население!$A$1:$B$30,2,FALSE)*10000</f>
        <v>17.530404294949054</v>
      </c>
      <c r="I25" s="103">
        <f>C25/VLOOKUP($A25,Население!$A$1:$B$30,2,FALSE)*10000</f>
        <v>15.339103758080421</v>
      </c>
      <c r="J25" s="102">
        <f t="shared" si="3"/>
        <v>-0.12500000000000014</v>
      </c>
      <c r="K25" s="155">
        <f t="shared" si="4"/>
        <v>125000</v>
      </c>
      <c r="L25" s="154">
        <f t="shared" si="5"/>
        <v>145321.42857142858</v>
      </c>
      <c r="M25" s="102">
        <f t="shared" si="6"/>
        <v>0.16257142857142867</v>
      </c>
      <c r="N25" s="104">
        <f>E25/VLOOKUP($A25,Население!$A$1:$B$30,2,FALSE)</f>
        <v>219.13005368686316</v>
      </c>
      <c r="O25" s="103">
        <f>F25/VLOOKUP($A25,Население!$A$1:$B$30,2,FALSE)</f>
        <v>222.91004711296154</v>
      </c>
      <c r="P25" s="102">
        <f t="shared" si="7"/>
        <v>1.7249999999999942E-2</v>
      </c>
      <c r="Q25" s="101">
        <f>Grig1!H48</f>
        <v>0</v>
      </c>
      <c r="R25" s="100">
        <f>Grig1!I48</f>
        <v>3</v>
      </c>
      <c r="S25" s="102" t="str">
        <f t="shared" si="8"/>
        <v>--</v>
      </c>
      <c r="T25" s="104">
        <f>Q25/VLOOKUP($A25,Население!$A$1:$B$30,2,FALSE)*10000</f>
        <v>0</v>
      </c>
      <c r="U25" s="103">
        <f>R25/VLOOKUP($A25,Население!$A$1:$B$30,2,FALSE)*10000</f>
        <v>3.286950805302947</v>
      </c>
      <c r="V25" s="102" t="str">
        <f t="shared" si="9"/>
        <v>--</v>
      </c>
    </row>
    <row r="26" spans="1:22" ht="18.75" x14ac:dyDescent="0.2">
      <c r="A26" s="99" t="s">
        <v>297</v>
      </c>
      <c r="B26" s="101">
        <f>Grig1!B49</f>
        <v>24</v>
      </c>
      <c r="C26" s="100">
        <f>Grig1!C49</f>
        <v>19</v>
      </c>
      <c r="D26" s="102">
        <f t="shared" ref="D26" si="28">IF(B26=0,"--",(((C26*100)/B26)-100)/100)</f>
        <v>-0.20833333333333329</v>
      </c>
      <c r="E26" s="155">
        <f>Grig1!E49</f>
        <v>4400750</v>
      </c>
      <c r="F26" s="154">
        <f>Grig1!F49</f>
        <v>2467000</v>
      </c>
      <c r="G26" s="102">
        <f t="shared" ref="G26" si="29">IF(E26=0,"--",(((F26*100)/E26)-100)/100)</f>
        <v>-0.43941373629494973</v>
      </c>
      <c r="H26" s="104">
        <f>B26/VLOOKUP($A26,Население!$A$1:$B$30,2,FALSE)*10000</f>
        <v>8.1210029438635676</v>
      </c>
      <c r="I26" s="103">
        <f>C26/VLOOKUP($A26,Население!$A$1:$B$30,2,FALSE)*10000</f>
        <v>6.4291273305586571</v>
      </c>
      <c r="J26" s="102">
        <f t="shared" ref="J26" si="30">IF(H26=0,"--",(((I26*100)/H26)-100)/100)</f>
        <v>-0.20833333333333343</v>
      </c>
      <c r="K26" s="155">
        <f t="shared" ref="K26" si="31">E26/B26</f>
        <v>183364.58333333334</v>
      </c>
      <c r="L26" s="154">
        <f t="shared" ref="L26" si="32">F26/C26</f>
        <v>129842.10526315789</v>
      </c>
      <c r="M26" s="102">
        <f t="shared" ref="M26" si="33">IF(K26=0,"--",(((L26*100)/K26)-100)/100)</f>
        <v>-0.29189103531993654</v>
      </c>
      <c r="N26" s="104">
        <f>E26/VLOOKUP($A26,Население!$A$1:$B$30,2,FALSE)</f>
        <v>148.91043210503165</v>
      </c>
      <c r="O26" s="103">
        <f>F26/VLOOKUP($A26,Население!$A$1:$B$30,2,FALSE)</f>
        <v>83.477142760464247</v>
      </c>
      <c r="P26" s="102">
        <f t="shared" ref="P26" si="34">IF(N26=0,"--",(((O26*100)/N26)-100)/100)</f>
        <v>-0.43941373629494973</v>
      </c>
      <c r="Q26" s="101">
        <f>Grig1!H49</f>
        <v>2</v>
      </c>
      <c r="R26" s="100">
        <f>Grig1!I49</f>
        <v>0</v>
      </c>
      <c r="S26" s="102">
        <f t="shared" ref="S26" si="35">IF(Q26=0,"--",(((R26*100)/Q26)-100)/100)</f>
        <v>-1</v>
      </c>
      <c r="T26" s="104">
        <f>Q26/VLOOKUP($A26,Население!$A$1:$B$30,2,FALSE)*10000</f>
        <v>0.67675024532196393</v>
      </c>
      <c r="U26" s="103">
        <f>R26/VLOOKUP($A26,Население!$A$1:$B$30,2,FALSE)*10000</f>
        <v>0</v>
      </c>
      <c r="V26" s="102">
        <f t="shared" ref="V26" si="36">IF(T26=0,"--",(((U26*100)/T26)-100)/100)</f>
        <v>-1</v>
      </c>
    </row>
    <row r="27" spans="1:22" ht="18.75" x14ac:dyDescent="0.2">
      <c r="A27" s="99" t="str">
        <f>Grig1!A$50</f>
        <v>Ядринский</v>
      </c>
      <c r="B27" s="101">
        <f>Grig1!B50</f>
        <v>29</v>
      </c>
      <c r="C27" s="100">
        <f>Grig1!C50</f>
        <v>25</v>
      </c>
      <c r="D27" s="102">
        <f t="shared" si="1"/>
        <v>-0.13793103448275856</v>
      </c>
      <c r="E27" s="155">
        <f>Grig1!E50</f>
        <v>6138347</v>
      </c>
      <c r="F27" s="154">
        <f>Grig1!F50</f>
        <v>3005000</v>
      </c>
      <c r="G27" s="102">
        <f t="shared" si="2"/>
        <v>-0.51045452464645613</v>
      </c>
      <c r="H27" s="104">
        <f>B27/VLOOKUP($A27,Население!$A$1:$B$30,2,FALSE)*10000</f>
        <v>11.126031076155764</v>
      </c>
      <c r="I27" s="103">
        <f>C27/VLOOKUP($A27,Население!$A$1:$B$30,2,FALSE)*10000</f>
        <v>9.5914061001342787</v>
      </c>
      <c r="J27" s="102">
        <f t="shared" si="3"/>
        <v>-0.13793103448275856</v>
      </c>
      <c r="K27" s="155">
        <f t="shared" si="4"/>
        <v>211667.13793103449</v>
      </c>
      <c r="L27" s="154">
        <f t="shared" si="5"/>
        <v>120200</v>
      </c>
      <c r="M27" s="102">
        <f t="shared" si="6"/>
        <v>-0.43212724858988916</v>
      </c>
      <c r="N27" s="104">
        <f>E27/VLOOKUP($A27,Население!$A$1:$B$30,2,FALSE)</f>
        <v>235.50151544216382</v>
      </c>
      <c r="O27" s="103">
        <f>F27/VLOOKUP($A27,Население!$A$1:$B$30,2,FALSE)</f>
        <v>115.28870132361403</v>
      </c>
      <c r="P27" s="102">
        <f t="shared" si="7"/>
        <v>-0.51045452464645613</v>
      </c>
      <c r="Q27" s="101">
        <f>Grig1!H50</f>
        <v>1</v>
      </c>
      <c r="R27" s="100">
        <f>Grig1!I50</f>
        <v>4</v>
      </c>
      <c r="S27" s="102">
        <f t="shared" si="8"/>
        <v>3</v>
      </c>
      <c r="T27" s="104">
        <f>Q27/VLOOKUP($A27,Население!$A$1:$B$30,2,FALSE)*10000</f>
        <v>0.38365624400537118</v>
      </c>
      <c r="U27" s="103">
        <f>R27/VLOOKUP($A27,Население!$A$1:$B$30,2,FALSE)*10000</f>
        <v>1.5346249760214847</v>
      </c>
      <c r="V27" s="102">
        <f t="shared" si="9"/>
        <v>2.9999999999999996</v>
      </c>
    </row>
    <row r="28" spans="1:22" ht="18.75" x14ac:dyDescent="0.2">
      <c r="A28" s="99" t="str">
        <f>Grig1!A$52</f>
        <v>Яльчикский</v>
      </c>
      <c r="B28" s="101">
        <f>Grig1!B52</f>
        <v>14</v>
      </c>
      <c r="C28" s="100">
        <f>Grig1!C52</f>
        <v>15</v>
      </c>
      <c r="D28" s="102">
        <f t="shared" si="1"/>
        <v>7.1428571428571383E-2</v>
      </c>
      <c r="E28" s="155">
        <f>Grig1!E52</f>
        <v>784000</v>
      </c>
      <c r="F28" s="154">
        <f>Grig1!F52</f>
        <v>1374528</v>
      </c>
      <c r="G28" s="102">
        <f t="shared" si="2"/>
        <v>0.75322448979591827</v>
      </c>
      <c r="H28" s="104">
        <f>B28/VLOOKUP($A28,Население!$A$1:$B$30,2,FALSE)*10000</f>
        <v>8.0789428126262326</v>
      </c>
      <c r="I28" s="103">
        <f>C28/VLOOKUP($A28,Население!$A$1:$B$30,2,FALSE)*10000</f>
        <v>8.6560101563852498</v>
      </c>
      <c r="J28" s="102">
        <f t="shared" si="3"/>
        <v>7.1428571428571536E-2</v>
      </c>
      <c r="K28" s="155">
        <f t="shared" si="4"/>
        <v>56000</v>
      </c>
      <c r="L28" s="154">
        <f t="shared" si="5"/>
        <v>91635.199999999997</v>
      </c>
      <c r="M28" s="102">
        <f t="shared" si="6"/>
        <v>0.6363428571428571</v>
      </c>
      <c r="N28" s="104">
        <f>E28/VLOOKUP($A28,Население!$A$1:$B$30,2,FALSE)</f>
        <v>45.242079750706907</v>
      </c>
      <c r="O28" s="103">
        <f>F28/VLOOKUP($A28,Население!$A$1:$B$30,2,FALSE)</f>
        <v>79.319522188239361</v>
      </c>
      <c r="P28" s="102">
        <f t="shared" si="7"/>
        <v>0.75322448979591827</v>
      </c>
      <c r="Q28" s="101">
        <f>Grig1!H52</f>
        <v>2</v>
      </c>
      <c r="R28" s="100">
        <f>Grig1!I52</f>
        <v>5</v>
      </c>
      <c r="S28" s="102">
        <f t="shared" si="8"/>
        <v>1.5</v>
      </c>
      <c r="T28" s="104">
        <f>Q28/VLOOKUP($A28,Население!$A$1:$B$30,2,FALSE)*10000</f>
        <v>1.1541346875180334</v>
      </c>
      <c r="U28" s="103">
        <f>R28/VLOOKUP($A28,Население!$A$1:$B$30,2,FALSE)*10000</f>
        <v>2.8853367187950836</v>
      </c>
      <c r="V28" s="102">
        <f t="shared" si="9"/>
        <v>1.5</v>
      </c>
    </row>
    <row r="29" spans="1:22" ht="18.75" x14ac:dyDescent="0.2">
      <c r="A29" s="99" t="str">
        <f>Grig1!A$54</f>
        <v>Янтиковский</v>
      </c>
      <c r="B29" s="101">
        <f>Grig1!B54</f>
        <v>8</v>
      </c>
      <c r="C29" s="100">
        <f>Grig1!C54</f>
        <v>11</v>
      </c>
      <c r="D29" s="102">
        <f t="shared" si="1"/>
        <v>0.375</v>
      </c>
      <c r="E29" s="155">
        <f>Grig1!E54</f>
        <v>938800</v>
      </c>
      <c r="F29" s="154">
        <f>Grig1!F54</f>
        <v>5335325</v>
      </c>
      <c r="G29" s="102">
        <f t="shared" si="2"/>
        <v>4.6831327226246273</v>
      </c>
      <c r="H29" s="104">
        <f>B29/VLOOKUP($A29,Население!$A$1:$B$30,2,FALSE)*10000</f>
        <v>5.3988392495613446</v>
      </c>
      <c r="I29" s="103">
        <f>C29/VLOOKUP($A29,Население!$A$1:$B$30,2,FALSE)*10000</f>
        <v>7.4234039681468484</v>
      </c>
      <c r="J29" s="102">
        <f t="shared" si="3"/>
        <v>0.375</v>
      </c>
      <c r="K29" s="155">
        <f t="shared" si="4"/>
        <v>117350</v>
      </c>
      <c r="L29" s="154">
        <f t="shared" si="5"/>
        <v>485029.54545454547</v>
      </c>
      <c r="M29" s="102">
        <f t="shared" si="6"/>
        <v>3.1331874346360928</v>
      </c>
      <c r="N29" s="104">
        <f>E29/VLOOKUP($A29,Население!$A$1:$B$30,2,FALSE)</f>
        <v>63.355378593602374</v>
      </c>
      <c r="O29" s="103">
        <f>F29/VLOOKUP($A29,Население!$A$1:$B$30,2,FALSE)</f>
        <v>360.05702523957348</v>
      </c>
      <c r="P29" s="102">
        <f t="shared" si="7"/>
        <v>4.6831327226246273</v>
      </c>
      <c r="Q29" s="101">
        <f>Grig1!H54</f>
        <v>3</v>
      </c>
      <c r="R29" s="100">
        <f>Grig1!I54</f>
        <v>1</v>
      </c>
      <c r="S29" s="102">
        <f t="shared" si="8"/>
        <v>-0.66666666666666652</v>
      </c>
      <c r="T29" s="104">
        <f>Q29/VLOOKUP($A29,Население!$A$1:$B$30,2,FALSE)*10000</f>
        <v>2.0245647185855042</v>
      </c>
      <c r="U29" s="103">
        <f>R29/VLOOKUP($A29,Население!$A$1:$B$30,2,FALSE)*10000</f>
        <v>0.67485490619516808</v>
      </c>
      <c r="V29" s="102">
        <f t="shared" si="9"/>
        <v>-0.66666666666666652</v>
      </c>
    </row>
    <row r="30" spans="1:22" ht="19.5" thickBot="1" x14ac:dyDescent="0.25">
      <c r="A30" s="99" t="s">
        <v>157</v>
      </c>
      <c r="B30" s="101">
        <f>Grig1!B6</f>
        <v>153</v>
      </c>
      <c r="C30" s="100">
        <f>Grig1!C6</f>
        <v>162</v>
      </c>
      <c r="D30" s="102">
        <f t="shared" si="1"/>
        <v>5.8823529411764636E-2</v>
      </c>
      <c r="E30" s="155">
        <f>Grig1!E6</f>
        <v>16416473</v>
      </c>
      <c r="F30" s="154">
        <f>Grig1!F6</f>
        <v>22023412</v>
      </c>
      <c r="G30" s="102">
        <f t="shared" si="2"/>
        <v>0.34154346064468283</v>
      </c>
      <c r="H30" s="104">
        <f>B30/VLOOKUP($A30,Население!$A$1:$B$30,2,FALSE)*10000</f>
        <v>3.12565117732861</v>
      </c>
      <c r="I30" s="103">
        <f>C30/VLOOKUP($A30,Население!$A$1:$B$30,2,FALSE)*10000</f>
        <v>3.3095130112891162</v>
      </c>
      <c r="J30" s="102">
        <f t="shared" si="3"/>
        <v>5.8823529411764636E-2</v>
      </c>
      <c r="K30" s="155">
        <f t="shared" si="4"/>
        <v>107297.2091503268</v>
      </c>
      <c r="L30" s="154">
        <f t="shared" si="5"/>
        <v>135946.98765432098</v>
      </c>
      <c r="M30" s="102">
        <f t="shared" si="6"/>
        <v>0.26701326838664502</v>
      </c>
      <c r="N30" s="104">
        <f>E30/VLOOKUP($A30,Население!$A$1:$B$30,2,FALSE)</f>
        <v>33.537364810479311</v>
      </c>
      <c r="O30" s="103">
        <f>F30/VLOOKUP($A30,Население!$A$1:$B$30,2,FALSE)</f>
        <v>44.99183244875362</v>
      </c>
      <c r="P30" s="102">
        <f t="shared" si="7"/>
        <v>0.34154346064468283</v>
      </c>
      <c r="Q30" s="101">
        <f>Grig1!H6</f>
        <v>9</v>
      </c>
      <c r="R30" s="100">
        <f>Grig1!I6</f>
        <v>7</v>
      </c>
      <c r="S30" s="102">
        <f t="shared" si="8"/>
        <v>-0.22222222222222229</v>
      </c>
      <c r="T30" s="104">
        <f>Q30/VLOOKUP($A30,Население!$A$1:$B$30,2,FALSE)*10000</f>
        <v>0.18386183396050648</v>
      </c>
      <c r="U30" s="103">
        <f>R30/VLOOKUP($A30,Население!$A$1:$B$30,2,FALSE)*10000</f>
        <v>0.14300364863594947</v>
      </c>
      <c r="V30" s="102">
        <f t="shared" si="9"/>
        <v>-0.22222222222222229</v>
      </c>
    </row>
    <row r="31" spans="1:22" ht="19.5" thickBot="1" x14ac:dyDescent="0.25">
      <c r="A31" s="111" t="str">
        <f>Grig1!A$58</f>
        <v>По республике</v>
      </c>
      <c r="B31" s="113">
        <f>SUM(B5:B30)</f>
        <v>748</v>
      </c>
      <c r="C31" s="112">
        <f>SUM(C5:C30)</f>
        <v>778</v>
      </c>
      <c r="D31" s="114">
        <f t="shared" si="1"/>
        <v>4.0106951871657796E-2</v>
      </c>
      <c r="E31" s="159">
        <f>SUM(E5:E30)</f>
        <v>104171269</v>
      </c>
      <c r="F31" s="158">
        <f>SUM(F5:F30)</f>
        <v>119476550</v>
      </c>
      <c r="G31" s="114">
        <f t="shared" si="2"/>
        <v>0.14692420613595489</v>
      </c>
      <c r="H31" s="116">
        <f>B31/VLOOKUP($A31,Население!$A$1:$B$30,2,FALSE)*10000</f>
        <v>6.0524507975398567</v>
      </c>
      <c r="I31" s="115">
        <f>C31/VLOOKUP($A31,Население!$A$1:$B$30,2,FALSE)*10000</f>
        <v>6.2951961503823641</v>
      </c>
      <c r="J31" s="114">
        <f t="shared" si="3"/>
        <v>4.0106951871657796E-2</v>
      </c>
      <c r="K31" s="159">
        <f t="shared" si="4"/>
        <v>139266.40240641712</v>
      </c>
      <c r="L31" s="158">
        <f t="shared" si="5"/>
        <v>153568.83033419022</v>
      </c>
      <c r="M31" s="114">
        <f t="shared" si="6"/>
        <v>0.1026983370047482</v>
      </c>
      <c r="N31" s="116">
        <f>E31/VLOOKUP($A31,Население!$A$1:$B$30,2,FALSE)</f>
        <v>84.29030483152259</v>
      </c>
      <c r="O31" s="115">
        <f>F31/VLOOKUP($A31,Население!$A$1:$B$30,2,FALSE)</f>
        <v>96.674590953851677</v>
      </c>
      <c r="P31" s="114">
        <f t="shared" si="7"/>
        <v>0.14692420613595472</v>
      </c>
      <c r="Q31" s="113">
        <f>SUM(Q5:Q30)</f>
        <v>57</v>
      </c>
      <c r="R31" s="112">
        <f>SUM(R5:R30)</f>
        <v>59</v>
      </c>
      <c r="S31" s="114">
        <f t="shared" si="8"/>
        <v>3.5087719298245619E-2</v>
      </c>
      <c r="T31" s="116">
        <f>Q31/VLOOKUP($A31,Население!$A$1:$B$30,2,FALSE)*10000</f>
        <v>0.46121617040076451</v>
      </c>
      <c r="U31" s="115">
        <f>R31/VLOOKUP($A31,Население!$A$1:$B$30,2,FALSE)*10000</f>
        <v>0.47739919392359836</v>
      </c>
      <c r="V31" s="114">
        <f t="shared" si="9"/>
        <v>3.5087719298245619E-2</v>
      </c>
    </row>
  </sheetData>
  <mergeCells count="1">
    <mergeCell ref="T3:V3"/>
  </mergeCells>
  <phoneticPr fontId="59" type="noConversion"/>
  <pageMargins left="0.39370078740157483" right="0.39370078740157483" top="0.78740157480314965" bottom="0.39370078740157483" header="0.51181102362204722" footer="0.51181102362204722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O40"/>
  <sheetViews>
    <sheetView zoomScaleNormal="100" zoomScaleSheetLayoutView="100" workbookViewId="0">
      <selection activeCell="D24" sqref="D24"/>
    </sheetView>
  </sheetViews>
  <sheetFormatPr defaultColWidth="10.28515625" defaultRowHeight="15.75" x14ac:dyDescent="0.25"/>
  <cols>
    <col min="1" max="1" width="26.42578125" style="75" customWidth="1"/>
    <col min="2" max="3" width="6.5703125" style="20" bestFit="1" customWidth="1"/>
    <col min="4" max="4" width="7.42578125" style="20" customWidth="1"/>
    <col min="5" max="6" width="9" style="20" bestFit="1" customWidth="1"/>
    <col min="7" max="7" width="7.5703125" style="20" bestFit="1" customWidth="1"/>
    <col min="8" max="8" width="10.28515625" style="20" customWidth="1"/>
    <col min="9" max="9" width="23" style="20" customWidth="1"/>
    <col min="10" max="11" width="6.42578125" style="20" bestFit="1" customWidth="1"/>
    <col min="12" max="12" width="9.5703125" style="20" bestFit="1" customWidth="1"/>
    <col min="13" max="14" width="9" style="20" bestFit="1" customWidth="1"/>
    <col min="15" max="15" width="9.5703125" style="20" bestFit="1" customWidth="1"/>
    <col min="16" max="16384" width="10.28515625" style="20"/>
  </cols>
  <sheetData>
    <row r="1" spans="1:15" ht="12.75" customHeight="1" x14ac:dyDescent="0.25">
      <c r="A1" s="666" t="s">
        <v>100</v>
      </c>
      <c r="B1" s="666"/>
      <c r="C1" s="666"/>
      <c r="D1" s="666"/>
      <c r="E1" s="666"/>
      <c r="F1" s="666"/>
      <c r="G1" s="666"/>
      <c r="I1" s="666" t="s">
        <v>101</v>
      </c>
      <c r="J1" s="666"/>
      <c r="K1" s="666"/>
      <c r="L1" s="666"/>
      <c r="M1" s="666"/>
      <c r="N1" s="666"/>
      <c r="O1" s="666"/>
    </row>
    <row r="2" spans="1:15" ht="12.75" customHeight="1" thickBot="1" x14ac:dyDescent="0.3">
      <c r="A2" s="673" t="s">
        <v>102</v>
      </c>
      <c r="B2" s="673"/>
      <c r="C2" s="673"/>
      <c r="D2" s="673"/>
      <c r="E2" s="673"/>
      <c r="F2" s="673"/>
      <c r="G2" s="673"/>
      <c r="I2" s="666" t="s">
        <v>103</v>
      </c>
      <c r="J2" s="666"/>
      <c r="K2" s="666"/>
      <c r="L2" s="666"/>
      <c r="M2" s="666"/>
      <c r="N2" s="666"/>
      <c r="O2" s="666"/>
    </row>
    <row r="3" spans="1:15" ht="11.1" customHeight="1" thickTop="1" x14ac:dyDescent="0.25">
      <c r="A3" s="667" t="s">
        <v>104</v>
      </c>
      <c r="B3" s="118">
        <v>2005</v>
      </c>
      <c r="C3" s="118">
        <v>2004</v>
      </c>
      <c r="D3" s="21"/>
      <c r="E3" s="21" t="str">
        <f>Комментарии!I19</f>
        <v>2008</v>
      </c>
      <c r="F3" s="21" t="str">
        <f>Комментарии!J19</f>
        <v>2007</v>
      </c>
      <c r="G3" s="22"/>
      <c r="I3" s="670"/>
      <c r="J3" s="118">
        <v>2005</v>
      </c>
      <c r="K3" s="118">
        <v>2004</v>
      </c>
      <c r="L3" s="21"/>
      <c r="M3" s="21" t="str">
        <f>Комментарии!I19</f>
        <v>2008</v>
      </c>
      <c r="N3" s="21" t="str">
        <f>Комментарии!J19</f>
        <v>2007</v>
      </c>
      <c r="O3" s="23"/>
    </row>
    <row r="4" spans="1:15" ht="11.1" customHeight="1" x14ac:dyDescent="0.25">
      <c r="A4" s="668"/>
      <c r="B4" s="123"/>
      <c r="C4" s="123"/>
      <c r="D4" s="24" t="s">
        <v>105</v>
      </c>
      <c r="E4" s="162" t="str">
        <f>Комментарии!J18</f>
        <v>1.10.</v>
      </c>
      <c r="F4" s="162" t="str">
        <f>Комментарии!J18</f>
        <v>1.10.</v>
      </c>
      <c r="G4" s="25" t="s">
        <v>105</v>
      </c>
      <c r="I4" s="671"/>
      <c r="J4" s="24" t="s">
        <v>106</v>
      </c>
      <c r="K4" s="24" t="s">
        <v>106</v>
      </c>
      <c r="L4" s="24" t="s">
        <v>105</v>
      </c>
      <c r="M4" s="162" t="str">
        <f>Комментарии!J18</f>
        <v>1.10.</v>
      </c>
      <c r="N4" s="162" t="str">
        <f>Комментарии!J18</f>
        <v>1.10.</v>
      </c>
      <c r="O4" s="27" t="s">
        <v>105</v>
      </c>
    </row>
    <row r="5" spans="1:15" ht="11.1" customHeight="1" x14ac:dyDescent="0.25">
      <c r="A5" s="668"/>
      <c r="B5" s="123"/>
      <c r="C5" s="123"/>
      <c r="D5" s="24" t="s">
        <v>107</v>
      </c>
      <c r="E5" s="24"/>
      <c r="F5" s="24"/>
      <c r="G5" s="25" t="s">
        <v>107</v>
      </c>
      <c r="I5" s="671"/>
      <c r="J5" s="24"/>
      <c r="K5" s="24"/>
      <c r="L5" s="24" t="s">
        <v>107</v>
      </c>
      <c r="M5" s="24" t="s">
        <v>106</v>
      </c>
      <c r="N5" s="24" t="s">
        <v>106</v>
      </c>
      <c r="O5" s="27" t="s">
        <v>107</v>
      </c>
    </row>
    <row r="6" spans="1:15" ht="11.1" customHeight="1" thickBot="1" x14ac:dyDescent="0.3">
      <c r="A6" s="669"/>
      <c r="B6" s="124"/>
      <c r="C6" s="124"/>
      <c r="D6" s="28"/>
      <c r="E6" s="28"/>
      <c r="F6" s="28"/>
      <c r="G6" s="29"/>
      <c r="I6" s="671"/>
      <c r="J6" s="24"/>
      <c r="K6" s="24"/>
      <c r="L6" s="30"/>
      <c r="M6" s="24"/>
      <c r="N6" s="24"/>
      <c r="O6" s="31"/>
    </row>
    <row r="7" spans="1:15" ht="11.1" customHeight="1" thickTop="1" thickBot="1" x14ac:dyDescent="0.3">
      <c r="A7" s="32" t="s">
        <v>108</v>
      </c>
      <c r="B7" s="33">
        <v>1645</v>
      </c>
      <c r="C7" s="33">
        <v>1682</v>
      </c>
      <c r="D7" s="34">
        <f t="shared" ref="D7:D15" si="0">(((B7*100)/C7)-100)/100</f>
        <v>-2.1997621878715849E-2</v>
      </c>
      <c r="E7" s="35">
        <f>Grig1!C58</f>
        <v>778</v>
      </c>
      <c r="F7" s="35">
        <f>Grig1!B58</f>
        <v>748</v>
      </c>
      <c r="G7" s="36">
        <f t="shared" ref="G7:G15" si="1">(((E7*100)/F7)-100)/100</f>
        <v>4.0106951871657796E-2</v>
      </c>
      <c r="I7" s="672"/>
      <c r="J7" s="28"/>
      <c r="K7" s="28"/>
      <c r="L7" s="28"/>
      <c r="M7" s="38"/>
      <c r="N7" s="38"/>
      <c r="O7" s="39"/>
    </row>
    <row r="8" spans="1:15" ht="11.1" customHeight="1" thickTop="1" x14ac:dyDescent="0.25">
      <c r="A8" s="32" t="s">
        <v>109</v>
      </c>
      <c r="B8" s="33">
        <v>752</v>
      </c>
      <c r="C8" s="33">
        <v>842</v>
      </c>
      <c r="D8" s="34">
        <f t="shared" si="0"/>
        <v>-0.10688836104513058</v>
      </c>
      <c r="E8" s="35">
        <f>Grig1!C56</f>
        <v>357</v>
      </c>
      <c r="F8" s="35">
        <f>Grig1!B56</f>
        <v>319</v>
      </c>
      <c r="G8" s="36">
        <f t="shared" si="1"/>
        <v>0.11912225705329149</v>
      </c>
      <c r="I8" s="32" t="s">
        <v>110</v>
      </c>
      <c r="J8" s="33">
        <v>130</v>
      </c>
      <c r="K8" s="33">
        <v>133</v>
      </c>
      <c r="L8" s="34">
        <f>(((J8*100)/K8)-100)/100</f>
        <v>-2.2556390977443642E-2</v>
      </c>
      <c r="M8" s="35">
        <f>Grig2!B42</f>
        <v>0</v>
      </c>
      <c r="N8" s="35">
        <f>Grig2!C42</f>
        <v>0</v>
      </c>
      <c r="O8" s="40" t="e">
        <f>(((M8*100)/N8)-100)/100</f>
        <v>#DIV/0!</v>
      </c>
    </row>
    <row r="9" spans="1:15" ht="11.1" customHeight="1" x14ac:dyDescent="0.25">
      <c r="A9" s="32" t="s">
        <v>111</v>
      </c>
      <c r="B9" s="33">
        <v>893</v>
      </c>
      <c r="C9" s="33">
        <v>840</v>
      </c>
      <c r="D9" s="34">
        <f t="shared" si="0"/>
        <v>6.3095238095238107E-2</v>
      </c>
      <c r="E9" s="35">
        <f>Grig1!C57</f>
        <v>421</v>
      </c>
      <c r="F9" s="35">
        <f>Grig1!B57</f>
        <v>429</v>
      </c>
      <c r="G9" s="36">
        <f t="shared" si="1"/>
        <v>-1.864801864801862E-2</v>
      </c>
      <c r="I9" s="660" t="s">
        <v>112</v>
      </c>
      <c r="J9" s="121">
        <v>456</v>
      </c>
      <c r="K9" s="121">
        <v>512</v>
      </c>
      <c r="L9" s="664">
        <f t="shared" ref="L9:L22" si="2">(((J9*100)/K9)-100)/100</f>
        <v>-0.109375</v>
      </c>
      <c r="M9" s="662">
        <f>Grig2!B35</f>
        <v>0</v>
      </c>
      <c r="N9" s="662">
        <f>Grig2!C35</f>
        <v>0</v>
      </c>
      <c r="O9" s="658" t="e">
        <f t="shared" ref="O9:O19" si="3">(((M9*100)/N9)-100)/100</f>
        <v>#DIV/0!</v>
      </c>
    </row>
    <row r="10" spans="1:15" ht="12.75" customHeight="1" x14ac:dyDescent="0.25">
      <c r="A10" s="32" t="s">
        <v>113</v>
      </c>
      <c r="B10" s="41">
        <v>12.09</v>
      </c>
      <c r="C10" s="41">
        <v>12.36</v>
      </c>
      <c r="D10" s="34">
        <f t="shared" si="0"/>
        <v>-2.1844660194174706E-2</v>
      </c>
      <c r="E10" s="42">
        <f>E7/136.09</f>
        <v>5.7168050554779928</v>
      </c>
      <c r="F10" s="42">
        <f>F7/136.09</f>
        <v>5.4963627011536484</v>
      </c>
      <c r="G10" s="36">
        <f t="shared" si="1"/>
        <v>4.0106951871657796E-2</v>
      </c>
      <c r="I10" s="661"/>
      <c r="J10" s="122"/>
      <c r="K10" s="122"/>
      <c r="L10" s="665"/>
      <c r="M10" s="663"/>
      <c r="N10" s="663"/>
      <c r="O10" s="659"/>
    </row>
    <row r="11" spans="1:15" ht="11.1" customHeight="1" x14ac:dyDescent="0.25">
      <c r="A11" s="32" t="s">
        <v>114</v>
      </c>
      <c r="B11" s="41">
        <v>29.35</v>
      </c>
      <c r="C11" s="41">
        <v>24.55</v>
      </c>
      <c r="D11" s="34">
        <f t="shared" si="0"/>
        <v>0.19551934826883907</v>
      </c>
      <c r="E11" s="42">
        <f>Grig1!F58/1000000</f>
        <v>119.47655</v>
      </c>
      <c r="F11" s="42">
        <f>Grig1!E58/1000000</f>
        <v>104.171269</v>
      </c>
      <c r="G11" s="36">
        <f t="shared" si="1"/>
        <v>0.14692420613595489</v>
      </c>
      <c r="I11" s="660" t="s">
        <v>115</v>
      </c>
      <c r="J11" s="121">
        <v>607</v>
      </c>
      <c r="K11" s="121">
        <v>607</v>
      </c>
      <c r="L11" s="664">
        <f t="shared" si="2"/>
        <v>0</v>
      </c>
      <c r="M11" s="662">
        <f>Grig2!B32</f>
        <v>0</v>
      </c>
      <c r="N11" s="662">
        <f>Grig2!C32</f>
        <v>0</v>
      </c>
      <c r="O11" s="658" t="e">
        <f t="shared" si="3"/>
        <v>#DIV/0!</v>
      </c>
    </row>
    <row r="12" spans="1:15" ht="11.25" customHeight="1" x14ac:dyDescent="0.25">
      <c r="A12" s="32" t="s">
        <v>116</v>
      </c>
      <c r="B12" s="44">
        <v>17843</v>
      </c>
      <c r="C12" s="44">
        <v>14595</v>
      </c>
      <c r="D12" s="34">
        <f t="shared" si="0"/>
        <v>0.22254196642685856</v>
      </c>
      <c r="E12" s="45">
        <f>E11/E7*1000000</f>
        <v>153568.83033419025</v>
      </c>
      <c r="F12" s="45">
        <f>F11/F7*1000000</f>
        <v>139266.4024064171</v>
      </c>
      <c r="G12" s="36">
        <f t="shared" si="1"/>
        <v>0.10269833700474848</v>
      </c>
      <c r="I12" s="661"/>
      <c r="J12" s="122"/>
      <c r="K12" s="122"/>
      <c r="L12" s="665"/>
      <c r="M12" s="663"/>
      <c r="N12" s="663"/>
      <c r="O12" s="659"/>
    </row>
    <row r="13" spans="1:15" ht="11.25" customHeight="1" x14ac:dyDescent="0.25">
      <c r="A13" s="32" t="s">
        <v>117</v>
      </c>
      <c r="B13" s="41">
        <v>21.57</v>
      </c>
      <c r="C13" s="41">
        <v>18.04</v>
      </c>
      <c r="D13" s="34">
        <f t="shared" si="0"/>
        <v>0.19567627494456771</v>
      </c>
      <c r="E13" s="42">
        <f>E11/1.3609</f>
        <v>87.792306561834081</v>
      </c>
      <c r="F13" s="42">
        <f>F11/1.3609</f>
        <v>76.54586597104857</v>
      </c>
      <c r="G13" s="36">
        <f t="shared" si="1"/>
        <v>0.14692420613595489</v>
      </c>
      <c r="I13" s="32" t="s">
        <v>118</v>
      </c>
      <c r="J13" s="33">
        <v>228</v>
      </c>
      <c r="K13" s="33">
        <v>247</v>
      </c>
      <c r="L13" s="34">
        <f t="shared" si="2"/>
        <v>-7.6923076923076927E-2</v>
      </c>
      <c r="M13" s="35">
        <f>Grig2!B51</f>
        <v>0</v>
      </c>
      <c r="N13" s="35">
        <f>Grig2!C51</f>
        <v>0</v>
      </c>
      <c r="O13" s="43" t="e">
        <f t="shared" si="3"/>
        <v>#DIV/0!</v>
      </c>
    </row>
    <row r="14" spans="1:15" ht="11.1" customHeight="1" x14ac:dyDescent="0.25">
      <c r="A14" s="32" t="s">
        <v>119</v>
      </c>
      <c r="B14" s="33">
        <v>139</v>
      </c>
      <c r="C14" s="33">
        <v>145</v>
      </c>
      <c r="D14" s="34">
        <f t="shared" si="0"/>
        <v>-4.1379310344827613E-2</v>
      </c>
      <c r="E14" s="35">
        <f>Grig1!I58</f>
        <v>59</v>
      </c>
      <c r="F14" s="35">
        <f>Grig1!H58</f>
        <v>57</v>
      </c>
      <c r="G14" s="36">
        <f t="shared" si="1"/>
        <v>3.5087719298245619E-2</v>
      </c>
      <c r="I14" s="660" t="s">
        <v>120</v>
      </c>
      <c r="J14" s="121">
        <v>289</v>
      </c>
      <c r="K14" s="121">
        <v>242</v>
      </c>
      <c r="L14" s="664">
        <f t="shared" si="2"/>
        <v>0.19421487603305793</v>
      </c>
      <c r="M14" s="662">
        <f>Grig2!B38</f>
        <v>0</v>
      </c>
      <c r="N14" s="662">
        <f>Grig2!C38</f>
        <v>0</v>
      </c>
      <c r="O14" s="658" t="e">
        <f t="shared" si="3"/>
        <v>#DIV/0!</v>
      </c>
    </row>
    <row r="15" spans="1:15" ht="12" customHeight="1" thickBot="1" x14ac:dyDescent="0.3">
      <c r="A15" s="37" t="s">
        <v>121</v>
      </c>
      <c r="B15" s="46">
        <v>1.02</v>
      </c>
      <c r="C15" s="46">
        <v>1.07</v>
      </c>
      <c r="D15" s="47">
        <f t="shared" si="0"/>
        <v>-4.6728971962616869E-2</v>
      </c>
      <c r="E15" s="48">
        <f>E14/136.09</f>
        <v>0.43353663017121019</v>
      </c>
      <c r="F15" s="48">
        <f>F14/136.09</f>
        <v>0.41884047321625395</v>
      </c>
      <c r="G15" s="49">
        <f t="shared" si="1"/>
        <v>3.5087719298245619E-2</v>
      </c>
      <c r="I15" s="661"/>
      <c r="J15" s="122"/>
      <c r="K15" s="122"/>
      <c r="L15" s="665"/>
      <c r="M15" s="663"/>
      <c r="N15" s="663"/>
      <c r="O15" s="659"/>
    </row>
    <row r="16" spans="1:15" ht="15.75" customHeight="1" thickTop="1" thickBot="1" x14ac:dyDescent="0.3">
      <c r="A16" s="674" t="s">
        <v>122</v>
      </c>
      <c r="B16" s="674"/>
      <c r="C16" s="674"/>
      <c r="D16" s="674"/>
      <c r="E16" s="674"/>
      <c r="F16" s="674"/>
      <c r="G16" s="674"/>
      <c r="I16" s="32" t="s">
        <v>123</v>
      </c>
      <c r="J16" s="33">
        <v>87</v>
      </c>
      <c r="K16" s="33">
        <v>78</v>
      </c>
      <c r="L16" s="34">
        <f t="shared" si="2"/>
        <v>0.11538461538461534</v>
      </c>
      <c r="M16" s="35">
        <f>Grig2!B34</f>
        <v>0</v>
      </c>
      <c r="N16" s="35">
        <f>Grig2!C34</f>
        <v>0</v>
      </c>
      <c r="O16" s="43" t="e">
        <f t="shared" si="3"/>
        <v>#DIV/0!</v>
      </c>
    </row>
    <row r="17" spans="1:15" ht="11.1" customHeight="1" thickTop="1" x14ac:dyDescent="0.25">
      <c r="A17" s="670"/>
      <c r="B17" s="118">
        <v>2005</v>
      </c>
      <c r="C17" s="118">
        <v>2004</v>
      </c>
      <c r="D17" s="21"/>
      <c r="E17" s="21" t="str">
        <f>Комментарии!I19</f>
        <v>2008</v>
      </c>
      <c r="F17" s="21" t="str">
        <f>Комментарии!J19</f>
        <v>2007</v>
      </c>
      <c r="G17" s="22"/>
      <c r="I17" s="660" t="s">
        <v>124</v>
      </c>
      <c r="J17" s="121">
        <v>11</v>
      </c>
      <c r="K17" s="121">
        <v>16</v>
      </c>
      <c r="L17" s="664">
        <f t="shared" si="2"/>
        <v>-0.3125</v>
      </c>
      <c r="M17" s="662">
        <f>Grig2!B45</f>
        <v>0</v>
      </c>
      <c r="N17" s="662">
        <f>Grig2!C45</f>
        <v>0</v>
      </c>
      <c r="O17" s="241" t="e">
        <f t="shared" si="3"/>
        <v>#DIV/0!</v>
      </c>
    </row>
    <row r="18" spans="1:15" ht="12" customHeight="1" x14ac:dyDescent="0.25">
      <c r="A18" s="671"/>
      <c r="B18" s="119"/>
      <c r="C18" s="119"/>
      <c r="D18" s="24" t="s">
        <v>105</v>
      </c>
      <c r="E18" s="162" t="str">
        <f>Комментарии!J18</f>
        <v>1.10.</v>
      </c>
      <c r="F18" s="162" t="str">
        <f>Комментарии!J18</f>
        <v>1.10.</v>
      </c>
      <c r="G18" s="25" t="s">
        <v>105</v>
      </c>
      <c r="I18" s="661"/>
      <c r="J18" s="122"/>
      <c r="K18" s="122"/>
      <c r="L18" s="665"/>
      <c r="M18" s="663"/>
      <c r="N18" s="663"/>
      <c r="O18" s="43"/>
    </row>
    <row r="19" spans="1:15" ht="11.1" customHeight="1" x14ac:dyDescent="0.25">
      <c r="A19" s="671"/>
      <c r="B19" s="119"/>
      <c r="C19" s="119"/>
      <c r="D19" s="24" t="s">
        <v>107</v>
      </c>
      <c r="E19" s="24"/>
      <c r="F19" s="24"/>
      <c r="G19" s="25" t="s">
        <v>107</v>
      </c>
      <c r="I19" s="32" t="s">
        <v>125</v>
      </c>
      <c r="J19" s="33">
        <v>20</v>
      </c>
      <c r="K19" s="33">
        <v>15</v>
      </c>
      <c r="L19" s="34">
        <f t="shared" si="2"/>
        <v>0.33333333333333343</v>
      </c>
      <c r="M19" s="35">
        <f>Grig2!B44</f>
        <v>0</v>
      </c>
      <c r="N19" s="35">
        <f>Grig2!C44</f>
        <v>0</v>
      </c>
      <c r="O19" s="43" t="e">
        <f t="shared" si="3"/>
        <v>#DIV/0!</v>
      </c>
    </row>
    <row r="20" spans="1:15" ht="11.1" customHeight="1" thickBot="1" x14ac:dyDescent="0.3">
      <c r="A20" s="672"/>
      <c r="B20" s="120"/>
      <c r="C20" s="120"/>
      <c r="D20" s="28"/>
      <c r="E20" s="28"/>
      <c r="F20" s="28"/>
      <c r="G20" s="29"/>
      <c r="I20" s="32" t="s">
        <v>126</v>
      </c>
      <c r="J20" s="33">
        <v>4</v>
      </c>
      <c r="K20" s="33">
        <v>5</v>
      </c>
      <c r="L20" s="34">
        <f t="shared" si="2"/>
        <v>-0.2</v>
      </c>
      <c r="M20" s="35">
        <f>Grig2!B48</f>
        <v>0</v>
      </c>
      <c r="N20" s="35">
        <f>Grig2!C48</f>
        <v>0</v>
      </c>
      <c r="O20" s="51" t="str">
        <f>IF(N20=0,"--",(((M20*100)/N20)-100)/100)</f>
        <v>--</v>
      </c>
    </row>
    <row r="21" spans="1:15" ht="11.1" customHeight="1" thickTop="1" x14ac:dyDescent="0.25">
      <c r="A21" s="32" t="s">
        <v>127</v>
      </c>
      <c r="B21" s="33">
        <v>942</v>
      </c>
      <c r="C21" s="33">
        <v>926</v>
      </c>
      <c r="D21" s="50">
        <f t="shared" ref="D21:D27" si="4">(((B21*100)/C21)-100)/100</f>
        <v>1.7278617710583147E-2</v>
      </c>
      <c r="E21" s="35">
        <f>Posled1!I34</f>
        <v>452</v>
      </c>
      <c r="F21" s="35">
        <f>Posled1!H34</f>
        <v>393</v>
      </c>
      <c r="G21" s="51">
        <f t="shared" ref="G21:G27" si="5">IF(F21=0,"--",(((E21*100)/F21)-100)/100)</f>
        <v>0.15012722646310436</v>
      </c>
      <c r="I21" s="32" t="s">
        <v>128</v>
      </c>
      <c r="J21" s="33">
        <v>8</v>
      </c>
      <c r="K21" s="33">
        <v>7</v>
      </c>
      <c r="L21" s="34">
        <f t="shared" si="2"/>
        <v>0.1428571428571429</v>
      </c>
      <c r="M21" s="35">
        <f>Grig2!B43</f>
        <v>0</v>
      </c>
      <c r="N21" s="35">
        <f>Grig2!C43</f>
        <v>0</v>
      </c>
      <c r="O21" s="51" t="str">
        <f>IF(N21=0,"--",(((M21*100)/N21)-100)/100)</f>
        <v>--</v>
      </c>
    </row>
    <row r="22" spans="1:15" ht="11.1" customHeight="1" x14ac:dyDescent="0.25">
      <c r="A22" s="26" t="s">
        <v>129</v>
      </c>
      <c r="B22" s="52">
        <v>27</v>
      </c>
      <c r="C22" s="52">
        <v>52</v>
      </c>
      <c r="D22" s="53">
        <f t="shared" si="4"/>
        <v>-0.48076923076923078</v>
      </c>
      <c r="E22" s="54">
        <f>Posled1!C66</f>
        <v>16</v>
      </c>
      <c r="F22" s="54">
        <f>Posled1!B66</f>
        <v>20</v>
      </c>
      <c r="G22" s="51">
        <f t="shared" si="5"/>
        <v>-0.2</v>
      </c>
      <c r="I22" s="32" t="s">
        <v>130</v>
      </c>
      <c r="J22" s="33">
        <v>9</v>
      </c>
      <c r="K22" s="33">
        <v>18</v>
      </c>
      <c r="L22" s="34">
        <f t="shared" si="2"/>
        <v>-0.5</v>
      </c>
      <c r="M22" s="35">
        <f>Grig2!B41</f>
        <v>0</v>
      </c>
      <c r="N22" s="35">
        <f>Grig2!C41</f>
        <v>0</v>
      </c>
      <c r="O22" s="51" t="str">
        <f>IF(N22=0,"--",(((M22*100)/N22)-100)/100)</f>
        <v>--</v>
      </c>
    </row>
    <row r="23" spans="1:15" ht="11.1" customHeight="1" thickBot="1" x14ac:dyDescent="0.3">
      <c r="A23" s="32" t="s">
        <v>131</v>
      </c>
      <c r="B23" s="33">
        <v>73</v>
      </c>
      <c r="C23" s="33">
        <v>85</v>
      </c>
      <c r="D23" s="55">
        <f t="shared" si="4"/>
        <v>-0.14117647058823535</v>
      </c>
      <c r="E23" s="35">
        <f>Posled1!F66</f>
        <v>2182</v>
      </c>
      <c r="F23" s="35">
        <f>Posled1!E66</f>
        <v>102</v>
      </c>
      <c r="G23" s="51">
        <f t="shared" si="5"/>
        <v>20.392156862745097</v>
      </c>
      <c r="I23" s="56" t="s">
        <v>132</v>
      </c>
      <c r="J23" s="57">
        <v>0</v>
      </c>
      <c r="K23" s="57">
        <v>3</v>
      </c>
      <c r="L23" s="47">
        <f>IF(K23=0,"--",(((J23*100)/K23)-100)/100)</f>
        <v>-1</v>
      </c>
      <c r="M23" s="58">
        <f>Grig2!B47</f>
        <v>0</v>
      </c>
      <c r="N23" s="58">
        <f>Grig2!C47</f>
        <v>0</v>
      </c>
      <c r="O23" s="49" t="str">
        <f>IF(N23=0,"--",(((M23*100)/N23)-100)/100)</f>
        <v>--</v>
      </c>
    </row>
    <row r="24" spans="1:15" ht="11.1" customHeight="1" thickTop="1" x14ac:dyDescent="0.25">
      <c r="A24" s="32" t="s">
        <v>133</v>
      </c>
      <c r="B24" s="33">
        <v>27</v>
      </c>
      <c r="C24" s="33">
        <v>36</v>
      </c>
      <c r="D24" s="34">
        <f t="shared" si="4"/>
        <v>-0.25</v>
      </c>
      <c r="E24" s="35">
        <f>Posled1!L34</f>
        <v>44</v>
      </c>
      <c r="F24" s="35">
        <f>Posled1!K34</f>
        <v>48</v>
      </c>
      <c r="G24" s="51">
        <f t="shared" si="5"/>
        <v>-8.3333333333333287E-2</v>
      </c>
    </row>
    <row r="25" spans="1:15" ht="13.5" customHeight="1" x14ac:dyDescent="0.25">
      <c r="A25" s="32" t="s">
        <v>134</v>
      </c>
      <c r="B25" s="33">
        <v>11</v>
      </c>
      <c r="C25" s="33">
        <v>43</v>
      </c>
      <c r="D25" s="34">
        <f t="shared" si="4"/>
        <v>-0.7441860465116279</v>
      </c>
      <c r="E25" s="35">
        <f>Posled2!C34</f>
        <v>15</v>
      </c>
      <c r="F25" s="35">
        <f>Posled2!B34</f>
        <v>9</v>
      </c>
      <c r="G25" s="51">
        <f t="shared" si="5"/>
        <v>0.66666666666666652</v>
      </c>
      <c r="I25" s="675" t="s">
        <v>135</v>
      </c>
      <c r="J25" s="675"/>
      <c r="K25" s="675"/>
      <c r="L25" s="675"/>
      <c r="M25" s="675"/>
      <c r="N25" s="675"/>
      <c r="O25" s="675"/>
    </row>
    <row r="26" spans="1:15" ht="12.75" customHeight="1" thickBot="1" x14ac:dyDescent="0.3">
      <c r="A26" s="26" t="s">
        <v>136</v>
      </c>
      <c r="B26" s="33">
        <v>1678</v>
      </c>
      <c r="C26" s="33">
        <v>1018</v>
      </c>
      <c r="D26" s="34">
        <f t="shared" si="4"/>
        <v>0.64833005893909612</v>
      </c>
      <c r="E26" s="35">
        <f>Posled2!I34</f>
        <v>387</v>
      </c>
      <c r="F26" s="35">
        <f>Posled2!H34</f>
        <v>242</v>
      </c>
      <c r="G26" s="51">
        <f t="shared" si="5"/>
        <v>0.59917355371900838</v>
      </c>
      <c r="I26" s="676" t="s">
        <v>137</v>
      </c>
      <c r="J26" s="676"/>
      <c r="K26" s="676"/>
      <c r="L26" s="676"/>
      <c r="M26" s="676"/>
      <c r="N26" s="676"/>
      <c r="O26" s="676"/>
    </row>
    <row r="27" spans="1:15" ht="14.25" customHeight="1" thickTop="1" thickBot="1" x14ac:dyDescent="0.3">
      <c r="A27" s="37" t="s">
        <v>138</v>
      </c>
      <c r="B27" s="33">
        <v>13</v>
      </c>
      <c r="C27" s="33">
        <v>54</v>
      </c>
      <c r="D27" s="59">
        <f t="shared" si="4"/>
        <v>-0.75925925925925919</v>
      </c>
      <c r="E27" s="35">
        <f>Posled2!F34</f>
        <v>1</v>
      </c>
      <c r="F27" s="35">
        <f>Posled2!E34</f>
        <v>3</v>
      </c>
      <c r="G27" s="51">
        <f t="shared" si="5"/>
        <v>-0.66666666666666652</v>
      </c>
      <c r="I27" s="60"/>
      <c r="J27" s="118">
        <v>2005</v>
      </c>
      <c r="K27" s="118">
        <v>2004</v>
      </c>
      <c r="L27" s="61" t="s">
        <v>139</v>
      </c>
      <c r="M27" s="21" t="str">
        <f>Комментарии!I19</f>
        <v>2008</v>
      </c>
      <c r="N27" s="21" t="str">
        <f>Комментарии!J19</f>
        <v>2007</v>
      </c>
      <c r="O27" s="62" t="s">
        <v>139</v>
      </c>
    </row>
    <row r="28" spans="1:15" ht="13.5" customHeight="1" thickTop="1" thickBot="1" x14ac:dyDescent="0.3">
      <c r="A28" s="674" t="s">
        <v>140</v>
      </c>
      <c r="B28" s="674"/>
      <c r="C28" s="674"/>
      <c r="D28" s="674"/>
      <c r="E28" s="674"/>
      <c r="F28" s="674"/>
      <c r="G28" s="674"/>
      <c r="I28" s="63"/>
      <c r="J28" s="64"/>
      <c r="K28" s="64"/>
      <c r="L28" s="64"/>
      <c r="M28" s="162" t="str">
        <f>Комментарии!J18</f>
        <v>1.10.</v>
      </c>
      <c r="N28" s="162" t="str">
        <f>Комментарии!J18</f>
        <v>1.10.</v>
      </c>
      <c r="O28" s="65"/>
    </row>
    <row r="29" spans="1:15" ht="16.5" thickTop="1" x14ac:dyDescent="0.25">
      <c r="A29" s="667" t="s">
        <v>104</v>
      </c>
      <c r="B29" s="118">
        <v>2005</v>
      </c>
      <c r="C29" s="118">
        <v>2004</v>
      </c>
      <c r="D29" s="21"/>
      <c r="E29" s="21" t="str">
        <f>Комментарии!I19</f>
        <v>2008</v>
      </c>
      <c r="F29" s="21" t="str">
        <f>Комментарии!J19</f>
        <v>2007</v>
      </c>
      <c r="G29" s="22"/>
      <c r="I29" s="66" t="s">
        <v>141</v>
      </c>
      <c r="J29" s="67">
        <v>33</v>
      </c>
      <c r="K29" s="67">
        <v>72</v>
      </c>
      <c r="L29" s="68">
        <f>(((J29*100)/K29)-100)/100</f>
        <v>-0.54166666666666663</v>
      </c>
      <c r="M29" s="69">
        <f>Grig2!B8</f>
        <v>0</v>
      </c>
      <c r="N29" s="69">
        <f>Grig2!C8</f>
        <v>0</v>
      </c>
      <c r="O29" s="70" t="e">
        <f t="shared" ref="O29:O39" si="6">(((M29*100)/N29)-100)/100</f>
        <v>#DIV/0!</v>
      </c>
    </row>
    <row r="30" spans="1:15" x14ac:dyDescent="0.25">
      <c r="A30" s="668"/>
      <c r="B30" s="123"/>
      <c r="C30" s="123"/>
      <c r="D30" s="24" t="s">
        <v>105</v>
      </c>
      <c r="E30" s="162" t="str">
        <f>Комментарии!J18</f>
        <v>1.10.</v>
      </c>
      <c r="F30" s="162" t="str">
        <f>Комментарии!J18</f>
        <v>1.10.</v>
      </c>
      <c r="G30" s="25" t="s">
        <v>105</v>
      </c>
      <c r="I30" s="66" t="s">
        <v>142</v>
      </c>
      <c r="J30" s="67">
        <v>45</v>
      </c>
      <c r="K30" s="67">
        <v>30</v>
      </c>
      <c r="L30" s="68">
        <f t="shared" ref="L30:L39" si="7">(((J30*100)/K30)-100)/100</f>
        <v>0.5</v>
      </c>
      <c r="M30" s="69">
        <f>Grig2!B19</f>
        <v>0</v>
      </c>
      <c r="N30" s="69">
        <f>Grig2!C19</f>
        <v>0</v>
      </c>
      <c r="O30" s="70" t="e">
        <f t="shared" si="6"/>
        <v>#DIV/0!</v>
      </c>
    </row>
    <row r="31" spans="1:15" x14ac:dyDescent="0.25">
      <c r="A31" s="668"/>
      <c r="B31" s="123"/>
      <c r="C31" s="123"/>
      <c r="D31" s="24" t="s">
        <v>107</v>
      </c>
      <c r="E31" s="24"/>
      <c r="F31" s="24"/>
      <c r="G31" s="25" t="s">
        <v>107</v>
      </c>
      <c r="I31" s="66" t="s">
        <v>143</v>
      </c>
      <c r="J31" s="67">
        <v>63</v>
      </c>
      <c r="K31" s="67">
        <v>66</v>
      </c>
      <c r="L31" s="68">
        <f t="shared" si="7"/>
        <v>-4.545454545454547E-2</v>
      </c>
      <c r="M31" s="69">
        <f>Grig2!B15</f>
        <v>0</v>
      </c>
      <c r="N31" s="69">
        <f>Grig2!C15</f>
        <v>0</v>
      </c>
      <c r="O31" s="70" t="e">
        <f t="shared" si="6"/>
        <v>#DIV/0!</v>
      </c>
    </row>
    <row r="32" spans="1:15" ht="26.25" thickBot="1" x14ac:dyDescent="0.3">
      <c r="A32" s="669"/>
      <c r="B32" s="124"/>
      <c r="C32" s="124"/>
      <c r="D32" s="28"/>
      <c r="E32" s="28"/>
      <c r="F32" s="28"/>
      <c r="G32" s="29"/>
      <c r="I32" s="66" t="s">
        <v>144</v>
      </c>
      <c r="J32" s="67">
        <v>18</v>
      </c>
      <c r="K32" s="67">
        <v>25</v>
      </c>
      <c r="L32" s="68">
        <f t="shared" si="7"/>
        <v>-0.28000000000000003</v>
      </c>
      <c r="M32" s="69">
        <f>Grig2!B23</f>
        <v>0</v>
      </c>
      <c r="N32" s="69">
        <f>Grig2!C23</f>
        <v>0</v>
      </c>
      <c r="O32" s="70" t="e">
        <f t="shared" si="6"/>
        <v>#DIV/0!</v>
      </c>
    </row>
    <row r="33" spans="1:15" ht="16.5" thickTop="1" x14ac:dyDescent="0.25">
      <c r="A33" s="32" t="s">
        <v>145</v>
      </c>
      <c r="B33" s="33">
        <v>1246</v>
      </c>
      <c r="C33" s="33">
        <v>449</v>
      </c>
      <c r="D33" s="34">
        <f>(((B33*100)/C33)-100)/100</f>
        <v>1.7750556792873049</v>
      </c>
      <c r="E33" s="35">
        <f>Posled2!L34</f>
        <v>339</v>
      </c>
      <c r="F33" s="35">
        <f>Posled2!K34</f>
        <v>200</v>
      </c>
      <c r="G33" s="40">
        <f>(((E33*100)/F33)-100)/100</f>
        <v>0.69499999999999995</v>
      </c>
      <c r="I33" s="66" t="s">
        <v>146</v>
      </c>
      <c r="J33" s="67">
        <v>5</v>
      </c>
      <c r="K33" s="67">
        <v>7</v>
      </c>
      <c r="L33" s="68">
        <f t="shared" si="7"/>
        <v>-0.2857142857142857</v>
      </c>
      <c r="M33" s="69">
        <f>Grig2!B68</f>
        <v>0</v>
      </c>
      <c r="N33" s="69">
        <f>Grig2!C68</f>
        <v>0</v>
      </c>
      <c r="O33" s="70" t="e">
        <f t="shared" si="6"/>
        <v>#DIV/0!</v>
      </c>
    </row>
    <row r="34" spans="1:15" ht="25.5" x14ac:dyDescent="0.25">
      <c r="A34" s="32" t="s">
        <v>147</v>
      </c>
      <c r="B34" s="33">
        <v>188</v>
      </c>
      <c r="C34" s="33">
        <v>151</v>
      </c>
      <c r="D34" s="50">
        <f>(((B34*100)/C34)-100)/100</f>
        <v>0.24503311258278146</v>
      </c>
      <c r="E34" s="35">
        <f>Posled2!F66</f>
        <v>89</v>
      </c>
      <c r="F34" s="35">
        <f>Posled2!E66</f>
        <v>73</v>
      </c>
      <c r="G34" s="71">
        <f>(((E34*100)/F34)-100)/100</f>
        <v>0.21917808219178084</v>
      </c>
      <c r="I34" s="66" t="s">
        <v>148</v>
      </c>
      <c r="J34" s="67">
        <v>10</v>
      </c>
      <c r="K34" s="67">
        <v>4</v>
      </c>
      <c r="L34" s="68">
        <f t="shared" si="7"/>
        <v>1.5</v>
      </c>
      <c r="M34" s="69">
        <f>Grig2!B67</f>
        <v>0</v>
      </c>
      <c r="N34" s="69">
        <f>Grig2!C67</f>
        <v>0</v>
      </c>
      <c r="O34" s="72" t="str">
        <f>IF(N34=0,"--",(((M34*100)/N34)-100)/100)</f>
        <v>--</v>
      </c>
    </row>
    <row r="35" spans="1:15" x14ac:dyDescent="0.25">
      <c r="A35" s="26" t="s">
        <v>129</v>
      </c>
      <c r="B35" s="52">
        <v>424</v>
      </c>
      <c r="C35" s="52">
        <v>335</v>
      </c>
      <c r="D35" s="53">
        <f>(((B35*100)/C35)-100)/100</f>
        <v>0.2656716417910448</v>
      </c>
      <c r="E35" s="54">
        <f>Posled2!I66</f>
        <v>135</v>
      </c>
      <c r="F35" s="54">
        <f>Posled2!H66</f>
        <v>56</v>
      </c>
      <c r="G35" s="73">
        <f>(((E35*100)/F35)-100)/100</f>
        <v>1.4107142857142858</v>
      </c>
      <c r="I35" s="66" t="s">
        <v>149</v>
      </c>
      <c r="J35" s="67">
        <v>7</v>
      </c>
      <c r="K35" s="67">
        <v>7</v>
      </c>
      <c r="L35" s="68">
        <f t="shared" si="7"/>
        <v>0</v>
      </c>
      <c r="M35" s="69">
        <f>Grig2!B65</f>
        <v>0</v>
      </c>
      <c r="N35" s="69">
        <f>Grig2!C65</f>
        <v>0</v>
      </c>
      <c r="O35" s="70" t="e">
        <f t="shared" si="6"/>
        <v>#DIV/0!</v>
      </c>
    </row>
    <row r="36" spans="1:15" ht="25.5" x14ac:dyDescent="0.25">
      <c r="A36" s="32" t="s">
        <v>131</v>
      </c>
      <c r="B36" s="33">
        <v>1013</v>
      </c>
      <c r="C36" s="33">
        <v>966</v>
      </c>
      <c r="D36" s="34">
        <f>(((B36*100)/C36)-100)/100</f>
        <v>4.8654244306418237E-2</v>
      </c>
      <c r="E36" s="35">
        <f>Posled2!L66</f>
        <v>44</v>
      </c>
      <c r="F36" s="35">
        <f>Posled2!K66</f>
        <v>39</v>
      </c>
      <c r="G36" s="43">
        <f>(((E36*100)/F36)-100)/100</f>
        <v>0.12820512820512817</v>
      </c>
      <c r="I36" s="66" t="s">
        <v>150</v>
      </c>
      <c r="J36" s="67">
        <v>29</v>
      </c>
      <c r="K36" s="67">
        <v>30</v>
      </c>
      <c r="L36" s="68">
        <f t="shared" si="7"/>
        <v>-3.3333333333333284E-2</v>
      </c>
      <c r="M36" s="69">
        <f>Grig2!B53</f>
        <v>0</v>
      </c>
      <c r="N36" s="69">
        <f>Grig2!C53</f>
        <v>0</v>
      </c>
      <c r="O36" s="70" t="e">
        <f t="shared" si="6"/>
        <v>#DIV/0!</v>
      </c>
    </row>
    <row r="37" spans="1:15" ht="16.5" thickBot="1" x14ac:dyDescent="0.3">
      <c r="A37" s="37" t="s">
        <v>151</v>
      </c>
      <c r="B37" s="46">
        <v>301.98</v>
      </c>
      <c r="C37" s="46">
        <v>218.14</v>
      </c>
      <c r="D37" s="47">
        <f>(((B37*100)/C37)-100)/100</f>
        <v>0.384340331896947</v>
      </c>
      <c r="E37" s="48">
        <f>Posled2!C66/1000000</f>
        <v>536.34</v>
      </c>
      <c r="F37" s="48">
        <f>Posled2!B66/1000000</f>
        <v>477.73500000000001</v>
      </c>
      <c r="G37" s="49">
        <f>(((E37*100)/F37)-100)/100</f>
        <v>0.12267261138497275</v>
      </c>
      <c r="I37" s="66" t="s">
        <v>152</v>
      </c>
      <c r="J37" s="67">
        <v>624</v>
      </c>
      <c r="K37" s="67">
        <v>717</v>
      </c>
      <c r="L37" s="68">
        <f t="shared" si="7"/>
        <v>-0.12970711297071133</v>
      </c>
      <c r="M37" s="69">
        <f>Grig2!B28</f>
        <v>0</v>
      </c>
      <c r="N37" s="69">
        <f>Grig2!C28</f>
        <v>0</v>
      </c>
      <c r="O37" s="70" t="e">
        <f t="shared" si="6"/>
        <v>#DIV/0!</v>
      </c>
    </row>
    <row r="38" spans="1:15" ht="21" thickTop="1" x14ac:dyDescent="0.3">
      <c r="A38" s="74"/>
      <c r="I38" s="66" t="s">
        <v>153</v>
      </c>
      <c r="J38" s="67">
        <v>5</v>
      </c>
      <c r="K38" s="67">
        <v>6</v>
      </c>
      <c r="L38" s="68">
        <f t="shared" si="7"/>
        <v>-0.16666666666666671</v>
      </c>
      <c r="M38" s="69">
        <f>Grig2!B52</f>
        <v>0</v>
      </c>
      <c r="N38" s="69">
        <f>Grig2!C52</f>
        <v>0</v>
      </c>
      <c r="O38" s="72" t="str">
        <f>IF(N38=0,"--",(((M38*100)/N38)-100)/100)</f>
        <v>--</v>
      </c>
    </row>
    <row r="39" spans="1:15" ht="16.5" thickBot="1" x14ac:dyDescent="0.3">
      <c r="I39" s="76" t="s">
        <v>154</v>
      </c>
      <c r="J39" s="77">
        <v>120</v>
      </c>
      <c r="K39" s="77">
        <v>118</v>
      </c>
      <c r="L39" s="78">
        <f t="shared" si="7"/>
        <v>1.6949152542372871E-2</v>
      </c>
      <c r="M39" s="79">
        <f>Grig2!B55</f>
        <v>0</v>
      </c>
      <c r="N39" s="79">
        <f>Grig2!C55</f>
        <v>0</v>
      </c>
      <c r="O39" s="80" t="e">
        <f t="shared" si="6"/>
        <v>#DIV/0!</v>
      </c>
    </row>
    <row r="40" spans="1:15" ht="16.5" thickTop="1" x14ac:dyDescent="0.25"/>
  </sheetData>
  <mergeCells count="31">
    <mergeCell ref="A29:A32"/>
    <mergeCell ref="A16:G16"/>
    <mergeCell ref="A17:A20"/>
    <mergeCell ref="I14:I15"/>
    <mergeCell ref="I25:O25"/>
    <mergeCell ref="O14:O15"/>
    <mergeCell ref="A28:G28"/>
    <mergeCell ref="I26:O26"/>
    <mergeCell ref="M17:M18"/>
    <mergeCell ref="I17:I18"/>
    <mergeCell ref="N17:N18"/>
    <mergeCell ref="L14:L15"/>
    <mergeCell ref="L17:L18"/>
    <mergeCell ref="N14:N15"/>
    <mergeCell ref="M14:M15"/>
    <mergeCell ref="A1:G1"/>
    <mergeCell ref="A3:A6"/>
    <mergeCell ref="I1:O1"/>
    <mergeCell ref="L9:L10"/>
    <mergeCell ref="I2:O2"/>
    <mergeCell ref="I3:I7"/>
    <mergeCell ref="I9:I10"/>
    <mergeCell ref="O9:O10"/>
    <mergeCell ref="A2:G2"/>
    <mergeCell ref="O11:O12"/>
    <mergeCell ref="I11:I12"/>
    <mergeCell ref="N9:N10"/>
    <mergeCell ref="L11:L12"/>
    <mergeCell ref="M11:M12"/>
    <mergeCell ref="M9:M10"/>
    <mergeCell ref="N11:N12"/>
  </mergeCells>
  <phoneticPr fontId="62" type="noConversion"/>
  <pageMargins left="0.25" right="0.28999999999999998" top="0.25" bottom="0.23" header="0.25" footer="0.2"/>
  <pageSetup paperSize="9" scale="9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35"/>
  <sheetViews>
    <sheetView workbookViewId="0">
      <selection activeCell="B3" sqref="B3"/>
    </sheetView>
  </sheetViews>
  <sheetFormatPr defaultRowHeight="12.75" x14ac:dyDescent="0.2"/>
  <cols>
    <col min="1" max="1" width="24.28515625" style="81" bestFit="1" customWidth="1"/>
    <col min="2" max="2" width="12.42578125" style="81" bestFit="1" customWidth="1"/>
    <col min="3" max="3" width="20.5703125" customWidth="1"/>
    <col min="4" max="4" width="9.140625" style="446"/>
    <col min="6" max="6" width="17" bestFit="1" customWidth="1"/>
    <col min="8" max="8" width="14.7109375" customWidth="1"/>
  </cols>
  <sheetData>
    <row r="1" spans="1:10" ht="13.5" thickBot="1" x14ac:dyDescent="0.25">
      <c r="A1" s="164" t="s">
        <v>161</v>
      </c>
      <c r="B1" s="164">
        <v>25100</v>
      </c>
      <c r="C1" s="165"/>
      <c r="D1" s="447">
        <v>2010</v>
      </c>
      <c r="E1">
        <v>2009</v>
      </c>
      <c r="F1" t="s">
        <v>241</v>
      </c>
      <c r="I1">
        <v>2010</v>
      </c>
    </row>
    <row r="2" spans="1:10" ht="15.75" thickBot="1" x14ac:dyDescent="0.25">
      <c r="A2" s="165" t="s">
        <v>162</v>
      </c>
      <c r="B2" s="164">
        <v>41600</v>
      </c>
      <c r="C2" s="165"/>
      <c r="D2" s="447">
        <v>20</v>
      </c>
      <c r="E2">
        <v>21</v>
      </c>
      <c r="F2">
        <f>D2/B2*10000</f>
        <v>4.8076923076923084</v>
      </c>
      <c r="G2">
        <f>E2/B2*10000</f>
        <v>5.0480769230769234</v>
      </c>
      <c r="H2" s="373" t="str">
        <f t="shared" ref="H2:H34" si="0">IF(G2&lt;&gt;0,TEXT(((F2-G2)/G2)*100,"0,0"),"--")</f>
        <v>-4,8</v>
      </c>
      <c r="I2">
        <v>0</v>
      </c>
      <c r="J2">
        <f>I2/B2*10000</f>
        <v>0</v>
      </c>
    </row>
    <row r="3" spans="1:10" ht="15.75" thickBot="1" x14ac:dyDescent="0.25">
      <c r="A3" s="164" t="s">
        <v>164</v>
      </c>
      <c r="B3" s="164">
        <v>22600</v>
      </c>
      <c r="C3" s="165"/>
      <c r="D3" s="447"/>
      <c r="G3">
        <f t="shared" ref="G3:G34" si="1">E3/B3*10000</f>
        <v>0</v>
      </c>
      <c r="H3" s="373" t="str">
        <f t="shared" si="0"/>
        <v>--</v>
      </c>
      <c r="J3">
        <f t="shared" ref="J3:J34" si="2">I3/B3*10000</f>
        <v>0</v>
      </c>
    </row>
    <row r="4" spans="1:10" ht="15.75" thickBot="1" x14ac:dyDescent="0.25">
      <c r="A4" s="164" t="s">
        <v>166</v>
      </c>
      <c r="B4" s="164">
        <v>40900</v>
      </c>
      <c r="C4" s="165"/>
      <c r="D4" s="447"/>
      <c r="G4">
        <f t="shared" si="1"/>
        <v>0</v>
      </c>
      <c r="H4" s="373" t="str">
        <f t="shared" si="0"/>
        <v>--</v>
      </c>
      <c r="J4">
        <f t="shared" si="2"/>
        <v>0</v>
      </c>
    </row>
    <row r="5" spans="1:10" ht="15.75" thickBot="1" x14ac:dyDescent="0.25">
      <c r="A5" s="164" t="s">
        <v>168</v>
      </c>
      <c r="B5" s="164">
        <v>44300</v>
      </c>
      <c r="C5" s="165"/>
      <c r="D5" s="447"/>
      <c r="G5">
        <f t="shared" si="1"/>
        <v>0</v>
      </c>
      <c r="H5" s="373" t="str">
        <f t="shared" si="0"/>
        <v>--</v>
      </c>
      <c r="J5">
        <f t="shared" si="2"/>
        <v>0</v>
      </c>
    </row>
    <row r="6" spans="1:10" ht="15.75" thickBot="1" x14ac:dyDescent="0.25">
      <c r="A6" s="164" t="s">
        <v>170</v>
      </c>
      <c r="B6" s="164">
        <v>28700</v>
      </c>
      <c r="C6" s="165"/>
      <c r="D6" s="447"/>
      <c r="G6">
        <f t="shared" si="1"/>
        <v>0</v>
      </c>
      <c r="H6" s="373" t="str">
        <f t="shared" si="0"/>
        <v>--</v>
      </c>
      <c r="J6">
        <f t="shared" si="2"/>
        <v>0</v>
      </c>
    </row>
    <row r="7" spans="1:10" ht="15.75" thickBot="1" x14ac:dyDescent="0.25">
      <c r="A7" s="164" t="s">
        <v>173</v>
      </c>
      <c r="B7" s="164">
        <v>50100</v>
      </c>
      <c r="C7" s="165"/>
      <c r="D7" s="447"/>
      <c r="G7">
        <f t="shared" si="1"/>
        <v>0</v>
      </c>
      <c r="H7" s="373" t="str">
        <f t="shared" si="0"/>
        <v>--</v>
      </c>
      <c r="J7">
        <f t="shared" si="2"/>
        <v>0</v>
      </c>
    </row>
    <row r="8" spans="1:10" ht="15.75" thickBot="1" x14ac:dyDescent="0.25">
      <c r="A8" s="165" t="s">
        <v>174</v>
      </c>
      <c r="B8" s="164">
        <v>47100</v>
      </c>
      <c r="C8" s="165"/>
      <c r="D8" s="447">
        <v>28</v>
      </c>
      <c r="E8">
        <v>31</v>
      </c>
      <c r="F8">
        <f>D8/B8*10000</f>
        <v>5.9447983014861991</v>
      </c>
      <c r="G8">
        <f t="shared" si="1"/>
        <v>6.5817409766454356</v>
      </c>
      <c r="H8" s="373" t="str">
        <f t="shared" si="0"/>
        <v>-9,7</v>
      </c>
      <c r="I8">
        <v>3</v>
      </c>
      <c r="J8">
        <f t="shared" si="2"/>
        <v>0.63694267515923564</v>
      </c>
    </row>
    <row r="9" spans="1:10" ht="15.75" thickBot="1" x14ac:dyDescent="0.25">
      <c r="A9" s="164" t="s">
        <v>175</v>
      </c>
      <c r="B9" s="164">
        <v>27300</v>
      </c>
      <c r="C9" s="165"/>
      <c r="D9" s="447"/>
      <c r="G9">
        <f t="shared" si="1"/>
        <v>0</v>
      </c>
      <c r="H9" s="373" t="str">
        <f t="shared" si="0"/>
        <v>--</v>
      </c>
      <c r="J9">
        <f t="shared" si="2"/>
        <v>0</v>
      </c>
    </row>
    <row r="10" spans="1:10" ht="15.75" thickBot="1" x14ac:dyDescent="0.25">
      <c r="A10" s="164" t="s">
        <v>177</v>
      </c>
      <c r="B10" s="164">
        <v>27800</v>
      </c>
      <c r="C10" s="165"/>
      <c r="D10" s="447"/>
      <c r="G10">
        <f t="shared" si="1"/>
        <v>0</v>
      </c>
      <c r="H10" s="373" t="str">
        <f t="shared" si="0"/>
        <v>--</v>
      </c>
      <c r="J10">
        <f t="shared" si="2"/>
        <v>0</v>
      </c>
    </row>
    <row r="11" spans="1:10" ht="15.75" thickBot="1" x14ac:dyDescent="0.25">
      <c r="A11" s="164" t="s">
        <v>179</v>
      </c>
      <c r="B11" s="164">
        <v>18800</v>
      </c>
      <c r="C11" s="165"/>
      <c r="D11" s="447"/>
      <c r="G11">
        <f t="shared" si="1"/>
        <v>0</v>
      </c>
      <c r="H11" s="373" t="str">
        <f t="shared" si="0"/>
        <v>--</v>
      </c>
      <c r="J11">
        <f t="shared" si="2"/>
        <v>0</v>
      </c>
    </row>
    <row r="12" spans="1:10" ht="15.75" thickBot="1" x14ac:dyDescent="0.25">
      <c r="A12" s="164" t="s">
        <v>181</v>
      </c>
      <c r="B12" s="164">
        <v>23300</v>
      </c>
      <c r="C12" s="165"/>
      <c r="D12" s="447"/>
      <c r="G12">
        <f t="shared" si="1"/>
        <v>0</v>
      </c>
      <c r="H12" s="373" t="str">
        <f t="shared" si="0"/>
        <v>--</v>
      </c>
      <c r="J12">
        <f t="shared" si="2"/>
        <v>0</v>
      </c>
    </row>
    <row r="13" spans="1:10" ht="15.75" thickBot="1" x14ac:dyDescent="0.25">
      <c r="A13" s="164" t="s">
        <v>183</v>
      </c>
      <c r="B13" s="164">
        <v>28200</v>
      </c>
      <c r="C13" s="165"/>
      <c r="D13" s="447"/>
      <c r="G13">
        <f t="shared" si="1"/>
        <v>0</v>
      </c>
      <c r="H13" s="373" t="str">
        <f t="shared" si="0"/>
        <v>--</v>
      </c>
      <c r="J13">
        <f t="shared" si="2"/>
        <v>0</v>
      </c>
    </row>
    <row r="14" spans="1:10" ht="15.75" thickBot="1" x14ac:dyDescent="0.25">
      <c r="A14" s="164" t="s">
        <v>185</v>
      </c>
      <c r="B14" s="164">
        <v>37700</v>
      </c>
      <c r="C14" s="165"/>
      <c r="D14" s="447"/>
      <c r="G14">
        <f t="shared" si="1"/>
        <v>0</v>
      </c>
      <c r="H14" s="373" t="str">
        <f t="shared" si="0"/>
        <v>--</v>
      </c>
      <c r="J14">
        <f t="shared" si="2"/>
        <v>0</v>
      </c>
    </row>
    <row r="15" spans="1:10" ht="15.75" thickBot="1" x14ac:dyDescent="0.25">
      <c r="A15" s="164" t="s">
        <v>188</v>
      </c>
      <c r="B15" s="164">
        <v>127700</v>
      </c>
      <c r="C15" s="165"/>
      <c r="D15" s="447">
        <f>Grig1!C37</f>
        <v>50</v>
      </c>
      <c r="E15">
        <f>Grig1!B37</f>
        <v>28</v>
      </c>
      <c r="F15">
        <f>D15/B15*10000</f>
        <v>3.9154267815191854</v>
      </c>
      <c r="G15">
        <f t="shared" si="1"/>
        <v>2.1926389976507439</v>
      </c>
      <c r="H15" s="373" t="str">
        <f t="shared" si="0"/>
        <v>78,6</v>
      </c>
      <c r="I15">
        <f>Grig1!I37</f>
        <v>1</v>
      </c>
      <c r="J15">
        <f t="shared" si="2"/>
        <v>7.8308535630383716E-2</v>
      </c>
    </row>
    <row r="16" spans="1:10" ht="15.75" thickBot="1" x14ac:dyDescent="0.25">
      <c r="A16" s="164" t="s">
        <v>189</v>
      </c>
      <c r="B16" s="164">
        <v>19100</v>
      </c>
      <c r="C16" s="165"/>
      <c r="D16" s="447"/>
      <c r="G16">
        <f t="shared" si="1"/>
        <v>0</v>
      </c>
      <c r="H16" s="373" t="str">
        <f t="shared" si="0"/>
        <v>--</v>
      </c>
      <c r="J16">
        <f t="shared" si="2"/>
        <v>0</v>
      </c>
    </row>
    <row r="17" spans="1:10" ht="15.75" thickBot="1" x14ac:dyDescent="0.25">
      <c r="A17" s="164" t="s">
        <v>191</v>
      </c>
      <c r="B17" s="164">
        <v>29100</v>
      </c>
      <c r="C17" s="165"/>
      <c r="D17" s="447"/>
      <c r="G17">
        <f t="shared" si="1"/>
        <v>0</v>
      </c>
      <c r="H17" s="373" t="str">
        <f t="shared" si="0"/>
        <v>--</v>
      </c>
      <c r="J17">
        <f t="shared" si="2"/>
        <v>0</v>
      </c>
    </row>
    <row r="18" spans="1:10" ht="15.75" thickBot="1" x14ac:dyDescent="0.25">
      <c r="A18" s="164" t="s">
        <v>193</v>
      </c>
      <c r="B18" s="164">
        <v>37200</v>
      </c>
      <c r="C18" s="165"/>
      <c r="D18" s="447"/>
      <c r="G18">
        <f t="shared" si="1"/>
        <v>0</v>
      </c>
      <c r="H18" s="373" t="str">
        <f t="shared" si="0"/>
        <v>--</v>
      </c>
      <c r="J18">
        <f t="shared" si="2"/>
        <v>0</v>
      </c>
    </row>
    <row r="19" spans="1:10" ht="15.75" thickBot="1" x14ac:dyDescent="0.25">
      <c r="A19" s="164" t="s">
        <v>195</v>
      </c>
      <c r="B19" s="164">
        <v>57900</v>
      </c>
      <c r="C19" s="165"/>
      <c r="D19" s="447"/>
      <c r="G19">
        <f t="shared" si="1"/>
        <v>0</v>
      </c>
      <c r="H19" s="373" t="str">
        <f t="shared" si="0"/>
        <v>--</v>
      </c>
      <c r="J19">
        <f t="shared" si="2"/>
        <v>0</v>
      </c>
    </row>
    <row r="20" spans="1:10" ht="15.75" thickBot="1" x14ac:dyDescent="0.25">
      <c r="A20" s="164" t="s">
        <v>197</v>
      </c>
      <c r="B20" s="164">
        <v>17300</v>
      </c>
      <c r="C20" s="165"/>
      <c r="D20" s="447"/>
      <c r="G20">
        <f t="shared" si="1"/>
        <v>0</v>
      </c>
      <c r="H20" s="373" t="str">
        <f t="shared" si="0"/>
        <v>--</v>
      </c>
      <c r="J20">
        <f t="shared" si="2"/>
        <v>0</v>
      </c>
    </row>
    <row r="21" spans="1:10" ht="15.75" thickBot="1" x14ac:dyDescent="0.25">
      <c r="A21" s="165" t="s">
        <v>200</v>
      </c>
      <c r="B21" s="164">
        <v>33400</v>
      </c>
      <c r="C21" s="165"/>
      <c r="D21" s="447">
        <v>15</v>
      </c>
      <c r="E21">
        <v>23</v>
      </c>
      <c r="F21">
        <f>D21/B21*10000</f>
        <v>4.4910179640718564</v>
      </c>
      <c r="G21">
        <f t="shared" si="1"/>
        <v>6.88622754491018</v>
      </c>
      <c r="H21" s="373" t="str">
        <f t="shared" si="0"/>
        <v>-34,8</v>
      </c>
      <c r="I21">
        <v>1</v>
      </c>
      <c r="J21">
        <f t="shared" si="2"/>
        <v>0.29940119760479039</v>
      </c>
    </row>
    <row r="22" spans="1:10" ht="15.75" thickBot="1" x14ac:dyDescent="0.25">
      <c r="A22" s="164" t="s">
        <v>199</v>
      </c>
      <c r="B22" s="164">
        <v>21300</v>
      </c>
      <c r="C22" s="165"/>
      <c r="D22" s="447"/>
      <c r="G22">
        <f t="shared" si="1"/>
        <v>0</v>
      </c>
      <c r="H22" s="373" t="str">
        <f t="shared" si="0"/>
        <v>--</v>
      </c>
      <c r="J22">
        <f t="shared" si="2"/>
        <v>0</v>
      </c>
    </row>
    <row r="23" spans="1:10" ht="15.75" thickBot="1" x14ac:dyDescent="0.25">
      <c r="A23" s="164" t="s">
        <v>201</v>
      </c>
      <c r="B23" s="164">
        <v>36300</v>
      </c>
      <c r="C23" s="165"/>
      <c r="D23" s="447"/>
      <c r="G23">
        <f t="shared" si="1"/>
        <v>0</v>
      </c>
      <c r="H23" s="373" t="str">
        <f t="shared" si="0"/>
        <v>--</v>
      </c>
      <c r="J23">
        <f t="shared" si="2"/>
        <v>0</v>
      </c>
    </row>
    <row r="24" spans="1:10" ht="15.75" thickBot="1" x14ac:dyDescent="0.25">
      <c r="A24" s="164" t="s">
        <v>203</v>
      </c>
      <c r="B24" s="164">
        <v>26400</v>
      </c>
      <c r="C24" s="165"/>
      <c r="D24" s="447"/>
      <c r="G24">
        <f t="shared" si="1"/>
        <v>0</v>
      </c>
      <c r="H24" s="373" t="str">
        <f t="shared" si="0"/>
        <v>--</v>
      </c>
      <c r="J24">
        <f t="shared" si="2"/>
        <v>0</v>
      </c>
    </row>
    <row r="25" spans="1:10" ht="15.75" thickBot="1" x14ac:dyDescent="0.25">
      <c r="A25" s="164" t="s">
        <v>205</v>
      </c>
      <c r="B25" s="164">
        <v>19400</v>
      </c>
      <c r="C25" s="165"/>
      <c r="D25" s="447"/>
      <c r="G25">
        <f t="shared" si="1"/>
        <v>0</v>
      </c>
      <c r="H25" s="373" t="str">
        <f t="shared" si="0"/>
        <v>--</v>
      </c>
      <c r="J25">
        <f t="shared" si="2"/>
        <v>0</v>
      </c>
    </row>
    <row r="26" spans="1:10" ht="15.75" thickBot="1" x14ac:dyDescent="0.25">
      <c r="A26" s="164" t="s">
        <v>158</v>
      </c>
      <c r="B26" s="164">
        <v>129000</v>
      </c>
      <c r="C26" s="165"/>
      <c r="D26" s="447"/>
      <c r="G26">
        <f t="shared" si="1"/>
        <v>0</v>
      </c>
      <c r="H26" s="373" t="str">
        <f t="shared" si="0"/>
        <v>--</v>
      </c>
      <c r="J26">
        <f t="shared" si="2"/>
        <v>0</v>
      </c>
    </row>
    <row r="27" spans="1:10" ht="15.75" thickBot="1" x14ac:dyDescent="0.25">
      <c r="A27" s="164" t="s">
        <v>160</v>
      </c>
      <c r="B27" s="164">
        <v>161100</v>
      </c>
      <c r="C27" s="166"/>
      <c r="D27" s="448"/>
      <c r="G27">
        <f t="shared" si="1"/>
        <v>0</v>
      </c>
      <c r="H27" s="373" t="str">
        <f t="shared" si="0"/>
        <v>--</v>
      </c>
      <c r="J27">
        <f t="shared" si="2"/>
        <v>0</v>
      </c>
    </row>
    <row r="28" spans="1:10" ht="15.75" thickBot="1" x14ac:dyDescent="0.25">
      <c r="A28" s="164" t="s">
        <v>159</v>
      </c>
      <c r="B28" s="164">
        <v>161500</v>
      </c>
      <c r="C28" s="163"/>
      <c r="G28">
        <f t="shared" si="1"/>
        <v>0</v>
      </c>
      <c r="H28" s="373" t="str">
        <f t="shared" si="0"/>
        <v>--</v>
      </c>
      <c r="J28">
        <f t="shared" si="2"/>
        <v>0</v>
      </c>
    </row>
    <row r="29" spans="1:10" ht="15.75" thickBot="1" x14ac:dyDescent="0.25">
      <c r="A29" s="164" t="s">
        <v>208</v>
      </c>
      <c r="B29" s="164">
        <v>1360900</v>
      </c>
      <c r="C29" s="163"/>
      <c r="G29">
        <f t="shared" si="1"/>
        <v>0</v>
      </c>
      <c r="H29" s="373" t="str">
        <f t="shared" si="0"/>
        <v>--</v>
      </c>
      <c r="J29">
        <f t="shared" si="2"/>
        <v>0</v>
      </c>
    </row>
    <row r="30" spans="1:10" ht="15.75" thickBot="1" x14ac:dyDescent="0.25">
      <c r="A30" s="81" t="s">
        <v>298</v>
      </c>
      <c r="B30" s="81">
        <v>11300</v>
      </c>
      <c r="D30" s="446">
        <v>10</v>
      </c>
      <c r="E30">
        <v>16</v>
      </c>
      <c r="F30">
        <f>D30/B30*10000</f>
        <v>8.8495575221238933</v>
      </c>
      <c r="G30">
        <f t="shared" si="1"/>
        <v>14.159292035398231</v>
      </c>
      <c r="H30" s="373" t="str">
        <f t="shared" si="0"/>
        <v>-37,5</v>
      </c>
      <c r="I30">
        <v>0</v>
      </c>
      <c r="J30">
        <f t="shared" si="2"/>
        <v>0</v>
      </c>
    </row>
    <row r="31" spans="1:10" ht="15.75" thickBot="1" x14ac:dyDescent="0.25">
      <c r="A31" s="81" t="s">
        <v>299</v>
      </c>
      <c r="B31" s="81">
        <v>10200</v>
      </c>
      <c r="D31" s="446">
        <v>8</v>
      </c>
      <c r="E31">
        <v>8</v>
      </c>
      <c r="F31">
        <f>D31/B31*10000</f>
        <v>7.8431372549019605</v>
      </c>
      <c r="G31">
        <f t="shared" si="1"/>
        <v>7.8431372549019605</v>
      </c>
      <c r="H31" s="373" t="str">
        <f t="shared" si="0"/>
        <v>0,0</v>
      </c>
      <c r="I31">
        <v>0</v>
      </c>
      <c r="J31">
        <f t="shared" si="2"/>
        <v>0</v>
      </c>
    </row>
    <row r="32" spans="1:10" ht="15.75" thickBot="1" x14ac:dyDescent="0.25">
      <c r="A32" s="81" t="s">
        <v>300</v>
      </c>
      <c r="B32" s="81">
        <v>13200</v>
      </c>
      <c r="D32" s="446">
        <v>4</v>
      </c>
      <c r="E32">
        <v>3</v>
      </c>
      <c r="F32">
        <f>D32/B32*10000</f>
        <v>3.0303030303030303</v>
      </c>
      <c r="G32">
        <f t="shared" si="1"/>
        <v>2.2727272727272729</v>
      </c>
      <c r="H32" s="373" t="str">
        <f t="shared" si="0"/>
        <v>33,3</v>
      </c>
      <c r="I32">
        <v>0</v>
      </c>
      <c r="J32">
        <f t="shared" si="2"/>
        <v>0</v>
      </c>
    </row>
    <row r="33" spans="1:10" ht="15.75" thickBot="1" x14ac:dyDescent="0.25">
      <c r="A33" s="81" t="s">
        <v>301</v>
      </c>
      <c r="B33" s="81">
        <v>9700</v>
      </c>
      <c r="D33" s="446">
        <v>6</v>
      </c>
      <c r="E33">
        <v>9</v>
      </c>
      <c r="F33">
        <f>D33/B33*10000</f>
        <v>6.1855670103092777</v>
      </c>
      <c r="G33">
        <f t="shared" si="1"/>
        <v>9.2783505154639165</v>
      </c>
      <c r="H33" s="373" t="str">
        <f t="shared" si="0"/>
        <v>-33,3</v>
      </c>
      <c r="I33">
        <v>0</v>
      </c>
      <c r="J33">
        <f t="shared" si="2"/>
        <v>0</v>
      </c>
    </row>
    <row r="34" spans="1:10" ht="15" x14ac:dyDescent="0.2">
      <c r="A34" s="81" t="s">
        <v>472</v>
      </c>
      <c r="B34" s="81">
        <v>459500</v>
      </c>
      <c r="D34" s="446">
        <f>Grig1!C6</f>
        <v>162</v>
      </c>
      <c r="E34">
        <f>Grig1!B6</f>
        <v>153</v>
      </c>
      <c r="F34">
        <f>D34/B34*10000</f>
        <v>3.52557127312296</v>
      </c>
      <c r="G34">
        <f t="shared" si="1"/>
        <v>3.3297062023939064</v>
      </c>
      <c r="H34" s="373" t="str">
        <f t="shared" si="0"/>
        <v>5,9</v>
      </c>
      <c r="I34">
        <f>Grig1!I6</f>
        <v>7</v>
      </c>
      <c r="J34">
        <f t="shared" si="2"/>
        <v>0.15233949945593037</v>
      </c>
    </row>
    <row r="35" spans="1:10" ht="15.75" x14ac:dyDescent="0.25">
      <c r="H35" s="160"/>
      <c r="J35" s="160"/>
    </row>
  </sheetData>
  <phoneticPr fontId="59" type="noConversion"/>
  <pageMargins left="0.75" right="0.75" top="1" bottom="1" header="0.5" footer="0.5"/>
  <pageSetup paperSize="9" orientation="portrait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</vt:i4>
      </vt:variant>
    </vt:vector>
  </HeadingPairs>
  <TitlesOfParts>
    <vt:vector size="21" baseType="lpstr">
      <vt:lpstr>Grig1</vt:lpstr>
      <vt:lpstr>OБПР</vt:lpstr>
      <vt:lpstr>Posled1</vt:lpstr>
      <vt:lpstr>Posled2</vt:lpstr>
      <vt:lpstr>Комментарии</vt:lpstr>
      <vt:lpstr>на 10 тыс главы</vt:lpstr>
      <vt:lpstr>На 10 тыс</vt:lpstr>
      <vt:lpstr>В блокнот</vt:lpstr>
      <vt:lpstr>НаселГлавы</vt:lpstr>
      <vt:lpstr>Население</vt:lpstr>
      <vt:lpstr>ГРАФИКИ</vt:lpstr>
      <vt:lpstr>ВНИИПО</vt:lpstr>
      <vt:lpstr>2017-2018</vt:lpstr>
      <vt:lpstr>Grig2</vt:lpstr>
      <vt:lpstr>обмен с регионами</vt:lpstr>
      <vt:lpstr>На 100 тыс</vt:lpstr>
      <vt:lpstr>Лист1</vt:lpstr>
      <vt:lpstr>База_данных</vt:lpstr>
      <vt:lpstr>Grig1!Область_печати</vt:lpstr>
      <vt:lpstr>OБПР!Область_печати</vt:lpstr>
      <vt:lpstr>ГРАФИКИ!Область_печати</vt:lpstr>
    </vt:vector>
  </TitlesOfParts>
  <Company>УГПС МЧС РФ ЧР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ОАГ</dc:creator>
  <cp:lastModifiedBy>Галина Германова</cp:lastModifiedBy>
  <cp:lastPrinted>2018-10-31T05:35:47Z</cp:lastPrinted>
  <dcterms:created xsi:type="dcterms:W3CDTF">2003-05-19T06:57:28Z</dcterms:created>
  <dcterms:modified xsi:type="dcterms:W3CDTF">2018-11-19T14:52:13Z</dcterms:modified>
</cp:coreProperties>
</file>