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5" activeTab="6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definedNames>
    <definedName name="_xlnm.Print_Area" localSheetId="5">'Иль'!$A$1:$F$101</definedName>
    <definedName name="_xlnm.Print_Area" localSheetId="0">'Консол'!$A$1:$K$50</definedName>
    <definedName name="_xlnm.Print_Area" localSheetId="7">'Мор'!$A$1:$F$98</definedName>
    <definedName name="_xlnm.Print_Area" localSheetId="1">'Справка'!$A$1:$EY$31</definedName>
    <definedName name="_xlnm.Print_Area" localSheetId="11">'Тор'!$A$1:$F$99</definedName>
    <definedName name="_xlnm.Print_Area" localSheetId="17">'Яра'!$A$1:$F$100</definedName>
  </definedNames>
  <calcPr fullCalcOnLoad="1"/>
</workbook>
</file>

<file path=xl/sharedStrings.xml><?xml version="1.0" encoding="utf-8"?>
<sst xmlns="http://schemas.openxmlformats.org/spreadsheetml/2006/main" count="2734" uniqueCount="378">
  <si>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</si>
  <si>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</si>
  <si>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</si>
  <si>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</si>
  <si>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</si>
  <si>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</si>
  <si>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</si>
  <si>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</si>
  <si>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</si>
  <si>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</si>
  <si>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</si>
  <si>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</si>
  <si>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</si>
  <si>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</si>
  <si>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</si>
  <si>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</si>
  <si>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</si>
  <si>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</si>
  <si>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</si>
  <si>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</si>
  <si>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</si>
  <si>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</si>
  <si>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</si>
  <si>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</si>
  <si>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</si>
  <si>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</si>
  <si>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</si>
  <si>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</si>
  <si>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</si>
  <si>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</si>
  <si>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</si>
  <si>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</si>
  <si>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</si>
  <si>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</si>
  <si>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</si>
  <si>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</si>
  <si>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</si>
  <si>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</si>
  <si>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</si>
  <si>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</si>
  <si>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</si>
  <si>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</si>
  <si>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</si>
  <si>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</si>
  <si>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</si>
  <si>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</si>
  <si>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</si>
  <si>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</si>
  <si>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</si>
  <si>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</si>
  <si>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</si>
  <si>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</si>
  <si>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</si>
  <si>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</si>
  <si>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</si>
  <si>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</si>
  <si>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</si>
  <si>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</si>
  <si>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</si>
  <si>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</si>
  <si>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</si>
  <si>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</si>
  <si>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</si>
  <si>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</si>
  <si>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</si>
  <si>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</si>
  <si>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</si>
  <si>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</si>
  <si>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</si>
  <si>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</si>
  <si>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</si>
  <si>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</si>
  <si>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</si>
  <si>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</si>
  <si>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</si>
  <si>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</si>
  <si>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</si>
  <si>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</si>
  <si>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</si>
  <si>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</si>
  <si>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</si>
  <si>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</si>
  <si>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</si>
  <si>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</si>
  <si>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</si>
  <si>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</si>
  <si>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</si>
  <si>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</si>
  <si>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</si>
  <si>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</si>
  <si>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</si>
  <si>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</si>
  <si>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</si>
  <si>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</si>
  <si>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</si>
  <si>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</si>
  <si>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</si>
  <si>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</si>
  <si>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</si>
  <si>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</si>
  <si>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</si>
  <si>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</si>
  <si>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</si>
  <si>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</si>
  <si>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</si>
  <si>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</si>
  <si>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</si>
  <si>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</si>
  <si>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</si>
  <si>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</si>
  <si>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</si>
  <si>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</si>
  <si>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</si>
  <si>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</si>
  <si>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</si>
  <si>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</si>
  <si>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</si>
  <si>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</si>
  <si>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</si>
  <si>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</si>
  <si>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</si>
  <si>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</si>
  <si>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</si>
  <si>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</si>
  <si>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</si>
  <si>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</si>
  <si>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</si>
  <si>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</si>
  <si>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</si>
  <si>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</si>
  <si>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</si>
  <si>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</si>
  <si>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</si>
  <si>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</si>
  <si>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</si>
  <si>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</si>
  <si>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</si>
  <si>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</si>
  <si>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</si>
  <si>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</si>
  <si>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</si>
  <si>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</si>
  <si>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</si>
  <si>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</si>
  <si>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</si>
  <si>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</si>
  <si>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</si>
  <si>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</si>
  <si>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</si>
  <si>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</si>
  <si>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</si>
  <si>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</si>
  <si>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</si>
  <si>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</si>
  <si>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</si>
  <si>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</si>
  <si>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</si>
  <si>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</si>
  <si>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</si>
  <si>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</si>
  <si>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</si>
  <si>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</si>
  <si>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</si>
  <si>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</si>
  <si>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</si>
  <si>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</si>
  <si>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</si>
  <si>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</si>
  <si>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</si>
  <si>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</si>
  <si>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</si>
  <si>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</si>
  <si>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</si>
  <si>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</si>
  <si>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</si>
  <si>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</si>
  <si>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</si>
  <si>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</si>
  <si>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</si>
  <si>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</si>
  <si>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</si>
  <si>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</si>
  <si>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</si>
  <si>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</si>
  <si>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</si>
  <si>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</si>
  <si>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</si>
  <si>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</si>
  <si>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</si>
  <si>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</si>
  <si>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</si>
  <si>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</si>
  <si>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</si>
  <si>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</si>
  <si>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</si>
  <si>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</si>
  <si>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</si>
  <si>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</si>
  <si>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</si>
  <si>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</si>
  <si>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</si>
  <si>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</si>
  <si>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</si>
  <si>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</si>
  <si>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</si>
  <si>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</si>
  <si>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</si>
  <si>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</si>
  <si>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</si>
  <si>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</si>
  <si>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</si>
  <si>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</si>
  <si>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</si>
  <si>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</si>
  <si>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</si>
  <si>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</si>
  <si>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</si>
  <si>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</si>
  <si>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</si>
  <si>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</si>
  <si>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</si>
  <si>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</si>
  <si>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</si>
  <si>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</si>
  <si>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</si>
  <si>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</si>
  <si>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</si>
  <si>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</si>
  <si>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</si>
  <si>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</si>
  <si>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</si>
  <si>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</si>
  <si>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</si>
  <si>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</si>
  <si>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</si>
  <si>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</si>
  <si>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</si>
  <si>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</si>
  <si>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</si>
  <si>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</si>
  <si>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</si>
  <si>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</si>
  <si>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</si>
  <si>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</si>
  <si>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</si>
  <si>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</si>
  <si>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</si>
  <si>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</si>
  <si>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</si>
  <si>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</si>
  <si>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</si>
  <si>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</si>
  <si>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</si>
  <si>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</si>
  <si>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</si>
  <si>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</si>
  <si>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</si>
  <si>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</si>
  <si>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</si>
  <si>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</si>
  <si>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</si>
  <si>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</si>
  <si>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</si>
  <si>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</si>
  <si>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</si>
  <si>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</si>
  <si>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</si>
  <si>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</si>
  <si>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</si>
  <si>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</si>
  <si>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</si>
  <si>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</si>
  <si>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</si>
  <si>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</si>
  <si>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</si>
  <si>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</si>
  <si>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</si>
  <si>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</si>
  <si>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</si>
  <si>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 от оказания платных услуг (работ) и компенсации затрат государства                                  000 1130299510 0000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</si>
  <si>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</si>
  <si>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</si>
  <si>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>дотации бюджетам  поселений на поддержку мер по обеспечению сбалансированности бюджетов (код доходов 00020201003100000151)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</si>
  <si>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</si>
  <si>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</si>
  <si>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</si>
  <si>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</si>
  <si>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</si>
  <si>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</si>
  <si>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</si>
  <si>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</si>
  <si>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</si>
  <si>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</si>
  <si>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</si>
  <si>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</si>
  <si>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</si>
  <si>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</si>
  <si>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</si>
  <si>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</si>
  <si>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</si>
  <si>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</si>
  <si>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</si>
  <si>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</si>
  <si>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</si>
  <si>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</si>
  <si>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</si>
  <si>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</si>
  <si>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</si>
  <si>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бюджетной системы РФ от возврата бюджетами бюджетной системы РФ  и организациями остатков субсидий, субвенций и иных межбюджетных трансфертов, имеющих целевое назначение, прошлых лет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</si>
  <si>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</si>
  <si>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</si>
  <si>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</si>
  <si>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</si>
  <si>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</si>
  <si>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</si>
  <si>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</si>
  <si>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</si>
  <si>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</si>
  <si>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</si>
  <si>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</si>
  <si>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</si>
  <si>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</si>
  <si>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</si>
  <si>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</si>
  <si>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</si>
  <si>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</si>
  <si>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</si>
  <si>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</si>
  <si>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</si>
  <si>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</si>
  <si>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</si>
  <si>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</si>
  <si>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</si>
  <si>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</si>
  <si>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</si>
  <si>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</si>
  <si>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</si>
  <si>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</si>
  <si>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</si>
  <si>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</si>
  <si>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назначено на 2017 г.</t>
  </si>
  <si>
    <t>назначено на 2017г.</t>
  </si>
  <si>
    <t>0703</t>
  </si>
  <si>
    <t>Дополнительное образование детей</t>
  </si>
  <si>
    <t>план на 2017 г.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</si>
  <si>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</si>
  <si>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</si>
  <si>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</si>
  <si>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</si>
  <si>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</si>
  <si>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</si>
  <si>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</si>
  <si>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</si>
  <si>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исполнено на 01.01.2018 г.</t>
  </si>
  <si>
    <t>исполнен на 01.01.2018 г.</t>
  </si>
  <si>
    <t xml:space="preserve">                     Анализ исполнения бюджета Хорнойского сельского поселения на 01.01.2018 г.</t>
  </si>
  <si>
    <t xml:space="preserve">                     Анализ исполнения бюджета Чуманкасинского сельского поселения на 01.01.2018 г.</t>
  </si>
  <si>
    <t xml:space="preserve">                     Анализ исполнения бюджета Шатьмапосинского сельского поселения на 01.01.2018 г.</t>
  </si>
  <si>
    <t xml:space="preserve">                     Анализ исполнения бюджета Юнгинского сельского поселения на 01.01.2018 г.</t>
  </si>
  <si>
    <t xml:space="preserve">                     Анализ исполнения бюджета Юськасинского сельского поселения на 01.01.2018 г.</t>
  </si>
  <si>
    <t>исполнено на 01.01.2018г.</t>
  </si>
  <si>
    <t xml:space="preserve">                     Анализ исполнения бюджета Ярабайкасинского сельского поселения на 01.01.2018 г.</t>
  </si>
  <si>
    <t xml:space="preserve">                     Анализ исполнения бюджета Ярославского сельского поселения на 01.01.2018 г.</t>
  </si>
  <si>
    <t xml:space="preserve">                     Анализ исполнения бюджета Александровского сельского поселения на 01.01.2018 г.</t>
  </si>
  <si>
    <t xml:space="preserve">                     Анализ исполнения бюджета Большесундырского сельского поселения на 01.01.2018 г.</t>
  </si>
  <si>
    <t>исполнено на 01.01.2018 г</t>
  </si>
  <si>
    <t xml:space="preserve">                     Анализ исполнения бюджета Ильинского сельского поселения на 01.01.2018 г.</t>
  </si>
  <si>
    <t xml:space="preserve">                     Анализ исполнения бюджета Кадикасинского сельского поселения на 01.01.2018 г.</t>
  </si>
  <si>
    <t xml:space="preserve">                     Анализ исполнения бюджета Моргаушского сельского поселения на 01.01.2018 г.</t>
  </si>
  <si>
    <t xml:space="preserve">                     Анализ исполнения бюджета Москакасинского сельского поселения на 01.01.2018 г.</t>
  </si>
  <si>
    <t xml:space="preserve">                     Анализ исполнения бюджета Сятракасинского сельского поселения на 01.01.2018 г.</t>
  </si>
  <si>
    <t xml:space="preserve">                     Анализ исполнения бюджета Орининского сельского поселения на 01.01.2018 г.</t>
  </si>
  <si>
    <t xml:space="preserve">                     Анализ исполнения бюджета Тораевского сельского поселения на 01.01.2018 г.</t>
  </si>
  <si>
    <t xml:space="preserve">                          Моргаушского района на 01.01.2018 г. </t>
  </si>
  <si>
    <t xml:space="preserve">исполнено на 01.01.2018 г. </t>
  </si>
  <si>
    <t xml:space="preserve">Д. в. за наруш.  Земельн закон. </t>
  </si>
  <si>
    <t>Анализ исполнения консолидированного бюджета Моргаушского районана 01.01.2018 г.</t>
  </si>
  <si>
    <t>об исполнении бюджетов поселений  Моргаушского района  на 1 января 2018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</si>
</sst>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  <numFmt numFmtId="178" formatCode="0.00000"/>
    <numFmt numFmtId="179" formatCode="_(* #,##0.0_);_(* \(#,##0.0\);_(* &quot;-&quot;??_);_(@_)"/>
    <numFmt numFmtId="180" formatCode="_-* #,##0.0_р_._-;\-* #,##0.0_р_._-;_-* &quot;-&quot;?_р_._-;_-@_-"/>
    <numFmt numFmtId="181" formatCode="_-* #,##0.00000_р_._-;\-* #,##0.00000_р_._-;_-* &quot;-&quot;?????_р_._-;_-@_-"/>
    <numFmt numFmtId="182" formatCode="#,##0.00000"/>
    <numFmt numFmtId="183" formatCode="#,##0.0000"/>
    <numFmt numFmtId="184" formatCode="#,##0.000"/>
    <numFmt numFmtId="185" formatCode="0.000000"/>
    <numFmt numFmtId="186" formatCode="0.00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0.0000000"/>
    <numFmt numFmtId="191" formatCode="_(* #,##0_);_(* \(#,##0\);_(* &quot;-&quot;??_);_(@_)"/>
    <numFmt numFmtId="192" formatCode="0.000"/>
    <numFmt numFmtId="193" formatCode="#,##0.000000"/>
    <numFmt numFmtId="194" formatCode="_(* #,##0.000000_);_(* \(#,##0.000000\);_(* &quot;-&quot;??_);_(@_)"/>
    <numFmt numFmtId="195" formatCode="_-* #,##0.0000000_р_._-;\-* #,##0.0000000_р_._-;_-* &quot;-&quot;?????_р_._-;_-@_-"/>
    <numFmt numFmtId="196" formatCode="#,##0.0000000"/>
    <numFmt numFmtId="197" formatCode="#,##0.00000000"/>
    <numFmt numFmtId="198" formatCode="0.00000000"/>
    <numFmt numFmtId="199" formatCode="_-* #,##0.0\ _₽_-;\-* #,##0.0\ _₽_-;_-* &quot;-&quot;?\ _₽_-;_-@_-"/>
    <numFmt numFmtId="200" formatCode="_(* #,##0.0000000_);_(* \(#,##0.0000000\);_(* &quot;-&quot;??_);_(@_)"/>
    <numFmt numFmtId="201" formatCode="0.000000000"/>
    <numFmt numFmtId="202" formatCode="#,##0.000000000"/>
    <numFmt numFmtId="203" formatCode="#,##0.0000000000"/>
  </numFmts>
  <fonts count="6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44"/>
      <name val="Times New Roman"/>
      <family val="1"/>
    </font>
    <font>
      <b/>
      <sz val="12"/>
      <color indexed="6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2"/>
      <name val="TimesET"/>
      <family val="0"/>
    </font>
    <font>
      <sz val="12"/>
      <color indexed="8"/>
      <name val="Arial Cyr"/>
      <family val="0"/>
    </font>
    <font>
      <sz val="12"/>
      <color indexed="8"/>
      <name val="TimesET"/>
      <family val="0"/>
    </font>
    <font>
      <b/>
      <sz val="12"/>
      <name val="TimesET"/>
      <family val="0"/>
    </font>
    <font>
      <b/>
      <sz val="12"/>
      <color indexed="8"/>
      <name val="Arial Cyr"/>
      <family val="0"/>
    </font>
    <font>
      <b/>
      <sz val="12"/>
      <name val="Arial Cyr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60" applyFont="1">
      <alignment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176" fontId="2" fillId="0" borderId="10" xfId="62" applyNumberFormat="1" applyFont="1" applyBorder="1" applyAlignment="1">
      <alignment horizontal="right" vertical="center"/>
      <protection/>
    </xf>
    <xf numFmtId="0" fontId="2" fillId="0" borderId="0" xfId="60" applyFont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wrapText="1"/>
      <protection/>
    </xf>
    <xf numFmtId="176" fontId="3" fillId="0" borderId="10" xfId="62" applyNumberFormat="1" applyFont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Border="1">
      <alignment/>
      <protection/>
    </xf>
    <xf numFmtId="176" fontId="3" fillId="0" borderId="10" xfId="0" applyNumberFormat="1" applyFont="1" applyBorder="1" applyAlignment="1">
      <alignment horizontal="right" vertical="center"/>
    </xf>
    <xf numFmtId="0" fontId="2" fillId="0" borderId="10" xfId="62" applyFont="1" applyBorder="1" applyAlignment="1">
      <alignment wrapText="1"/>
      <protection/>
    </xf>
    <xf numFmtId="176" fontId="2" fillId="0" borderId="10" xfId="62" applyNumberFormat="1" applyFont="1" applyFill="1" applyBorder="1" applyAlignment="1">
      <alignment horizontal="right" vertical="center"/>
      <protection/>
    </xf>
    <xf numFmtId="0" fontId="3" fillId="0" borderId="0" xfId="60" applyFont="1" applyFill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wrapText="1"/>
      <protection/>
    </xf>
    <xf numFmtId="176" fontId="2" fillId="0" borderId="0" xfId="60" applyNumberFormat="1" applyFont="1">
      <alignment/>
      <protection/>
    </xf>
    <xf numFmtId="176" fontId="3" fillId="33" borderId="10" xfId="53" applyNumberFormat="1" applyFont="1" applyFill="1" applyBorder="1" applyAlignment="1">
      <alignment horizontal="right" vertical="center" shrinkToFit="1"/>
      <protection/>
    </xf>
    <xf numFmtId="0" fontId="2" fillId="0" borderId="10" xfId="62" applyFont="1" applyFill="1" applyBorder="1">
      <alignment/>
      <protection/>
    </xf>
    <xf numFmtId="176" fontId="2" fillId="0" borderId="10" xfId="60" applyNumberFormat="1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center"/>
      <protection/>
    </xf>
    <xf numFmtId="0" fontId="2" fillId="0" borderId="11" xfId="62" applyFont="1" applyFill="1" applyBorder="1">
      <alignment/>
      <protection/>
    </xf>
    <xf numFmtId="176" fontId="2" fillId="0" borderId="11" xfId="62" applyNumberFormat="1" applyFont="1" applyBorder="1" applyAlignment="1">
      <alignment horizontal="righ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/>
      <protection/>
    </xf>
    <xf numFmtId="0" fontId="2" fillId="34" borderId="10" xfId="60" applyFont="1" applyFill="1" applyBorder="1" applyAlignment="1">
      <alignment wrapText="1"/>
      <protection/>
    </xf>
    <xf numFmtId="179" fontId="2" fillId="0" borderId="10" xfId="60" applyNumberFormat="1" applyFont="1" applyBorder="1" applyAlignment="1">
      <alignment horizontal="right" vertical="center"/>
      <protection/>
    </xf>
    <xf numFmtId="179" fontId="2" fillId="0" borderId="10" xfId="70" applyNumberFormat="1" applyFont="1" applyBorder="1" applyAlignment="1">
      <alignment horizontal="right" vertical="center"/>
    </xf>
    <xf numFmtId="176" fontId="2" fillId="0" borderId="10" xfId="57" applyNumberFormat="1" applyFont="1" applyBorder="1" applyAlignment="1">
      <alignment horizontal="right"/>
      <protection/>
    </xf>
    <xf numFmtId="49" fontId="3" fillId="0" borderId="10" xfId="60" applyNumberFormat="1" applyFont="1" applyBorder="1" applyAlignment="1">
      <alignment horizontal="center"/>
      <protection/>
    </xf>
    <xf numFmtId="0" fontId="3" fillId="34" borderId="10" xfId="60" applyFont="1" applyFill="1" applyBorder="1" applyAlignment="1">
      <alignment wrapText="1"/>
      <protection/>
    </xf>
    <xf numFmtId="179" fontId="3" fillId="0" borderId="10" xfId="60" applyNumberFormat="1" applyFont="1" applyBorder="1" applyAlignment="1">
      <alignment horizontal="right" vertical="center"/>
      <protection/>
    </xf>
    <xf numFmtId="176" fontId="3" fillId="0" borderId="10" xfId="57" applyNumberFormat="1" applyFont="1" applyBorder="1" applyAlignment="1">
      <alignment horizontal="right"/>
      <protection/>
    </xf>
    <xf numFmtId="0" fontId="3" fillId="0" borderId="10" xfId="60" applyFont="1" applyBorder="1" applyAlignment="1">
      <alignment wrapText="1"/>
      <protection/>
    </xf>
    <xf numFmtId="179" fontId="3" fillId="0" borderId="10" xfId="60" applyNumberFormat="1" applyFont="1" applyBorder="1" applyAlignment="1">
      <alignment horizontal="right"/>
      <protection/>
    </xf>
    <xf numFmtId="49" fontId="2" fillId="0" borderId="12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wrapText="1"/>
      <protection/>
    </xf>
    <xf numFmtId="49" fontId="3" fillId="0" borderId="12" xfId="60" applyNumberFormat="1" applyFont="1" applyBorder="1" applyAlignment="1">
      <alignment horizontal="center"/>
      <protection/>
    </xf>
    <xf numFmtId="49" fontId="3" fillId="0" borderId="12" xfId="58" applyNumberFormat="1" applyFont="1" applyBorder="1" applyAlignment="1">
      <alignment horizontal="center"/>
      <protection/>
    </xf>
    <xf numFmtId="0" fontId="4" fillId="0" borderId="10" xfId="58" applyFont="1" applyBorder="1" applyAlignment="1">
      <alignment wrapText="1"/>
      <protection/>
    </xf>
    <xf numFmtId="179" fontId="2" fillId="0" borderId="10" xfId="57" applyNumberFormat="1" applyFont="1" applyBorder="1" applyAlignment="1">
      <alignment horizontal="right" vertical="center"/>
      <protection/>
    </xf>
    <xf numFmtId="179" fontId="3" fillId="0" borderId="10" xfId="57" applyNumberFormat="1" applyFont="1" applyBorder="1" applyAlignment="1">
      <alignment horizontal="right" vertical="center"/>
      <protection/>
    </xf>
    <xf numFmtId="180" fontId="2" fillId="0" borderId="0" xfId="60" applyNumberFormat="1" applyFont="1">
      <alignment/>
      <protection/>
    </xf>
    <xf numFmtId="0" fontId="3" fillId="0" borderId="10" xfId="60" applyFont="1" applyBorder="1" applyAlignment="1">
      <alignment horizontal="left" wrapText="1"/>
      <protection/>
    </xf>
    <xf numFmtId="0" fontId="2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Fill="1" applyBorder="1" applyAlignment="1">
      <alignment wrapText="1"/>
      <protection/>
    </xf>
    <xf numFmtId="179" fontId="3" fillId="33" borderId="10" xfId="56" applyNumberFormat="1" applyFont="1" applyFill="1" applyBorder="1" applyAlignment="1">
      <alignment horizontal="right" vertical="top" shrinkToFit="1"/>
      <protection/>
    </xf>
    <xf numFmtId="0" fontId="2" fillId="0" borderId="10" xfId="60" applyFont="1" applyFill="1" applyBorder="1" applyAlignment="1">
      <alignment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178" fontId="3" fillId="0" borderId="0" xfId="60" applyNumberFormat="1" applyFont="1" applyAlignment="1">
      <alignment horizontal="center"/>
      <protection/>
    </xf>
    <xf numFmtId="178" fontId="3" fillId="0" borderId="0" xfId="60" applyNumberFormat="1" applyFont="1" applyAlignment="1">
      <alignment horizontal="right"/>
      <protection/>
    </xf>
    <xf numFmtId="176" fontId="3" fillId="0" borderId="0" xfId="60" applyNumberFormat="1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181" fontId="5" fillId="0" borderId="0" xfId="59" applyNumberFormat="1" applyFont="1">
      <alignment/>
      <protection/>
    </xf>
    <xf numFmtId="0" fontId="5" fillId="0" borderId="0" xfId="59" applyFont="1">
      <alignment/>
      <protection/>
    </xf>
    <xf numFmtId="0" fontId="5" fillId="0" borderId="0" xfId="59" applyFont="1" applyAlignment="1">
      <alignment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 wrapText="1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10" xfId="62" applyFont="1" applyBorder="1" applyAlignment="1">
      <alignment vertical="top" wrapText="1"/>
      <protection/>
    </xf>
    <xf numFmtId="176" fontId="2" fillId="0" borderId="10" xfId="62" applyNumberFormat="1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176" fontId="2" fillId="0" borderId="10" xfId="6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" fontId="2" fillId="0" borderId="10" xfId="60" applyNumberFormat="1" applyFont="1" applyBorder="1" applyAlignment="1">
      <alignment horizontal="center" vertical="center" wrapText="1"/>
      <protection/>
    </xf>
    <xf numFmtId="1" fontId="3" fillId="0" borderId="1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178" fontId="6" fillId="0" borderId="0" xfId="0" applyNumberFormat="1" applyFont="1" applyAlignment="1">
      <alignment horizontal="center" vertical="center" wrapText="1"/>
    </xf>
    <xf numFmtId="176" fontId="3" fillId="34" borderId="10" xfId="62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7" fontId="2" fillId="0" borderId="10" xfId="62" applyNumberFormat="1" applyFont="1" applyBorder="1" applyAlignment="1">
      <alignment horizontal="right" vertical="center"/>
      <protection/>
    </xf>
    <xf numFmtId="178" fontId="2" fillId="0" borderId="0" xfId="60" applyNumberFormat="1" applyFont="1">
      <alignment/>
      <protection/>
    </xf>
    <xf numFmtId="178" fontId="9" fillId="0" borderId="0" xfId="0" applyNumberFormat="1" applyFont="1" applyAlignment="1">
      <alignment horizontal="center" vertical="center" wrapText="1"/>
    </xf>
    <xf numFmtId="179" fontId="3" fillId="0" borderId="10" xfId="60" applyNumberFormat="1" applyFont="1" applyFill="1" applyBorder="1" applyAlignment="1">
      <alignment horizontal="right" vertical="center"/>
      <protection/>
    </xf>
    <xf numFmtId="179" fontId="3" fillId="34" borderId="10" xfId="60" applyNumberFormat="1" applyFont="1" applyFill="1" applyBorder="1" applyAlignment="1">
      <alignment horizontal="right" vertical="center"/>
      <protection/>
    </xf>
    <xf numFmtId="190" fontId="5" fillId="0" borderId="0" xfId="0" applyNumberFormat="1" applyFont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right" vertical="center"/>
    </xf>
    <xf numFmtId="0" fontId="8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 vertical="center"/>
      <protection/>
    </xf>
    <xf numFmtId="179" fontId="3" fillId="0" borderId="0" xfId="60" applyNumberFormat="1" applyFont="1" applyAlignment="1">
      <alignment horizontal="right"/>
      <protection/>
    </xf>
    <xf numFmtId="176" fontId="2" fillId="0" borderId="10" xfId="70" applyNumberFormat="1" applyFont="1" applyBorder="1" applyAlignment="1">
      <alignment horizontal="right" vertical="center"/>
    </xf>
    <xf numFmtId="176" fontId="2" fillId="0" borderId="10" xfId="62" applyNumberFormat="1" applyFont="1" applyFill="1" applyBorder="1" applyAlignment="1">
      <alignment horizontal="center" vertical="center" wrapText="1"/>
      <protection/>
    </xf>
    <xf numFmtId="176" fontId="3" fillId="0" borderId="10" xfId="60" applyNumberFormat="1" applyFont="1" applyBorder="1" applyAlignment="1">
      <alignment horizontal="right"/>
      <protection/>
    </xf>
    <xf numFmtId="176" fontId="2" fillId="0" borderId="10" xfId="57" applyNumberFormat="1" applyFont="1" applyBorder="1" applyAlignment="1">
      <alignment horizontal="right" vertical="center"/>
      <protection/>
    </xf>
    <xf numFmtId="176" fontId="3" fillId="0" borderId="10" xfId="57" applyNumberFormat="1" applyFont="1" applyBorder="1" applyAlignment="1">
      <alignment horizontal="right" vertical="center"/>
      <protection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2" fillId="0" borderId="10" xfId="62" applyFont="1" applyBorder="1" applyAlignment="1">
      <alignment horizontal="center" vertical="top"/>
      <protection/>
    </xf>
    <xf numFmtId="0" fontId="2" fillId="0" borderId="10" xfId="62" applyFont="1" applyBorder="1" applyAlignment="1">
      <alignment vertical="top" wrapText="1"/>
      <protection/>
    </xf>
    <xf numFmtId="0" fontId="3" fillId="0" borderId="0" xfId="59" applyFont="1" applyAlignment="1">
      <alignment horizontal="left"/>
      <protection/>
    </xf>
    <xf numFmtId="181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178" fontId="2" fillId="0" borderId="11" xfId="62" applyNumberFormat="1" applyFont="1" applyBorder="1" applyAlignment="1">
      <alignment horizontal="right" vertical="center"/>
      <protection/>
    </xf>
    <xf numFmtId="188" fontId="5" fillId="0" borderId="0" xfId="59" applyNumberFormat="1" applyFont="1">
      <alignment/>
      <protection/>
    </xf>
    <xf numFmtId="188" fontId="3" fillId="0" borderId="0" xfId="60" applyNumberFormat="1" applyFont="1" applyAlignment="1">
      <alignment horizontal="center"/>
      <protection/>
    </xf>
    <xf numFmtId="189" fontId="3" fillId="0" borderId="0" xfId="59" applyNumberFormat="1" applyFont="1">
      <alignment/>
      <protection/>
    </xf>
    <xf numFmtId="189" fontId="5" fillId="0" borderId="0" xfId="59" applyNumberFormat="1" applyFont="1">
      <alignment/>
      <protection/>
    </xf>
    <xf numFmtId="189" fontId="3" fillId="0" borderId="0" xfId="60" applyNumberFormat="1" applyFont="1" applyAlignment="1">
      <alignment horizontal="center"/>
      <protection/>
    </xf>
    <xf numFmtId="177" fontId="2" fillId="0" borderId="10" xfId="62" applyNumberFormat="1" applyFont="1" applyFill="1" applyBorder="1" applyAlignment="1">
      <alignment horizontal="right" vertical="center"/>
      <protection/>
    </xf>
    <xf numFmtId="177" fontId="2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wrapText="1"/>
      <protection/>
    </xf>
    <xf numFmtId="179" fontId="3" fillId="0" borderId="0" xfId="60" applyNumberFormat="1" applyFont="1" applyAlignment="1">
      <alignment horizontal="center"/>
      <protection/>
    </xf>
    <xf numFmtId="176" fontId="2" fillId="0" borderId="10" xfId="43" applyNumberFormat="1" applyFont="1" applyBorder="1" applyAlignment="1">
      <alignment horizontal="right" vertical="center"/>
    </xf>
    <xf numFmtId="179" fontId="2" fillId="0" borderId="10" xfId="57" applyNumberFormat="1" applyFont="1" applyBorder="1" applyAlignment="1">
      <alignment horizontal="right"/>
      <protection/>
    </xf>
    <xf numFmtId="195" fontId="3" fillId="0" borderId="0" xfId="59" applyNumberFormat="1" applyFont="1">
      <alignment/>
      <protection/>
    </xf>
    <xf numFmtId="186" fontId="2" fillId="0" borderId="0" xfId="60" applyNumberFormat="1" applyFont="1">
      <alignment/>
      <protection/>
    </xf>
    <xf numFmtId="188" fontId="6" fillId="0" borderId="0" xfId="59" applyNumberFormat="1" applyFont="1">
      <alignment/>
      <protection/>
    </xf>
    <xf numFmtId="178" fontId="3" fillId="0" borderId="10" xfId="60" applyNumberFormat="1" applyFont="1" applyBorder="1" applyAlignment="1">
      <alignment horizontal="right" vertical="center"/>
      <protection/>
    </xf>
    <xf numFmtId="178" fontId="5" fillId="0" borderId="0" xfId="59" applyNumberFormat="1" applyFont="1">
      <alignment/>
      <protection/>
    </xf>
    <xf numFmtId="176" fontId="5" fillId="0" borderId="0" xfId="59" applyNumberFormat="1" applyFont="1">
      <alignment/>
      <protection/>
    </xf>
    <xf numFmtId="178" fontId="2" fillId="0" borderId="10" xfId="62" applyNumberFormat="1" applyFont="1" applyBorder="1" applyAlignment="1">
      <alignment horizontal="center" vertical="center" wrapText="1"/>
      <protection/>
    </xf>
    <xf numFmtId="189" fontId="2" fillId="0" borderId="10" xfId="60" applyNumberFormat="1" applyFont="1" applyBorder="1" applyAlignment="1">
      <alignment horizontal="right" vertical="center"/>
      <protection/>
    </xf>
    <xf numFmtId="189" fontId="3" fillId="0" borderId="10" xfId="60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2" fontId="2" fillId="0" borderId="11" xfId="62" applyNumberFormat="1" applyFont="1" applyBorder="1" applyAlignment="1">
      <alignment horizontal="right" vertical="center"/>
      <protection/>
    </xf>
    <xf numFmtId="2" fontId="2" fillId="0" borderId="10" xfId="62" applyNumberFormat="1" applyFont="1" applyBorder="1" applyAlignment="1">
      <alignment horizontal="center" vertical="center" wrapText="1"/>
      <protection/>
    </xf>
    <xf numFmtId="2" fontId="2" fillId="0" borderId="10" xfId="62" applyNumberFormat="1" applyFont="1" applyFill="1" applyBorder="1" applyAlignment="1">
      <alignment horizontal="center" vertical="center" wrapText="1"/>
      <protection/>
    </xf>
    <xf numFmtId="176" fontId="3" fillId="0" borderId="10" xfId="70" applyNumberFormat="1" applyFont="1" applyBorder="1" applyAlignment="1">
      <alignment horizontal="right" vertical="center"/>
    </xf>
    <xf numFmtId="179" fontId="3" fillId="34" borderId="10" xfId="60" applyNumberFormat="1" applyFont="1" applyFill="1" applyBorder="1" applyAlignment="1">
      <alignment horizontal="right"/>
      <protection/>
    </xf>
    <xf numFmtId="179" fontId="2" fillId="34" borderId="10" xfId="60" applyNumberFormat="1" applyFont="1" applyFill="1" applyBorder="1" applyAlignment="1">
      <alignment horizontal="right" vertical="center"/>
      <protection/>
    </xf>
    <xf numFmtId="181" fontId="2" fillId="0" borderId="0" xfId="60" applyNumberFormat="1" applyFont="1">
      <alignment/>
      <protection/>
    </xf>
    <xf numFmtId="190" fontId="3" fillId="0" borderId="0" xfId="60" applyNumberFormat="1" applyFont="1">
      <alignment/>
      <protection/>
    </xf>
    <xf numFmtId="0" fontId="14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vertical="center" wrapText="1"/>
    </xf>
    <xf numFmtId="0" fontId="15" fillId="34" borderId="0" xfId="0" applyFont="1" applyFill="1" applyAlignment="1" applyProtection="1">
      <alignment vertical="center" wrapText="1"/>
      <protection locked="0"/>
    </xf>
    <xf numFmtId="0" fontId="15" fillId="34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 vertical="center" wrapText="1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6" fillId="34" borderId="10" xfId="61" applyFont="1" applyFill="1" applyBorder="1" applyAlignment="1">
      <alignment vertical="center" wrapText="1"/>
      <protection/>
    </xf>
    <xf numFmtId="0" fontId="16" fillId="34" borderId="10" xfId="61" applyFont="1" applyFill="1" applyBorder="1" applyAlignment="1" applyProtection="1">
      <alignment vertical="center" wrapText="1"/>
      <protection locked="0"/>
    </xf>
    <xf numFmtId="177" fontId="15" fillId="34" borderId="10" xfId="0" applyNumberFormat="1" applyFont="1" applyFill="1" applyBorder="1" applyAlignment="1">
      <alignment/>
    </xf>
    <xf numFmtId="177" fontId="15" fillId="34" borderId="10" xfId="0" applyNumberFormat="1" applyFont="1" applyFill="1" applyBorder="1" applyAlignment="1">
      <alignment vertical="center" wrapText="1"/>
    </xf>
    <xf numFmtId="177" fontId="14" fillId="34" borderId="10" xfId="0" applyNumberFormat="1" applyFont="1" applyFill="1" applyBorder="1" applyAlignment="1">
      <alignment/>
    </xf>
    <xf numFmtId="177" fontId="15" fillId="34" borderId="10" xfId="0" applyNumberFormat="1" applyFont="1" applyFill="1" applyBorder="1" applyAlignment="1" applyProtection="1">
      <alignment vertical="center" wrapText="1"/>
      <protection locked="0"/>
    </xf>
    <xf numFmtId="177" fontId="15" fillId="0" borderId="10" xfId="0" applyNumberFormat="1" applyFont="1" applyFill="1" applyBorder="1" applyAlignment="1">
      <alignment vertical="center" wrapText="1"/>
    </xf>
    <xf numFmtId="177" fontId="15" fillId="35" borderId="10" xfId="0" applyNumberFormat="1" applyFont="1" applyFill="1" applyBorder="1" applyAlignment="1" applyProtection="1">
      <alignment vertical="center" wrapText="1"/>
      <protection locked="0"/>
    </xf>
    <xf numFmtId="177" fontId="15" fillId="34" borderId="10" xfId="0" applyNumberFormat="1" applyFont="1" applyFill="1" applyBorder="1" applyAlignment="1">
      <alignment horizontal="right" vertical="center" wrapText="1"/>
    </xf>
    <xf numFmtId="177" fontId="17" fillId="34" borderId="10" xfId="0" applyNumberFormat="1" applyFont="1" applyFill="1" applyBorder="1" applyAlignment="1" applyProtection="1">
      <alignment vertical="center" wrapText="1"/>
      <protection locked="0"/>
    </xf>
    <xf numFmtId="177" fontId="15" fillId="34" borderId="10" xfId="0" applyNumberFormat="1" applyFont="1" applyFill="1" applyBorder="1" applyAlignment="1">
      <alignment vertical="center" wrapText="1"/>
    </xf>
    <xf numFmtId="178" fontId="15" fillId="34" borderId="0" xfId="0" applyNumberFormat="1" applyFont="1" applyFill="1" applyBorder="1" applyAlignment="1">
      <alignment/>
    </xf>
    <xf numFmtId="182" fontId="15" fillId="34" borderId="0" xfId="0" applyNumberFormat="1" applyFont="1" applyFill="1" applyAlignment="1">
      <alignment/>
    </xf>
    <xf numFmtId="0" fontId="16" fillId="0" borderId="10" xfId="61" applyFont="1" applyFill="1" applyBorder="1" applyAlignment="1" applyProtection="1">
      <alignment vertical="center" wrapText="1"/>
      <protection locked="0"/>
    </xf>
    <xf numFmtId="177" fontId="15" fillId="0" borderId="10" xfId="0" applyNumberFormat="1" applyFont="1" applyFill="1" applyBorder="1" applyAlignment="1" applyProtection="1">
      <alignment vertical="center" wrapText="1"/>
      <protection locked="0"/>
    </xf>
    <xf numFmtId="177" fontId="15" fillId="0" borderId="10" xfId="0" applyNumberFormat="1" applyFont="1" applyFill="1" applyBorder="1" applyAlignment="1">
      <alignment horizontal="right" vertical="center" wrapText="1"/>
    </xf>
    <xf numFmtId="177" fontId="17" fillId="0" borderId="10" xfId="0" applyNumberFormat="1" applyFont="1" applyFill="1" applyBorder="1" applyAlignment="1" applyProtection="1">
      <alignment vertical="center" wrapText="1"/>
      <protection locked="0"/>
    </xf>
    <xf numFmtId="177" fontId="14" fillId="0" borderId="10" xfId="0" applyNumberFormat="1" applyFont="1" applyFill="1" applyBorder="1" applyAlignment="1">
      <alignment/>
    </xf>
    <xf numFmtId="0" fontId="15" fillId="36" borderId="0" xfId="0" applyFont="1" applyFill="1" applyAlignment="1">
      <alignment/>
    </xf>
    <xf numFmtId="0" fontId="15" fillId="34" borderId="0" xfId="0" applyFont="1" applyFill="1" applyAlignment="1">
      <alignment/>
    </xf>
    <xf numFmtId="0" fontId="18" fillId="34" borderId="10" xfId="61" applyFont="1" applyFill="1" applyBorder="1" applyAlignment="1">
      <alignment vertical="center" wrapText="1"/>
      <protection/>
    </xf>
    <xf numFmtId="0" fontId="16" fillId="34" borderId="12" xfId="61" applyFont="1" applyFill="1" applyBorder="1" applyAlignment="1">
      <alignment vertical="center" wrapText="1"/>
      <protection/>
    </xf>
    <xf numFmtId="0" fontId="16" fillId="34" borderId="14" xfId="61" applyFont="1" applyFill="1" applyBorder="1" applyAlignment="1" applyProtection="1">
      <alignment vertical="center" wrapText="1"/>
      <protection locked="0"/>
    </xf>
    <xf numFmtId="193" fontId="15" fillId="34" borderId="10" xfId="0" applyNumberFormat="1" applyFont="1" applyFill="1" applyBorder="1" applyAlignment="1" applyProtection="1">
      <alignment vertical="center" wrapText="1"/>
      <protection locked="0"/>
    </xf>
    <xf numFmtId="4" fontId="21" fillId="34" borderId="10" xfId="0" applyNumberFormat="1" applyFont="1" applyFill="1" applyBorder="1" applyAlignment="1">
      <alignment vertical="center" wrapText="1"/>
    </xf>
    <xf numFmtId="4" fontId="15" fillId="34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189" fontId="22" fillId="0" borderId="0" xfId="7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182" fontId="14" fillId="34" borderId="0" xfId="0" applyNumberFormat="1" applyFont="1" applyFill="1" applyAlignment="1">
      <alignment/>
    </xf>
    <xf numFmtId="186" fontId="14" fillId="34" borderId="0" xfId="0" applyNumberFormat="1" applyFont="1" applyFill="1" applyAlignment="1">
      <alignment/>
    </xf>
    <xf numFmtId="178" fontId="14" fillId="34" borderId="0" xfId="0" applyNumberFormat="1" applyFont="1" applyFill="1" applyAlignment="1">
      <alignment/>
    </xf>
    <xf numFmtId="176" fontId="14" fillId="34" borderId="0" xfId="0" applyNumberFormat="1" applyFont="1" applyFill="1" applyAlignment="1">
      <alignment/>
    </xf>
    <xf numFmtId="182" fontId="22" fillId="34" borderId="0" xfId="0" applyNumberFormat="1" applyFont="1" applyFill="1" applyAlignment="1">
      <alignment/>
    </xf>
    <xf numFmtId="177" fontId="14" fillId="34" borderId="0" xfId="0" applyNumberFormat="1" applyFont="1" applyFill="1" applyAlignment="1">
      <alignment/>
    </xf>
    <xf numFmtId="2" fontId="14" fillId="34" borderId="0" xfId="0" applyNumberFormat="1" applyFont="1" applyFill="1" applyAlignment="1">
      <alignment/>
    </xf>
    <xf numFmtId="184" fontId="14" fillId="34" borderId="0" xfId="0" applyNumberFormat="1" applyFont="1" applyFill="1" applyAlignment="1">
      <alignment/>
    </xf>
    <xf numFmtId="176" fontId="14" fillId="34" borderId="0" xfId="43" applyNumberFormat="1" applyFont="1" applyFill="1" applyAlignment="1">
      <alignment/>
    </xf>
    <xf numFmtId="182" fontId="14" fillId="0" borderId="0" xfId="0" applyNumberFormat="1" applyFont="1" applyFill="1" applyAlignment="1">
      <alignment/>
    </xf>
    <xf numFmtId="182" fontId="22" fillId="0" borderId="0" xfId="0" applyNumberFormat="1" applyFont="1" applyFill="1" applyAlignment="1">
      <alignment/>
    </xf>
    <xf numFmtId="197" fontId="14" fillId="34" borderId="0" xfId="0" applyNumberFormat="1" applyFont="1" applyFill="1" applyAlignment="1">
      <alignment/>
    </xf>
    <xf numFmtId="193" fontId="14" fillId="34" borderId="0" xfId="0" applyNumberFormat="1" applyFont="1" applyFill="1" applyAlignment="1">
      <alignment/>
    </xf>
    <xf numFmtId="182" fontId="15" fillId="34" borderId="10" xfId="0" applyNumberFormat="1" applyFont="1" applyFill="1" applyBorder="1" applyAlignment="1">
      <alignment vertical="center" wrapText="1"/>
    </xf>
    <xf numFmtId="185" fontId="14" fillId="0" borderId="0" xfId="0" applyNumberFormat="1" applyFont="1" applyFill="1" applyAlignment="1">
      <alignment/>
    </xf>
    <xf numFmtId="189" fontId="2" fillId="0" borderId="10" xfId="57" applyNumberFormat="1" applyFont="1" applyBorder="1" applyAlignment="1">
      <alignment horizontal="right" vertical="center"/>
      <protection/>
    </xf>
    <xf numFmtId="0" fontId="16" fillId="35" borderId="10" xfId="61" applyFont="1" applyFill="1" applyBorder="1" applyAlignment="1">
      <alignment vertical="center" wrapText="1"/>
      <protection/>
    </xf>
    <xf numFmtId="0" fontId="16" fillId="35" borderId="10" xfId="61" applyFont="1" applyFill="1" applyBorder="1" applyAlignment="1" applyProtection="1">
      <alignment vertical="center" wrapText="1"/>
      <protection locked="0"/>
    </xf>
    <xf numFmtId="177" fontId="15" fillId="35" borderId="10" xfId="0" applyNumberFormat="1" applyFont="1" applyFill="1" applyBorder="1" applyAlignment="1">
      <alignment vertical="center" wrapText="1"/>
    </xf>
    <xf numFmtId="177" fontId="14" fillId="35" borderId="10" xfId="0" applyNumberFormat="1" applyFont="1" applyFill="1" applyBorder="1" applyAlignment="1">
      <alignment/>
    </xf>
    <xf numFmtId="177" fontId="15" fillId="35" borderId="10" xfId="0" applyNumberFormat="1" applyFont="1" applyFill="1" applyBorder="1" applyAlignment="1">
      <alignment horizontal="right" vertical="center" wrapText="1"/>
    </xf>
    <xf numFmtId="182" fontId="15" fillId="35" borderId="10" xfId="0" applyNumberFormat="1" applyFont="1" applyFill="1" applyBorder="1" applyAlignment="1">
      <alignment vertical="center" wrapText="1"/>
    </xf>
    <xf numFmtId="177" fontId="17" fillId="35" borderId="10" xfId="0" applyNumberFormat="1" applyFont="1" applyFill="1" applyBorder="1" applyAlignment="1" applyProtection="1">
      <alignment vertical="center" wrapText="1"/>
      <protection locked="0"/>
    </xf>
    <xf numFmtId="177" fontId="15" fillId="35" borderId="10" xfId="0" applyNumberFormat="1" applyFont="1" applyFill="1" applyBorder="1" applyAlignment="1">
      <alignment vertical="center" wrapText="1"/>
    </xf>
    <xf numFmtId="178" fontId="15" fillId="35" borderId="0" xfId="0" applyNumberFormat="1" applyFont="1" applyFill="1" applyBorder="1" applyAlignment="1">
      <alignment/>
    </xf>
    <xf numFmtId="182" fontId="15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185" fontId="14" fillId="34" borderId="0" xfId="0" applyNumberFormat="1" applyFont="1" applyFill="1" applyAlignment="1">
      <alignment/>
    </xf>
    <xf numFmtId="177" fontId="21" fillId="34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vertical="center" wrapText="1"/>
    </xf>
    <xf numFmtId="177" fontId="17" fillId="34" borderId="10" xfId="0" applyNumberFormat="1" applyFont="1" applyFill="1" applyBorder="1" applyAlignment="1">
      <alignment vertical="center" wrapText="1"/>
    </xf>
    <xf numFmtId="177" fontId="21" fillId="34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/>
    </xf>
    <xf numFmtId="191" fontId="3" fillId="0" borderId="10" xfId="57" applyNumberFormat="1" applyFont="1" applyBorder="1" applyAlignment="1">
      <alignment horizontal="right" vertical="center"/>
      <protection/>
    </xf>
    <xf numFmtId="191" fontId="3" fillId="0" borderId="10" xfId="60" applyNumberFormat="1" applyFont="1" applyBorder="1" applyAlignment="1">
      <alignment horizontal="right" vertical="center"/>
      <protection/>
    </xf>
    <xf numFmtId="191" fontId="2" fillId="0" borderId="10" xfId="57" applyNumberFormat="1" applyFont="1" applyBorder="1" applyAlignment="1">
      <alignment horizontal="right" vertical="center"/>
      <protection/>
    </xf>
    <xf numFmtId="1" fontId="2" fillId="0" borderId="11" xfId="62" applyNumberFormat="1" applyFont="1" applyBorder="1" applyAlignment="1">
      <alignment horizontal="right" vertical="center"/>
      <protection/>
    </xf>
    <xf numFmtId="1" fontId="2" fillId="0" borderId="10" xfId="62" applyNumberFormat="1" applyFont="1" applyBorder="1" applyAlignment="1">
      <alignment horizontal="center" vertical="center" wrapText="1"/>
      <protection/>
    </xf>
    <xf numFmtId="1" fontId="2" fillId="0" borderId="10" xfId="62" applyNumberFormat="1" applyFont="1" applyFill="1" applyBorder="1" applyAlignment="1">
      <alignment horizontal="center" vertical="center" wrapText="1"/>
      <protection/>
    </xf>
    <xf numFmtId="176" fontId="3" fillId="0" borderId="0" xfId="60" applyNumberFormat="1" applyFont="1" applyAlignment="1">
      <alignment horizontal="right"/>
      <protection/>
    </xf>
    <xf numFmtId="175" fontId="2" fillId="0" borderId="10" xfId="60" applyNumberFormat="1" applyFont="1" applyBorder="1" applyAlignment="1">
      <alignment horizontal="right" vertical="center"/>
      <protection/>
    </xf>
    <xf numFmtId="175" fontId="2" fillId="0" borderId="11" xfId="62" applyNumberFormat="1" applyFont="1" applyBorder="1" applyAlignment="1">
      <alignment horizontal="right" vertical="center"/>
      <protection/>
    </xf>
    <xf numFmtId="175" fontId="2" fillId="0" borderId="10" xfId="62" applyNumberFormat="1" applyFont="1" applyBorder="1" applyAlignment="1">
      <alignment horizontal="center" vertical="center" wrapText="1"/>
      <protection/>
    </xf>
    <xf numFmtId="179" fontId="5" fillId="0" borderId="0" xfId="59" applyNumberFormat="1" applyFont="1">
      <alignment/>
      <protection/>
    </xf>
    <xf numFmtId="177" fontId="2" fillId="0" borderId="11" xfId="62" applyNumberFormat="1" applyFont="1" applyBorder="1" applyAlignment="1">
      <alignment horizontal="right" vertical="center"/>
      <protection/>
    </xf>
    <xf numFmtId="176" fontId="3" fillId="33" borderId="10" xfId="54" applyNumberFormat="1" applyFont="1" applyFill="1" applyBorder="1" applyAlignment="1">
      <alignment horizontal="right" vertical="center" shrinkToFit="1"/>
      <protection/>
    </xf>
    <xf numFmtId="176" fontId="3" fillId="33" borderId="10" xfId="55" applyNumberFormat="1" applyFont="1" applyFill="1" applyBorder="1" applyAlignment="1">
      <alignment horizontal="right" vertical="center" shrinkToFit="1"/>
      <protection/>
    </xf>
    <xf numFmtId="176" fontId="2" fillId="33" borderId="10" xfId="55" applyNumberFormat="1" applyFont="1" applyFill="1" applyBorder="1" applyAlignment="1">
      <alignment horizontal="right" vertical="center" shrinkToFit="1"/>
      <protection/>
    </xf>
    <xf numFmtId="177" fontId="21" fillId="0" borderId="10" xfId="0" applyNumberFormat="1" applyFont="1" applyFill="1" applyBorder="1" applyAlignment="1">
      <alignment vertical="center" wrapText="1"/>
    </xf>
    <xf numFmtId="185" fontId="2" fillId="0" borderId="10" xfId="62" applyNumberFormat="1" applyFont="1" applyBorder="1" applyAlignment="1">
      <alignment horizontal="center" vertical="center" wrapText="1"/>
      <protection/>
    </xf>
    <xf numFmtId="185" fontId="5" fillId="0" borderId="0" xfId="59" applyNumberFormat="1" applyFont="1">
      <alignment/>
      <protection/>
    </xf>
    <xf numFmtId="185" fontId="3" fillId="0" borderId="0" xfId="60" applyNumberFormat="1" applyFont="1" applyAlignment="1">
      <alignment horizontal="center"/>
      <protection/>
    </xf>
    <xf numFmtId="190" fontId="2" fillId="0" borderId="10" xfId="62" applyNumberFormat="1" applyFont="1" applyFill="1" applyBorder="1" applyAlignment="1">
      <alignment horizontal="center" vertical="center" wrapText="1"/>
      <protection/>
    </xf>
    <xf numFmtId="190" fontId="5" fillId="0" borderId="0" xfId="59" applyNumberFormat="1" applyFont="1">
      <alignment/>
      <protection/>
    </xf>
    <xf numFmtId="190" fontId="3" fillId="0" borderId="0" xfId="60" applyNumberFormat="1" applyFont="1" applyAlignment="1">
      <alignment horizontal="center"/>
      <protection/>
    </xf>
    <xf numFmtId="176" fontId="7" fillId="0" borderId="10" xfId="62" applyNumberFormat="1" applyFont="1" applyBorder="1" applyAlignment="1">
      <alignment horizontal="center"/>
      <protection/>
    </xf>
    <xf numFmtId="176" fontId="3" fillId="0" borderId="0" xfId="60" applyNumberFormat="1" applyFont="1" applyFill="1">
      <alignment/>
      <protection/>
    </xf>
    <xf numFmtId="0" fontId="9" fillId="0" borderId="10" xfId="62" applyFont="1" applyBorder="1">
      <alignment/>
      <protection/>
    </xf>
    <xf numFmtId="0" fontId="10" fillId="0" borderId="10" xfId="62" applyFont="1" applyBorder="1" applyAlignment="1">
      <alignment wrapText="1"/>
      <protection/>
    </xf>
    <xf numFmtId="0" fontId="9" fillId="0" borderId="10" xfId="62" applyFont="1" applyBorder="1" applyAlignment="1">
      <alignment wrapText="1"/>
      <protection/>
    </xf>
    <xf numFmtId="0" fontId="10" fillId="0" borderId="10" xfId="62" applyFont="1" applyBorder="1">
      <alignment/>
      <protection/>
    </xf>
    <xf numFmtId="0" fontId="10" fillId="0" borderId="10" xfId="62" applyFont="1" applyFill="1" applyBorder="1">
      <alignment/>
      <protection/>
    </xf>
    <xf numFmtId="176" fontId="9" fillId="0" borderId="10" xfId="62" applyNumberFormat="1" applyFont="1" applyBorder="1" applyAlignment="1">
      <alignment wrapText="1"/>
      <protection/>
    </xf>
    <xf numFmtId="0" fontId="9" fillId="0" borderId="10" xfId="62" applyFont="1" applyBorder="1" applyAlignment="1">
      <alignment vertical="top" wrapText="1"/>
      <protection/>
    </xf>
    <xf numFmtId="0" fontId="10" fillId="0" borderId="10" xfId="62" applyFont="1" applyFill="1" applyBorder="1" applyAlignment="1">
      <alignment wrapText="1"/>
      <protection/>
    </xf>
    <xf numFmtId="0" fontId="10" fillId="0" borderId="10" xfId="62" applyFont="1" applyBorder="1" applyAlignment="1">
      <alignment horizontal="left" wrapText="1"/>
      <protection/>
    </xf>
    <xf numFmtId="0" fontId="9" fillId="0" borderId="10" xfId="62" applyFont="1" applyFill="1" applyBorder="1">
      <alignment/>
      <protection/>
    </xf>
    <xf numFmtId="0" fontId="9" fillId="34" borderId="10" xfId="60" applyFont="1" applyFill="1" applyBorder="1" applyAlignment="1">
      <alignment wrapText="1"/>
      <protection/>
    </xf>
    <xf numFmtId="0" fontId="10" fillId="34" borderId="10" xfId="60" applyFont="1" applyFill="1" applyBorder="1" applyAlignment="1">
      <alignment wrapText="1"/>
      <protection/>
    </xf>
    <xf numFmtId="0" fontId="10" fillId="0" borderId="10" xfId="60" applyFont="1" applyBorder="1" applyAlignment="1">
      <alignment wrapText="1"/>
      <protection/>
    </xf>
    <xf numFmtId="0" fontId="9" fillId="34" borderId="10" xfId="59" applyFont="1" applyFill="1" applyBorder="1" applyAlignment="1">
      <alignment wrapText="1"/>
      <protection/>
    </xf>
    <xf numFmtId="0" fontId="10" fillId="0" borderId="10" xfId="59" applyFont="1" applyBorder="1" applyAlignment="1">
      <alignment wrapText="1"/>
      <protection/>
    </xf>
    <xf numFmtId="0" fontId="25" fillId="0" borderId="10" xfId="58" applyFont="1" applyBorder="1" applyAlignment="1">
      <alignment wrapText="1"/>
      <protection/>
    </xf>
    <xf numFmtId="0" fontId="10" fillId="0" borderId="10" xfId="60" applyFont="1" applyBorder="1" applyAlignment="1">
      <alignment horizontal="left" wrapText="1"/>
      <protection/>
    </xf>
    <xf numFmtId="0" fontId="9" fillId="34" borderId="10" xfId="60" applyFont="1" applyFill="1" applyBorder="1" applyAlignment="1">
      <alignment horizontal="left" wrapText="1"/>
      <protection/>
    </xf>
    <xf numFmtId="0" fontId="10" fillId="0" borderId="10" xfId="60" applyFont="1" applyFill="1" applyBorder="1" applyAlignment="1">
      <alignment wrapText="1"/>
      <protection/>
    </xf>
    <xf numFmtId="0" fontId="9" fillId="0" borderId="10" xfId="60" applyFont="1" applyFill="1" applyBorder="1" applyAlignment="1">
      <alignment wrapText="1"/>
      <protection/>
    </xf>
    <xf numFmtId="0" fontId="9" fillId="0" borderId="10" xfId="60" applyFont="1" applyFill="1" applyBorder="1" applyAlignment="1">
      <alignment horizontal="center" wrapText="1"/>
      <protection/>
    </xf>
    <xf numFmtId="176" fontId="3" fillId="33" borderId="10" xfId="56" applyNumberFormat="1" applyFont="1" applyFill="1" applyBorder="1" applyAlignment="1">
      <alignment horizontal="right" vertical="top" shrinkToFit="1"/>
      <protection/>
    </xf>
    <xf numFmtId="182" fontId="15" fillId="0" borderId="10" xfId="0" applyNumberFormat="1" applyFont="1" applyFill="1" applyBorder="1" applyAlignment="1">
      <alignment vertical="center" wrapText="1"/>
    </xf>
    <xf numFmtId="176" fontId="2" fillId="0" borderId="0" xfId="60" applyNumberFormat="1" applyFont="1" applyAlignment="1">
      <alignment horizontal="right"/>
      <protection/>
    </xf>
    <xf numFmtId="176" fontId="2" fillId="0" borderId="0" xfId="60" applyNumberFormat="1" applyFont="1" applyAlignment="1">
      <alignment horizontal="righ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34" borderId="10" xfId="70" applyNumberFormat="1" applyFont="1" applyFill="1" applyBorder="1" applyAlignment="1">
      <alignment horizontal="right" vertical="center"/>
    </xf>
    <xf numFmtId="176" fontId="3" fillId="0" borderId="0" xfId="60" applyNumberFormat="1" applyFont="1">
      <alignment/>
      <protection/>
    </xf>
    <xf numFmtId="176" fontId="3" fillId="0" borderId="10" xfId="0" applyNumberFormat="1" applyFont="1" applyFill="1" applyBorder="1" applyAlignment="1">
      <alignment horizontal="right" vertical="center"/>
    </xf>
    <xf numFmtId="179" fontId="2" fillId="0" borderId="10" xfId="62" applyNumberFormat="1" applyFont="1" applyBorder="1" applyAlignment="1">
      <alignment horizontal="right" vertical="center"/>
      <protection/>
    </xf>
    <xf numFmtId="177" fontId="2" fillId="0" borderId="10" xfId="60" applyNumberFormat="1" applyFont="1" applyBorder="1" applyAlignment="1">
      <alignment horizontal="right" vertical="center"/>
      <protection/>
    </xf>
    <xf numFmtId="177" fontId="3" fillId="0" borderId="10" xfId="60" applyNumberFormat="1" applyFont="1" applyBorder="1" applyAlignment="1">
      <alignment horizontal="right" vertical="center"/>
      <protection/>
    </xf>
    <xf numFmtId="177" fontId="3" fillId="0" borderId="10" xfId="60" applyNumberFormat="1" applyFont="1" applyFill="1" applyBorder="1" applyAlignment="1">
      <alignment horizontal="right" vertical="center"/>
      <protection/>
    </xf>
    <xf numFmtId="179" fontId="3" fillId="0" borderId="10" xfId="70" applyNumberFormat="1" applyFont="1" applyBorder="1" applyAlignment="1">
      <alignment horizontal="right" vertical="center"/>
    </xf>
    <xf numFmtId="179" fontId="3" fillId="0" borderId="10" xfId="70" applyNumberFormat="1" applyFont="1" applyBorder="1" applyAlignment="1">
      <alignment horizontal="right"/>
    </xf>
    <xf numFmtId="179" fontId="3" fillId="0" borderId="10" xfId="70" applyNumberFormat="1" applyFont="1" applyFill="1" applyBorder="1" applyAlignment="1">
      <alignment horizontal="right" vertical="center"/>
    </xf>
    <xf numFmtId="179" fontId="3" fillId="33" borderId="10" xfId="70" applyNumberFormat="1" applyFont="1" applyFill="1" applyBorder="1" applyAlignment="1">
      <alignment horizontal="right" vertical="top" shrinkToFit="1"/>
    </xf>
    <xf numFmtId="177" fontId="15" fillId="0" borderId="10" xfId="0" applyNumberFormat="1" applyFont="1" applyFill="1" applyBorder="1" applyAlignment="1">
      <alignment/>
    </xf>
    <xf numFmtId="177" fontId="15" fillId="35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  <xf numFmtId="177" fontId="21" fillId="34" borderId="10" xfId="0" applyNumberFormat="1" applyFont="1" applyFill="1" applyBorder="1" applyAlignment="1">
      <alignment horizontal="right" vertical="center" wrapText="1"/>
    </xf>
    <xf numFmtId="177" fontId="15" fillId="34" borderId="10" xfId="0" applyNumberFormat="1" applyFont="1" applyFill="1" applyBorder="1" applyAlignment="1" applyProtection="1">
      <alignment vertical="center" wrapText="1"/>
      <protection/>
    </xf>
    <xf numFmtId="177" fontId="15" fillId="0" borderId="10" xfId="0" applyNumberFormat="1" applyFont="1" applyFill="1" applyBorder="1" applyAlignment="1" applyProtection="1">
      <alignment vertical="center" wrapText="1"/>
      <protection/>
    </xf>
    <xf numFmtId="177" fontId="15" fillId="35" borderId="10" xfId="0" applyNumberFormat="1" applyFont="1" applyFill="1" applyBorder="1" applyAlignment="1" applyProtection="1">
      <alignment vertical="center" wrapText="1"/>
      <protection/>
    </xf>
    <xf numFmtId="178" fontId="2" fillId="0" borderId="10" xfId="62" applyNumberFormat="1" applyFont="1" applyBorder="1" applyAlignment="1">
      <alignment horizontal="right" vertical="center"/>
      <protection/>
    </xf>
    <xf numFmtId="189" fontId="2" fillId="0" borderId="10" xfId="70" applyNumberFormat="1" applyFont="1" applyBorder="1" applyAlignment="1">
      <alignment horizontal="right" vertical="center"/>
    </xf>
    <xf numFmtId="182" fontId="2" fillId="0" borderId="0" xfId="60" applyNumberFormat="1" applyFont="1">
      <alignment/>
      <protection/>
    </xf>
    <xf numFmtId="176" fontId="26" fillId="0" borderId="10" xfId="62" applyNumberFormat="1" applyFont="1" applyBorder="1" applyAlignment="1">
      <alignment horizontal="right" vertical="center"/>
      <protection/>
    </xf>
    <xf numFmtId="176" fontId="27" fillId="0" borderId="10" xfId="62" applyNumberFormat="1" applyFont="1" applyBorder="1" applyAlignment="1">
      <alignment horizontal="right" vertical="center"/>
      <protection/>
    </xf>
    <xf numFmtId="176" fontId="27" fillId="0" borderId="10" xfId="62" applyNumberFormat="1" applyFont="1" applyFill="1" applyBorder="1" applyAlignment="1">
      <alignment horizontal="right" vertical="center"/>
      <protection/>
    </xf>
    <xf numFmtId="176" fontId="26" fillId="0" borderId="10" xfId="0" applyNumberFormat="1" applyFont="1" applyBorder="1" applyAlignment="1">
      <alignment horizontal="right" vertical="center"/>
    </xf>
    <xf numFmtId="176" fontId="27" fillId="34" borderId="10" xfId="70" applyNumberFormat="1" applyFont="1" applyFill="1" applyBorder="1" applyAlignment="1">
      <alignment horizontal="right" vertical="center"/>
    </xf>
    <xf numFmtId="176" fontId="27" fillId="34" borderId="10" xfId="62" applyNumberFormat="1" applyFont="1" applyFill="1" applyBorder="1" applyAlignment="1">
      <alignment horizontal="right" vertical="center"/>
      <protection/>
    </xf>
    <xf numFmtId="176" fontId="27" fillId="33" borderId="10" xfId="53" applyNumberFormat="1" applyFont="1" applyFill="1" applyBorder="1" applyAlignment="1">
      <alignment horizontal="right" vertical="center" shrinkToFit="1"/>
      <protection/>
    </xf>
    <xf numFmtId="176" fontId="27" fillId="33" borderId="10" xfId="54" applyNumberFormat="1" applyFont="1" applyFill="1" applyBorder="1" applyAlignment="1">
      <alignment horizontal="right" vertical="center" shrinkToFit="1"/>
      <protection/>
    </xf>
    <xf numFmtId="176" fontId="27" fillId="33" borderId="10" xfId="55" applyNumberFormat="1" applyFont="1" applyFill="1" applyBorder="1" applyAlignment="1">
      <alignment horizontal="right" vertical="center" shrinkToFit="1"/>
      <protection/>
    </xf>
    <xf numFmtId="176" fontId="26" fillId="0" borderId="10" xfId="62" applyNumberFormat="1" applyFont="1" applyFill="1" applyBorder="1" applyAlignment="1">
      <alignment horizontal="right" vertical="center"/>
      <protection/>
    </xf>
    <xf numFmtId="176" fontId="26" fillId="0" borderId="10" xfId="60" applyNumberFormat="1" applyFont="1" applyBorder="1" applyAlignment="1">
      <alignment horizontal="right" vertical="center"/>
      <protection/>
    </xf>
    <xf numFmtId="176" fontId="26" fillId="0" borderId="11" xfId="62" applyNumberFormat="1" applyFont="1" applyBorder="1" applyAlignment="1">
      <alignment horizontal="right" vertical="center"/>
      <protection/>
    </xf>
    <xf numFmtId="176" fontId="27" fillId="0" borderId="0" xfId="60" applyNumberFormat="1" applyFont="1" applyAlignment="1">
      <alignment horizontal="right" vertical="center"/>
      <protection/>
    </xf>
    <xf numFmtId="176" fontId="26" fillId="0" borderId="10" xfId="62" applyNumberFormat="1" applyFont="1" applyBorder="1" applyAlignment="1">
      <alignment horizontal="center" vertical="center" wrapText="1"/>
      <protection/>
    </xf>
    <xf numFmtId="176" fontId="26" fillId="0" borderId="10" xfId="62" applyNumberFormat="1" applyFont="1" applyFill="1" applyBorder="1" applyAlignment="1">
      <alignment horizontal="center" vertical="center" wrapText="1"/>
      <protection/>
    </xf>
    <xf numFmtId="176" fontId="26" fillId="0" borderId="10" xfId="62" applyNumberFormat="1" applyFont="1" applyBorder="1" applyAlignment="1">
      <alignment horizontal="center" vertical="center"/>
      <protection/>
    </xf>
    <xf numFmtId="1" fontId="26" fillId="0" borderId="10" xfId="60" applyNumberFormat="1" applyFont="1" applyBorder="1" applyAlignment="1">
      <alignment horizontal="center" vertical="center" wrapText="1"/>
      <protection/>
    </xf>
    <xf numFmtId="176" fontId="26" fillId="0" borderId="10" xfId="57" applyNumberFormat="1" applyFont="1" applyBorder="1" applyAlignment="1">
      <alignment horizontal="right"/>
      <protection/>
    </xf>
    <xf numFmtId="176" fontId="27" fillId="0" borderId="10" xfId="60" applyNumberFormat="1" applyFont="1" applyBorder="1" applyAlignment="1">
      <alignment horizontal="right" vertical="center"/>
      <protection/>
    </xf>
    <xf numFmtId="176" fontId="27" fillId="0" borderId="10" xfId="57" applyNumberFormat="1" applyFont="1" applyBorder="1" applyAlignment="1">
      <alignment horizontal="right"/>
      <protection/>
    </xf>
    <xf numFmtId="176" fontId="27" fillId="0" borderId="10" xfId="60" applyNumberFormat="1" applyFont="1" applyBorder="1" applyAlignment="1">
      <alignment horizontal="right"/>
      <protection/>
    </xf>
    <xf numFmtId="176" fontId="26" fillId="0" borderId="10" xfId="57" applyNumberFormat="1" applyFont="1" applyBorder="1" applyAlignment="1">
      <alignment horizontal="right" vertical="center"/>
      <protection/>
    </xf>
    <xf numFmtId="176" fontId="26" fillId="35" borderId="10" xfId="60" applyNumberFormat="1" applyFont="1" applyFill="1" applyBorder="1" applyAlignment="1">
      <alignment horizontal="right" vertical="center"/>
      <protection/>
    </xf>
    <xf numFmtId="176" fontId="27" fillId="33" borderId="10" xfId="56" applyNumberFormat="1" applyFont="1" applyFill="1" applyBorder="1" applyAlignment="1">
      <alignment horizontal="right" vertical="top" shrinkToFit="1"/>
      <protection/>
    </xf>
    <xf numFmtId="176" fontId="26" fillId="0" borderId="10" xfId="70" applyNumberFormat="1" applyFont="1" applyBorder="1" applyAlignment="1">
      <alignment horizontal="right" vertical="center"/>
    </xf>
    <xf numFmtId="176" fontId="26" fillId="0" borderId="10" xfId="60" applyNumberFormat="1" applyFont="1" applyBorder="1" applyAlignment="1">
      <alignment horizontal="right"/>
      <protection/>
    </xf>
    <xf numFmtId="176" fontId="28" fillId="0" borderId="10" xfId="57" applyNumberFormat="1" applyFont="1" applyBorder="1" applyAlignment="1">
      <alignment horizontal="right" vertical="center"/>
      <protection/>
    </xf>
    <xf numFmtId="176" fontId="23" fillId="0" borderId="10" xfId="0" applyNumberFormat="1" applyFont="1" applyBorder="1" applyAlignment="1">
      <alignment horizontal="center" vertical="center" wrapText="1"/>
    </xf>
    <xf numFmtId="176" fontId="24" fillId="34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3" fillId="34" borderId="10" xfId="0" applyNumberFormat="1" applyFont="1" applyFill="1" applyBorder="1" applyAlignment="1">
      <alignment horizontal="center" vertical="center" wrapText="1"/>
    </xf>
    <xf numFmtId="186" fontId="24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176" fontId="23" fillId="37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35" borderId="10" xfId="0" applyNumberFormat="1" applyFont="1" applyFill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76" fontId="24" fillId="37" borderId="10" xfId="0" applyNumberFormat="1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 wrapText="1"/>
    </xf>
    <xf numFmtId="177" fontId="24" fillId="34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82" fontId="24" fillId="34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Border="1" applyAlignment="1">
      <alignment horizontal="center" vertical="center" wrapText="1"/>
    </xf>
    <xf numFmtId="2" fontId="2" fillId="0" borderId="10" xfId="62" applyNumberFormat="1" applyFont="1" applyBorder="1" applyAlignment="1">
      <alignment horizontal="right" vertical="center"/>
      <protection/>
    </xf>
    <xf numFmtId="192" fontId="2" fillId="0" borderId="10" xfId="62" applyNumberFormat="1" applyFont="1" applyBorder="1" applyAlignment="1">
      <alignment horizontal="right" vertical="center"/>
      <protection/>
    </xf>
    <xf numFmtId="182" fontId="2" fillId="0" borderId="10" xfId="62" applyNumberFormat="1" applyFont="1" applyBorder="1" applyAlignment="1">
      <alignment horizontal="right" vertical="center"/>
      <protection/>
    </xf>
    <xf numFmtId="182" fontId="2" fillId="34" borderId="10" xfId="70" applyNumberFormat="1" applyFont="1" applyFill="1" applyBorder="1" applyAlignment="1">
      <alignment horizontal="right" vertical="center"/>
    </xf>
    <xf numFmtId="178" fontId="3" fillId="0" borderId="10" xfId="62" applyNumberFormat="1" applyFont="1" applyFill="1" applyBorder="1" applyAlignment="1">
      <alignment horizontal="right" vertical="center"/>
      <protection/>
    </xf>
    <xf numFmtId="178" fontId="2" fillId="0" borderId="10" xfId="62" applyNumberFormat="1" applyFont="1" applyFill="1" applyBorder="1" applyAlignment="1">
      <alignment horizontal="right" vertical="center"/>
      <protection/>
    </xf>
    <xf numFmtId="178" fontId="3" fillId="0" borderId="10" xfId="62" applyNumberFormat="1" applyFont="1" applyBorder="1" applyAlignment="1">
      <alignment horizontal="right" vertical="center"/>
      <protection/>
    </xf>
    <xf numFmtId="49" fontId="15" fillId="34" borderId="18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186" fontId="2" fillId="0" borderId="10" xfId="62" applyNumberFormat="1" applyFont="1" applyBorder="1" applyAlignment="1">
      <alignment horizontal="right" vertical="center"/>
      <protection/>
    </xf>
    <xf numFmtId="175" fontId="2" fillId="0" borderId="10" xfId="70" applyNumberFormat="1" applyFont="1" applyBorder="1" applyAlignment="1">
      <alignment horizontal="right" vertical="center"/>
    </xf>
    <xf numFmtId="188" fontId="2" fillId="0" borderId="10" xfId="70" applyNumberFormat="1" applyFont="1" applyBorder="1" applyAlignment="1">
      <alignment horizontal="right" vertical="center"/>
    </xf>
    <xf numFmtId="2" fontId="2" fillId="34" borderId="10" xfId="70" applyNumberFormat="1" applyFont="1" applyFill="1" applyBorder="1" applyAlignment="1">
      <alignment horizontal="right" vertical="center"/>
    </xf>
    <xf numFmtId="178" fontId="2" fillId="34" borderId="10" xfId="70" applyNumberFormat="1" applyFont="1" applyFill="1" applyBorder="1" applyAlignment="1">
      <alignment horizontal="right" vertical="center"/>
    </xf>
    <xf numFmtId="175" fontId="3" fillId="0" borderId="10" xfId="60" applyNumberFormat="1" applyFont="1" applyBorder="1" applyAlignment="1">
      <alignment horizontal="right" vertical="center"/>
      <protection/>
    </xf>
    <xf numFmtId="175" fontId="3" fillId="0" borderId="10" xfId="60" applyNumberFormat="1" applyFont="1" applyBorder="1" applyAlignment="1">
      <alignment horizontal="right"/>
      <protection/>
    </xf>
    <xf numFmtId="175" fontId="3" fillId="0" borderId="10" xfId="60" applyNumberFormat="1" applyFont="1" applyFill="1" applyBorder="1" applyAlignment="1">
      <alignment horizontal="right" vertical="center"/>
      <protection/>
    </xf>
    <xf numFmtId="175" fontId="2" fillId="0" borderId="10" xfId="57" applyNumberFormat="1" applyFont="1" applyBorder="1" applyAlignment="1">
      <alignment horizontal="right" vertical="center"/>
      <protection/>
    </xf>
    <xf numFmtId="175" fontId="3" fillId="0" borderId="10" xfId="57" applyNumberFormat="1" applyFont="1" applyBorder="1" applyAlignment="1">
      <alignment horizontal="right" vertical="center"/>
      <protection/>
    </xf>
    <xf numFmtId="185" fontId="2" fillId="0" borderId="10" xfId="62" applyNumberFormat="1" applyFont="1" applyBorder="1" applyAlignment="1">
      <alignment horizontal="right" vertical="center"/>
      <protection/>
    </xf>
    <xf numFmtId="185" fontId="3" fillId="0" borderId="10" xfId="62" applyNumberFormat="1" applyFont="1" applyFill="1" applyBorder="1" applyAlignment="1">
      <alignment horizontal="right" vertical="center"/>
      <protection/>
    </xf>
    <xf numFmtId="185" fontId="2" fillId="0" borderId="10" xfId="62" applyNumberFormat="1" applyFont="1" applyFill="1" applyBorder="1" applyAlignment="1">
      <alignment horizontal="right" vertical="center"/>
      <protection/>
    </xf>
    <xf numFmtId="185" fontId="3" fillId="0" borderId="10" xfId="62" applyNumberFormat="1" applyFont="1" applyBorder="1" applyAlignment="1">
      <alignment horizontal="right" vertical="center"/>
      <protection/>
    </xf>
    <xf numFmtId="185" fontId="2" fillId="0" borderId="10" xfId="43" applyNumberFormat="1" applyFont="1" applyBorder="1" applyAlignment="1">
      <alignment horizontal="right" vertical="center"/>
    </xf>
    <xf numFmtId="2" fontId="2" fillId="0" borderId="10" xfId="7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185" fontId="3" fillId="35" borderId="10" xfId="62" applyNumberFormat="1" applyFont="1" applyFill="1" applyBorder="1" applyAlignment="1">
      <alignment horizontal="right" vertical="center"/>
      <protection/>
    </xf>
    <xf numFmtId="182" fontId="21" fillId="0" borderId="10" xfId="0" applyNumberFormat="1" applyFont="1" applyFill="1" applyBorder="1" applyAlignment="1">
      <alignment vertical="center" wrapText="1"/>
    </xf>
    <xf numFmtId="182" fontId="15" fillId="34" borderId="10" xfId="0" applyNumberFormat="1" applyFont="1" applyFill="1" applyBorder="1" applyAlignment="1" applyProtection="1">
      <alignment vertical="center" wrapText="1"/>
      <protection locked="0"/>
    </xf>
    <xf numFmtId="182" fontId="15" fillId="0" borderId="10" xfId="0" applyNumberFormat="1" applyFont="1" applyFill="1" applyBorder="1" applyAlignment="1" applyProtection="1">
      <alignment vertical="center" wrapText="1"/>
      <protection locked="0"/>
    </xf>
    <xf numFmtId="182" fontId="15" fillId="35" borderId="10" xfId="0" applyNumberFormat="1" applyFont="1" applyFill="1" applyBorder="1" applyAlignment="1" applyProtection="1">
      <alignment vertical="center" wrapText="1"/>
      <protection locked="0"/>
    </xf>
    <xf numFmtId="178" fontId="26" fillId="0" borderId="10" xfId="62" applyNumberFormat="1" applyFont="1" applyBorder="1" applyAlignment="1">
      <alignment horizontal="right" vertical="center"/>
      <protection/>
    </xf>
    <xf numFmtId="192" fontId="27" fillId="0" borderId="10" xfId="62" applyNumberFormat="1" applyFont="1" applyFill="1" applyBorder="1" applyAlignment="1">
      <alignment horizontal="right" vertical="center"/>
      <protection/>
    </xf>
    <xf numFmtId="2" fontId="26" fillId="34" borderId="10" xfId="43" applyNumberFormat="1" applyFont="1" applyFill="1" applyBorder="1" applyAlignment="1">
      <alignment horizontal="right" vertical="center"/>
    </xf>
    <xf numFmtId="178" fontId="26" fillId="35" borderId="10" xfId="70" applyNumberFormat="1" applyFont="1" applyFill="1" applyBorder="1" applyAlignment="1">
      <alignment horizontal="right" vertical="center"/>
    </xf>
    <xf numFmtId="184" fontId="24" fillId="0" borderId="10" xfId="0" applyNumberFormat="1" applyFont="1" applyBorder="1" applyAlignment="1">
      <alignment horizontal="center" vertical="center" wrapText="1"/>
    </xf>
    <xf numFmtId="178" fontId="23" fillId="34" borderId="10" xfId="0" applyNumberFormat="1" applyFont="1" applyFill="1" applyBorder="1" applyAlignment="1">
      <alignment horizontal="center" vertical="center" wrapText="1"/>
    </xf>
    <xf numFmtId="2" fontId="26" fillId="0" borderId="10" xfId="62" applyNumberFormat="1" applyFont="1" applyBorder="1" applyAlignment="1">
      <alignment horizontal="right" vertical="center"/>
      <protection/>
    </xf>
    <xf numFmtId="2" fontId="27" fillId="0" borderId="10" xfId="62" applyNumberFormat="1" applyFont="1" applyBorder="1" applyAlignment="1">
      <alignment horizontal="right" vertical="center"/>
      <protection/>
    </xf>
    <xf numFmtId="2" fontId="27" fillId="0" borderId="10" xfId="0" applyNumberFormat="1" applyFont="1" applyBorder="1" applyAlignment="1">
      <alignment horizontal="right" vertical="center"/>
    </xf>
    <xf numFmtId="2" fontId="27" fillId="34" borderId="10" xfId="0" applyNumberFormat="1" applyFont="1" applyFill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2" fontId="26" fillId="0" borderId="10" xfId="62" applyNumberFormat="1" applyFont="1" applyFill="1" applyBorder="1" applyAlignment="1">
      <alignment horizontal="right" vertical="center"/>
      <protection/>
    </xf>
    <xf numFmtId="2" fontId="26" fillId="35" borderId="10" xfId="70" applyNumberFormat="1" applyFont="1" applyFill="1" applyBorder="1" applyAlignment="1">
      <alignment horizontal="right" vertical="center"/>
    </xf>
    <xf numFmtId="2" fontId="26" fillId="35" borderId="10" xfId="62" applyNumberFormat="1" applyFont="1" applyFill="1" applyBorder="1" applyAlignment="1">
      <alignment horizontal="right" vertical="center"/>
      <protection/>
    </xf>
    <xf numFmtId="2" fontId="26" fillId="0" borderId="11" xfId="62" applyNumberFormat="1" applyFont="1" applyBorder="1" applyAlignment="1">
      <alignment horizontal="right" vertical="center"/>
      <protection/>
    </xf>
    <xf numFmtId="190" fontId="26" fillId="35" borderId="10" xfId="70" applyNumberFormat="1" applyFont="1" applyFill="1" applyBorder="1" applyAlignment="1">
      <alignment horizontal="right" vertical="center"/>
    </xf>
    <xf numFmtId="190" fontId="26" fillId="0" borderId="10" xfId="62" applyNumberFormat="1" applyFont="1" applyBorder="1" applyAlignment="1">
      <alignment horizontal="center" vertical="center" wrapText="1"/>
      <protection/>
    </xf>
    <xf numFmtId="190" fontId="26" fillId="0" borderId="10" xfId="60" applyNumberFormat="1" applyFont="1" applyBorder="1" applyAlignment="1">
      <alignment horizontal="center" vertical="center" wrapText="1"/>
      <protection/>
    </xf>
    <xf numFmtId="190" fontId="26" fillId="0" borderId="10" xfId="60" applyNumberFormat="1" applyFont="1" applyBorder="1" applyAlignment="1">
      <alignment horizontal="right" vertical="center"/>
      <protection/>
    </xf>
    <xf numFmtId="190" fontId="27" fillId="0" borderId="10" xfId="60" applyNumberFormat="1" applyFont="1" applyBorder="1" applyAlignment="1">
      <alignment horizontal="right" vertical="center"/>
      <protection/>
    </xf>
    <xf numFmtId="190" fontId="27" fillId="0" borderId="10" xfId="60" applyNumberFormat="1" applyFont="1" applyBorder="1" applyAlignment="1">
      <alignment horizontal="right"/>
      <protection/>
    </xf>
    <xf numFmtId="190" fontId="26" fillId="0" borderId="10" xfId="57" applyNumberFormat="1" applyFont="1" applyBorder="1" applyAlignment="1">
      <alignment horizontal="right" vertical="center"/>
      <protection/>
    </xf>
    <xf numFmtId="190" fontId="27" fillId="0" borderId="10" xfId="57" applyNumberFormat="1" applyFont="1" applyBorder="1" applyAlignment="1">
      <alignment horizontal="right" vertical="center"/>
      <protection/>
    </xf>
    <xf numFmtId="190" fontId="27" fillId="0" borderId="10" xfId="57" applyNumberFormat="1" applyFont="1" applyBorder="1" applyAlignment="1">
      <alignment horizontal="right"/>
      <protection/>
    </xf>
    <xf numFmtId="190" fontId="26" fillId="0" borderId="10" xfId="60" applyNumberFormat="1" applyFont="1" applyBorder="1" applyAlignment="1">
      <alignment horizontal="right"/>
      <protection/>
    </xf>
    <xf numFmtId="190" fontId="28" fillId="0" borderId="10" xfId="57" applyNumberFormat="1" applyFont="1" applyBorder="1" applyAlignment="1">
      <alignment horizontal="right" vertical="center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15" fillId="34" borderId="18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" fontId="19" fillId="34" borderId="12" xfId="61" applyNumberFormat="1" applyFont="1" applyFill="1" applyBorder="1" applyAlignment="1">
      <alignment horizontal="center" vertical="center" wrapText="1"/>
      <protection/>
    </xf>
    <xf numFmtId="4" fontId="19" fillId="34" borderId="14" xfId="61" applyNumberFormat="1" applyFont="1" applyFill="1" applyBorder="1" applyAlignment="1">
      <alignment horizontal="center" vertical="center" wrapText="1"/>
      <protection/>
    </xf>
    <xf numFmtId="0" fontId="15" fillId="34" borderId="0" xfId="0" applyFont="1" applyFill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left"/>
    </xf>
    <xf numFmtId="0" fontId="15" fillId="34" borderId="18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 applyProtection="1">
      <alignment horizontal="center" vertical="center" wrapText="1"/>
      <protection locked="0"/>
    </xf>
    <xf numFmtId="0" fontId="14" fillId="34" borderId="15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2" fillId="0" borderId="0" xfId="62" applyFont="1" applyAlignment="1">
      <alignment horizontal="center"/>
      <protection/>
    </xf>
    <xf numFmtId="0" fontId="2" fillId="0" borderId="0" xfId="62" applyFont="1" applyFill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 6" xfId="55"/>
    <cellStyle name="Обычный 7" xfId="56"/>
    <cellStyle name="Обычный_Алек 2" xfId="57"/>
    <cellStyle name="Обычный_Анализ Кадикас. на 1.03.08" xfId="58"/>
    <cellStyle name="Обычный_Анализ Моргаш. на 1.03.08" xfId="59"/>
    <cellStyle name="Обычный_Анализ район на 1.03.08" xfId="60"/>
    <cellStyle name="Обычный_Лист1 2" xfId="61"/>
    <cellStyle name="Обычный_Лист3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80" zoomScaleNormal="80" zoomScaleSheetLayoutView="80" zoomScalePageLayoutView="0" workbookViewId="0" topLeftCell="A13">
      <selection activeCell="J23" sqref="J23"/>
    </sheetView>
  </sheetViews>
  <sheetFormatPr defaultColWidth="9.140625" defaultRowHeight="12.75"/>
  <cols>
    <col min="1" max="1" width="41.28125" style="84" customWidth="1"/>
    <col min="2" max="2" width="10.00390625" style="85" customWidth="1"/>
    <col min="3" max="3" width="19.8515625" style="75" customWidth="1"/>
    <col min="4" max="4" width="23.28125" style="75" customWidth="1"/>
    <col min="5" max="5" width="9.8515625" style="75" customWidth="1"/>
    <col min="6" max="6" width="18.00390625" style="75" customWidth="1"/>
    <col min="7" max="7" width="17.8515625" style="75" customWidth="1"/>
    <col min="8" max="8" width="10.140625" style="75" customWidth="1"/>
    <col min="9" max="9" width="16.00390625" style="75" customWidth="1"/>
    <col min="10" max="10" width="18.8515625" style="75" customWidth="1"/>
    <col min="11" max="11" width="12.140625" style="75" customWidth="1"/>
    <col min="12" max="12" width="19.140625" style="75" customWidth="1"/>
    <col min="13" max="16384" width="9.140625" style="75" customWidth="1"/>
  </cols>
  <sheetData>
    <row r="1" spans="1:15" ht="26.25" customHeight="1">
      <c r="A1" s="431" t="s">
        <v>376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124"/>
      <c r="M1" s="124"/>
      <c r="N1" s="124"/>
      <c r="O1" s="124"/>
    </row>
    <row r="2" spans="1:11" ht="33.75" customHeight="1">
      <c r="A2" s="429" t="s">
        <v>183</v>
      </c>
      <c r="B2" s="430" t="s">
        <v>184</v>
      </c>
      <c r="C2" s="426" t="s">
        <v>185</v>
      </c>
      <c r="D2" s="427"/>
      <c r="E2" s="427"/>
      <c r="F2" s="426" t="s">
        <v>186</v>
      </c>
      <c r="G2" s="427"/>
      <c r="H2" s="427"/>
      <c r="I2" s="426" t="s">
        <v>187</v>
      </c>
      <c r="J2" s="427"/>
      <c r="K2" s="432"/>
    </row>
    <row r="3" spans="1:11" ht="53.25" customHeight="1">
      <c r="A3" s="429"/>
      <c r="B3" s="430"/>
      <c r="C3" s="78" t="s">
        <v>344</v>
      </c>
      <c r="D3" s="78" t="s">
        <v>353</v>
      </c>
      <c r="E3" s="140" t="s">
        <v>337</v>
      </c>
      <c r="F3" s="78" t="s">
        <v>344</v>
      </c>
      <c r="G3" s="78" t="s">
        <v>353</v>
      </c>
      <c r="H3" s="140" t="s">
        <v>337</v>
      </c>
      <c r="I3" s="78" t="s">
        <v>344</v>
      </c>
      <c r="J3" s="78" t="s">
        <v>353</v>
      </c>
      <c r="K3" s="78" t="s">
        <v>337</v>
      </c>
    </row>
    <row r="4" spans="1:11" s="80" customFormat="1" ht="30.75" customHeight="1">
      <c r="A4" s="79" t="s">
        <v>5</v>
      </c>
      <c r="B4" s="76"/>
      <c r="C4" s="346">
        <f>SUM(C5:C13)</f>
        <v>151221.09561000002</v>
      </c>
      <c r="D4" s="346">
        <f>SUM(D5:D13)</f>
        <v>151654.63604</v>
      </c>
      <c r="E4" s="346">
        <f>D4/C4*100</f>
        <v>100.28669308885189</v>
      </c>
      <c r="F4" s="346">
        <f>SUM(F5:F13)</f>
        <v>119300.326</v>
      </c>
      <c r="G4" s="346">
        <f>SUM(G5:G13)</f>
        <v>119647.37716</v>
      </c>
      <c r="H4" s="346">
        <f>G4/F4*100</f>
        <v>100.29090545821309</v>
      </c>
      <c r="I4" s="346">
        <f>I5+I7+I6+I8+I10+I11+I12+I13</f>
        <v>31920.76961</v>
      </c>
      <c r="J4" s="346">
        <f>J5+J6+J7+J8+J10+J11+J12+J13</f>
        <v>32007.258879999994</v>
      </c>
      <c r="K4" s="346">
        <f>J4/I4*100</f>
        <v>100.2709498268892</v>
      </c>
    </row>
    <row r="5" spans="1:11" ht="27" customHeight="1">
      <c r="A5" s="81" t="s">
        <v>188</v>
      </c>
      <c r="B5" s="77">
        <v>10102</v>
      </c>
      <c r="C5" s="347">
        <f aca="true" t="shared" si="0" ref="C5:D8">F5+I5</f>
        <v>103818.78</v>
      </c>
      <c r="D5" s="347">
        <f t="shared" si="0"/>
        <v>103811.41408</v>
      </c>
      <c r="E5" s="348">
        <f aca="true" t="shared" si="1" ref="E5:E12">D5/C5*100</f>
        <v>99.99290502161556</v>
      </c>
      <c r="F5" s="347">
        <f>район!C5</f>
        <v>98660.22</v>
      </c>
      <c r="G5" s="347">
        <f>район!D5</f>
        <v>98985.30708</v>
      </c>
      <c r="H5" s="348">
        <f aca="true" t="shared" si="2" ref="H5:H41">G5/F5*100</f>
        <v>100.32950167757582</v>
      </c>
      <c r="I5" s="347">
        <f>Справка!I31</f>
        <v>5158.5599999999995</v>
      </c>
      <c r="J5" s="347">
        <f>Справка!J31</f>
        <v>4826.106999999999</v>
      </c>
      <c r="K5" s="348">
        <f aca="true" t="shared" si="3" ref="K5:K12">J5/I5*100</f>
        <v>93.55531388604571</v>
      </c>
    </row>
    <row r="6" spans="1:11" ht="41.25" customHeight="1">
      <c r="A6" s="81" t="s">
        <v>288</v>
      </c>
      <c r="B6" s="77">
        <v>10300</v>
      </c>
      <c r="C6" s="347">
        <f t="shared" si="0"/>
        <v>11644.36561</v>
      </c>
      <c r="D6" s="347">
        <f t="shared" si="0"/>
        <v>12043.01067</v>
      </c>
      <c r="E6" s="348">
        <f t="shared" si="1"/>
        <v>103.42350174626644</v>
      </c>
      <c r="F6" s="347">
        <f>район!C7</f>
        <v>4233.906</v>
      </c>
      <c r="G6" s="347">
        <f>район!D7</f>
        <v>4244.71881</v>
      </c>
      <c r="H6" s="348">
        <f t="shared" si="2"/>
        <v>100.25538616114767</v>
      </c>
      <c r="I6" s="347">
        <f>Справка!L31+Справка!R31+Справка!O31</f>
        <v>7410.45961</v>
      </c>
      <c r="J6" s="347">
        <f>Справка!M31+Справка!S31+Справка!P31+Справка!V31</f>
        <v>7798.29186</v>
      </c>
      <c r="K6" s="348">
        <f t="shared" si="3"/>
        <v>105.23357889268625</v>
      </c>
    </row>
    <row r="7" spans="1:11" ht="19.5" customHeight="1">
      <c r="A7" s="81" t="s">
        <v>189</v>
      </c>
      <c r="B7" s="77">
        <v>10500</v>
      </c>
      <c r="C7" s="347">
        <f t="shared" si="0"/>
        <v>12896</v>
      </c>
      <c r="D7" s="347">
        <f t="shared" si="0"/>
        <v>12392.197069999998</v>
      </c>
      <c r="E7" s="348">
        <f t="shared" si="1"/>
        <v>96.09333956265507</v>
      </c>
      <c r="F7" s="347">
        <f>район!C12</f>
        <v>12090</v>
      </c>
      <c r="G7" s="347">
        <f>район!D12</f>
        <v>12124.137879999998</v>
      </c>
      <c r="H7" s="348">
        <f t="shared" si="2"/>
        <v>100.28236459884201</v>
      </c>
      <c r="I7" s="347">
        <f>Справка!X31</f>
        <v>806</v>
      </c>
      <c r="J7" s="347">
        <f>Справка!Y31</f>
        <v>268.05918999999994</v>
      </c>
      <c r="K7" s="348">
        <f t="shared" si="3"/>
        <v>33.25796401985111</v>
      </c>
    </row>
    <row r="8" spans="1:11" ht="19.5" customHeight="1">
      <c r="A8" s="81" t="s">
        <v>190</v>
      </c>
      <c r="B8" s="77">
        <v>10601</v>
      </c>
      <c r="C8" s="347">
        <f t="shared" si="0"/>
        <v>1943</v>
      </c>
      <c r="D8" s="347">
        <f t="shared" si="0"/>
        <v>1856.5594900000003</v>
      </c>
      <c r="E8" s="348">
        <f t="shared" si="1"/>
        <v>95.55118322182194</v>
      </c>
      <c r="F8" s="347"/>
      <c r="G8" s="347"/>
      <c r="H8" s="348"/>
      <c r="I8" s="347">
        <f>Справка!AA31</f>
        <v>1943</v>
      </c>
      <c r="J8" s="347">
        <f>Справка!AB31</f>
        <v>1856.5594900000003</v>
      </c>
      <c r="K8" s="348">
        <f t="shared" si="3"/>
        <v>95.55118322182194</v>
      </c>
    </row>
    <row r="9" spans="1:11" ht="19.5" customHeight="1">
      <c r="A9" s="81" t="s">
        <v>289</v>
      </c>
      <c r="B9" s="77">
        <v>10604</v>
      </c>
      <c r="C9" s="347">
        <f>F9</f>
        <v>1910</v>
      </c>
      <c r="D9" s="347">
        <f>G9</f>
        <v>1845.66238</v>
      </c>
      <c r="E9" s="348">
        <f t="shared" si="1"/>
        <v>96.63153821989529</v>
      </c>
      <c r="F9" s="347">
        <f>район!C16</f>
        <v>1910</v>
      </c>
      <c r="G9" s="347">
        <f>район!D19</f>
        <v>1845.66238</v>
      </c>
      <c r="H9" s="348">
        <f t="shared" si="2"/>
        <v>96.63153821989529</v>
      </c>
      <c r="I9" s="347"/>
      <c r="J9" s="347"/>
      <c r="K9" s="348"/>
    </row>
    <row r="10" spans="1:11" ht="19.5" customHeight="1">
      <c r="A10" s="81" t="s">
        <v>191</v>
      </c>
      <c r="B10" s="77">
        <v>10606</v>
      </c>
      <c r="C10" s="347">
        <f aca="true" t="shared" si="4" ref="C10:D13">F10+I10</f>
        <v>16432.75</v>
      </c>
      <c r="D10" s="347">
        <f t="shared" si="4"/>
        <v>17112.28498</v>
      </c>
      <c r="E10" s="348">
        <f t="shared" si="1"/>
        <v>104.13524808689965</v>
      </c>
      <c r="F10" s="347"/>
      <c r="G10" s="347"/>
      <c r="H10" s="348">
        <v>0</v>
      </c>
      <c r="I10" s="347">
        <f>Справка!AD31</f>
        <v>16432.75</v>
      </c>
      <c r="J10" s="347">
        <f>Справка!AE31</f>
        <v>17112.28498</v>
      </c>
      <c r="K10" s="348">
        <f t="shared" si="3"/>
        <v>104.13524808689965</v>
      </c>
    </row>
    <row r="11" spans="1:11" ht="33.75" customHeight="1">
      <c r="A11" s="81" t="s">
        <v>192</v>
      </c>
      <c r="B11" s="77">
        <v>10701</v>
      </c>
      <c r="C11" s="347">
        <f t="shared" si="4"/>
        <v>26.2</v>
      </c>
      <c r="D11" s="347">
        <f t="shared" si="4"/>
        <v>30.16666</v>
      </c>
      <c r="E11" s="348">
        <f t="shared" si="1"/>
        <v>115.13992366412214</v>
      </c>
      <c r="F11" s="347">
        <f>район!C21</f>
        <v>26.2</v>
      </c>
      <c r="G11" s="347">
        <f>район!D21</f>
        <v>30.16666</v>
      </c>
      <c r="H11" s="348">
        <f t="shared" si="2"/>
        <v>115.13992366412214</v>
      </c>
      <c r="I11" s="347"/>
      <c r="J11" s="347"/>
      <c r="K11" s="348">
        <v>0</v>
      </c>
    </row>
    <row r="12" spans="1:11" ht="19.5" customHeight="1">
      <c r="A12" s="81" t="s">
        <v>193</v>
      </c>
      <c r="B12" s="77">
        <v>10800</v>
      </c>
      <c r="C12" s="347">
        <f t="shared" si="4"/>
        <v>2550</v>
      </c>
      <c r="D12" s="347">
        <f t="shared" si="4"/>
        <v>2548.6996900000004</v>
      </c>
      <c r="E12" s="348">
        <f t="shared" si="1"/>
        <v>99.9490074509804</v>
      </c>
      <c r="F12" s="347">
        <f>район!C23</f>
        <v>2380</v>
      </c>
      <c r="G12" s="347">
        <f>район!D23</f>
        <v>2410.8156900000004</v>
      </c>
      <c r="H12" s="348">
        <f t="shared" si="2"/>
        <v>101.29477689075632</v>
      </c>
      <c r="I12" s="347">
        <f>Справка!AG31</f>
        <v>170</v>
      </c>
      <c r="J12" s="347">
        <f>Справка!AH31</f>
        <v>137.884</v>
      </c>
      <c r="K12" s="348">
        <f t="shared" si="3"/>
        <v>81.10823529411763</v>
      </c>
    </row>
    <row r="13" spans="1:11" ht="19.5" customHeight="1">
      <c r="A13" s="81" t="s">
        <v>194</v>
      </c>
      <c r="B13" s="77">
        <v>10900</v>
      </c>
      <c r="C13" s="347">
        <f t="shared" si="4"/>
        <v>0</v>
      </c>
      <c r="D13" s="347">
        <f t="shared" si="4"/>
        <v>14.641020000000001</v>
      </c>
      <c r="E13" s="348"/>
      <c r="F13" s="347">
        <f>район!C27</f>
        <v>0</v>
      </c>
      <c r="G13" s="347">
        <f>район!D27</f>
        <v>6.56866</v>
      </c>
      <c r="H13" s="348"/>
      <c r="I13" s="347">
        <f>Справка!AJ31</f>
        <v>0</v>
      </c>
      <c r="J13" s="347">
        <f>Справка!AK31</f>
        <v>8.07236</v>
      </c>
      <c r="K13" s="348"/>
    </row>
    <row r="14" spans="1:11" s="80" customFormat="1" ht="27" customHeight="1">
      <c r="A14" s="79" t="s">
        <v>13</v>
      </c>
      <c r="B14" s="76"/>
      <c r="C14" s="346">
        <f>SUM(C15:C21)</f>
        <v>22866.752</v>
      </c>
      <c r="D14" s="346">
        <f>SUM(D15:D21)</f>
        <v>24523.11</v>
      </c>
      <c r="E14" s="346">
        <f aca="true" t="shared" si="5" ref="E14:E39">D14/C14*100</f>
        <v>107.2435210737406</v>
      </c>
      <c r="F14" s="346">
        <f>F15+F16+F17+F18+F20+F21+F19</f>
        <v>18150.304</v>
      </c>
      <c r="G14" s="346">
        <f>G15+G16+G17+G18+G20+G21+G19</f>
        <v>18688.888769999998</v>
      </c>
      <c r="H14" s="346">
        <f t="shared" si="2"/>
        <v>102.96735949987392</v>
      </c>
      <c r="I14" s="349">
        <f>I15+I16+I17+I18+I20+I21+I26</f>
        <v>4716.448</v>
      </c>
      <c r="J14" s="349">
        <f>J15+J16+J17+J18+J20+J21+J26</f>
        <v>5834.22123</v>
      </c>
      <c r="K14" s="346">
        <f>J14/I14*100</f>
        <v>123.69947108501991</v>
      </c>
    </row>
    <row r="15" spans="1:11" ht="52.5" customHeight="1">
      <c r="A15" s="81" t="s">
        <v>195</v>
      </c>
      <c r="B15" s="77">
        <v>11100</v>
      </c>
      <c r="C15" s="347">
        <f aca="true" t="shared" si="6" ref="C15:D22">F15+I15</f>
        <v>11384</v>
      </c>
      <c r="D15" s="347">
        <f t="shared" si="6"/>
        <v>10985.47266</v>
      </c>
      <c r="E15" s="347">
        <f t="shared" si="5"/>
        <v>96.49923278285311</v>
      </c>
      <c r="F15" s="347">
        <f>район!C33</f>
        <v>8429</v>
      </c>
      <c r="G15" s="347">
        <f>район!D33</f>
        <v>8462.80058</v>
      </c>
      <c r="H15" s="347">
        <f t="shared" si="2"/>
        <v>100.40100344050302</v>
      </c>
      <c r="I15" s="347">
        <f>Справка!AP31+Справка!AS31+Справка!AM31</f>
        <v>2955</v>
      </c>
      <c r="J15" s="350">
        <f>Справка!AQ31+Справка!AT31+Справка!AN31</f>
        <v>2522.6720800000003</v>
      </c>
      <c r="K15" s="348">
        <f>J15/I15*100</f>
        <v>85.36961353637903</v>
      </c>
    </row>
    <row r="16" spans="1:11" ht="33" customHeight="1">
      <c r="A16" s="81" t="s">
        <v>196</v>
      </c>
      <c r="B16" s="77">
        <v>11200</v>
      </c>
      <c r="C16" s="347">
        <f t="shared" si="6"/>
        <v>437.3</v>
      </c>
      <c r="D16" s="347">
        <f t="shared" si="6"/>
        <v>426.70217</v>
      </c>
      <c r="E16" s="347">
        <f t="shared" si="5"/>
        <v>97.57653098559341</v>
      </c>
      <c r="F16" s="347">
        <f>район!C41</f>
        <v>437.3</v>
      </c>
      <c r="G16" s="347">
        <f>район!D41</f>
        <v>426.70217</v>
      </c>
      <c r="H16" s="347">
        <f t="shared" si="2"/>
        <v>97.57653098559341</v>
      </c>
      <c r="I16" s="347"/>
      <c r="J16" s="350"/>
      <c r="K16" s="348"/>
    </row>
    <row r="17" spans="1:11" ht="33" customHeight="1">
      <c r="A17" s="81" t="s">
        <v>197</v>
      </c>
      <c r="B17" s="77">
        <v>11300</v>
      </c>
      <c r="C17" s="347">
        <f t="shared" si="6"/>
        <v>1106.904</v>
      </c>
      <c r="D17" s="347">
        <f t="shared" si="6"/>
        <v>1484.37482</v>
      </c>
      <c r="E17" s="347">
        <f>D17/C17*100</f>
        <v>134.1014957033311</v>
      </c>
      <c r="F17" s="347">
        <f>район!C43</f>
        <v>415</v>
      </c>
      <c r="G17" s="347">
        <f>район!D43</f>
        <v>856.79402</v>
      </c>
      <c r="H17" s="347"/>
      <c r="I17" s="347">
        <f>Справка!AY31</f>
        <v>691.904</v>
      </c>
      <c r="J17" s="350">
        <f>Справка!AZ31</f>
        <v>627.5808</v>
      </c>
      <c r="K17" s="348"/>
    </row>
    <row r="18" spans="1:11" ht="33" customHeight="1">
      <c r="A18" s="81" t="s">
        <v>198</v>
      </c>
      <c r="B18" s="77">
        <v>11400</v>
      </c>
      <c r="C18" s="347">
        <f t="shared" si="6"/>
        <v>2855</v>
      </c>
      <c r="D18" s="347">
        <f t="shared" si="6"/>
        <v>2558.38284</v>
      </c>
      <c r="E18" s="347">
        <f t="shared" si="5"/>
        <v>89.61060735551665</v>
      </c>
      <c r="F18" s="347">
        <f>район!C46</f>
        <v>2140</v>
      </c>
      <c r="G18" s="347">
        <f>район!D46</f>
        <v>2077.29106</v>
      </c>
      <c r="H18" s="347">
        <f t="shared" si="2"/>
        <v>97.06967570093458</v>
      </c>
      <c r="I18" s="347">
        <f>Справка!BE31</f>
        <v>715</v>
      </c>
      <c r="J18" s="350">
        <f>Справка!BF31</f>
        <v>481.09177999999997</v>
      </c>
      <c r="K18" s="348">
        <f>J18/I18*100</f>
        <v>67.28556363636363</v>
      </c>
    </row>
    <row r="19" spans="1:11" ht="23.25" customHeight="1">
      <c r="A19" s="81" t="s">
        <v>253</v>
      </c>
      <c r="B19" s="77">
        <v>11500</v>
      </c>
      <c r="C19" s="347">
        <f t="shared" si="6"/>
        <v>0</v>
      </c>
      <c r="D19" s="347">
        <f t="shared" si="6"/>
        <v>0</v>
      </c>
      <c r="E19" s="347"/>
      <c r="F19" s="347">
        <f>район!C49</f>
        <v>0</v>
      </c>
      <c r="G19" s="347">
        <f>район!D49</f>
        <v>0</v>
      </c>
      <c r="H19" s="347"/>
      <c r="I19" s="347"/>
      <c r="J19" s="350"/>
      <c r="K19" s="348"/>
    </row>
    <row r="20" spans="1:11" ht="22.5" customHeight="1">
      <c r="A20" s="81" t="s">
        <v>199</v>
      </c>
      <c r="B20" s="77">
        <v>11600</v>
      </c>
      <c r="C20" s="347">
        <f t="shared" si="6"/>
        <v>7083.548</v>
      </c>
      <c r="D20" s="347">
        <f t="shared" si="6"/>
        <v>8955.460799999999</v>
      </c>
      <c r="E20" s="347">
        <f t="shared" si="5"/>
        <v>126.42620336588386</v>
      </c>
      <c r="F20" s="347">
        <f>район!C51</f>
        <v>6729.004</v>
      </c>
      <c r="G20" s="347">
        <f>район!D51</f>
        <v>6865.300939999999</v>
      </c>
      <c r="H20" s="347">
        <f t="shared" si="2"/>
        <v>102.02551432574568</v>
      </c>
      <c r="I20" s="347">
        <f>Справка!BN31</f>
        <v>354.544</v>
      </c>
      <c r="J20" s="350">
        <f>Справка!BO31</f>
        <v>2090.15986</v>
      </c>
      <c r="K20" s="348">
        <v>0</v>
      </c>
    </row>
    <row r="21" spans="1:11" ht="31.5" customHeight="1">
      <c r="A21" s="81" t="s">
        <v>200</v>
      </c>
      <c r="B21" s="77">
        <v>11700</v>
      </c>
      <c r="C21" s="347">
        <f t="shared" si="6"/>
        <v>0</v>
      </c>
      <c r="D21" s="347">
        <f t="shared" si="6"/>
        <v>112.71671</v>
      </c>
      <c r="E21" s="347"/>
      <c r="F21" s="347">
        <f>район!C68</f>
        <v>0</v>
      </c>
      <c r="G21" s="347">
        <f>район!D68</f>
        <v>0</v>
      </c>
      <c r="H21" s="347"/>
      <c r="I21" s="347">
        <f>Справка!BQ31</f>
        <v>0</v>
      </c>
      <c r="J21" s="350">
        <f>Справка!BR31</f>
        <v>112.71671</v>
      </c>
      <c r="K21" s="348">
        <v>0</v>
      </c>
    </row>
    <row r="22" spans="1:11" ht="45.75" customHeight="1" hidden="1">
      <c r="A22" s="79" t="s">
        <v>201</v>
      </c>
      <c r="B22" s="76">
        <v>30000</v>
      </c>
      <c r="C22" s="346">
        <f t="shared" si="6"/>
        <v>0</v>
      </c>
      <c r="D22" s="346">
        <f t="shared" si="6"/>
        <v>0</v>
      </c>
      <c r="E22" s="346"/>
      <c r="F22" s="346">
        <v>0</v>
      </c>
      <c r="G22" s="346">
        <v>0</v>
      </c>
      <c r="H22" s="346"/>
      <c r="I22" s="346">
        <v>0</v>
      </c>
      <c r="J22" s="346">
        <v>0</v>
      </c>
      <c r="K22" s="346"/>
    </row>
    <row r="23" spans="1:11" ht="36.75" customHeight="1">
      <c r="A23" s="79" t="s">
        <v>19</v>
      </c>
      <c r="B23" s="76">
        <v>10000</v>
      </c>
      <c r="C23" s="349">
        <f>SUM(C4,C14,C22,)</f>
        <v>174087.84761000003</v>
      </c>
      <c r="D23" s="349">
        <f>SUM(D4,D14,)</f>
        <v>176177.74604</v>
      </c>
      <c r="E23" s="346">
        <f t="shared" si="5"/>
        <v>101.20048496129486</v>
      </c>
      <c r="F23" s="349">
        <f>SUM(F4,F14,)</f>
        <v>137450.63</v>
      </c>
      <c r="G23" s="351">
        <f>SUM(G4,G14,G22)</f>
        <v>138336.26593</v>
      </c>
      <c r="H23" s="346">
        <f t="shared" si="2"/>
        <v>100.64433020787172</v>
      </c>
      <c r="I23" s="349">
        <f>I4+I14</f>
        <v>36637.21761</v>
      </c>
      <c r="J23" s="405">
        <f>J4+J14</f>
        <v>37841.48011</v>
      </c>
      <c r="K23" s="346">
        <f>J23/I23*100</f>
        <v>103.28699224056605</v>
      </c>
    </row>
    <row r="24" spans="1:11" ht="33" customHeight="1">
      <c r="A24" s="79" t="s">
        <v>202</v>
      </c>
      <c r="B24" s="76">
        <v>20200</v>
      </c>
      <c r="C24" s="352">
        <v>439927.74722</v>
      </c>
      <c r="D24" s="352">
        <v>438354.86195</v>
      </c>
      <c r="E24" s="349">
        <f t="shared" si="5"/>
        <v>99.6424673642571</v>
      </c>
      <c r="F24" s="349">
        <f>район!C72</f>
        <v>459769.73361</v>
      </c>
      <c r="G24" s="349">
        <f>район!D72</f>
        <v>458190.98934000003</v>
      </c>
      <c r="H24" s="346">
        <f t="shared" si="2"/>
        <v>99.65662283647859</v>
      </c>
      <c r="I24" s="349">
        <f>Справка!BZ31</f>
        <v>62060.35258</v>
      </c>
      <c r="J24" s="349">
        <f>Справка!CA31</f>
        <v>61956.42822999999</v>
      </c>
      <c r="K24" s="346">
        <f aca="true" t="shared" si="7" ref="K24:K38">J24/I24*100</f>
        <v>99.83254308801092</v>
      </c>
    </row>
    <row r="25" spans="1:11" ht="33" customHeight="1">
      <c r="A25" s="79" t="s">
        <v>307</v>
      </c>
      <c r="B25" s="76">
        <v>20700</v>
      </c>
      <c r="C25" s="353">
        <f>F25+I25</f>
        <v>577.654</v>
      </c>
      <c r="D25" s="353">
        <f>G25+J25</f>
        <v>577.524</v>
      </c>
      <c r="E25" s="349">
        <f t="shared" si="5"/>
        <v>99.97749517877483</v>
      </c>
      <c r="F25" s="349"/>
      <c r="G25" s="349"/>
      <c r="H25" s="346"/>
      <c r="I25" s="349">
        <f>Справка!CR31</f>
        <v>577.654</v>
      </c>
      <c r="J25" s="349">
        <f>Справка!CS31</f>
        <v>577.524</v>
      </c>
      <c r="K25" s="346">
        <f t="shared" si="7"/>
        <v>99.97749517877483</v>
      </c>
    </row>
    <row r="26" spans="1:12" ht="33" customHeight="1">
      <c r="A26" s="79" t="s">
        <v>265</v>
      </c>
      <c r="B26" s="77">
        <v>21900</v>
      </c>
      <c r="C26" s="353">
        <f>F26+I26</f>
        <v>-167.21361</v>
      </c>
      <c r="D26" s="353">
        <f>G26+J26</f>
        <v>-173.07261</v>
      </c>
      <c r="E26" s="349">
        <f t="shared" si="5"/>
        <v>103.50390138697443</v>
      </c>
      <c r="F26" s="348">
        <f>район!C80</f>
        <v>-167.21361</v>
      </c>
      <c r="G26" s="348">
        <f>район!D80</f>
        <v>-173.07261</v>
      </c>
      <c r="H26" s="346">
        <f t="shared" si="2"/>
        <v>103.50390138697443</v>
      </c>
      <c r="I26" s="348">
        <v>0</v>
      </c>
      <c r="J26" s="348">
        <v>0</v>
      </c>
      <c r="K26" s="348">
        <v>0</v>
      </c>
      <c r="L26" s="83"/>
    </row>
    <row r="27" spans="1:12" ht="29.25" customHeight="1">
      <c r="A27" s="76" t="s">
        <v>203</v>
      </c>
      <c r="B27" s="76"/>
      <c r="C27" s="354">
        <f>C24+C23+C26+C25</f>
        <v>614426.0352200001</v>
      </c>
      <c r="D27" s="354">
        <f>D24+D23+D26+D25</f>
        <v>614937.0593799999</v>
      </c>
      <c r="E27" s="354">
        <f t="shared" si="5"/>
        <v>100.08317098083528</v>
      </c>
      <c r="F27" s="355">
        <f>F24+F23</f>
        <v>597220.36361</v>
      </c>
      <c r="G27" s="355">
        <f>G24+G23</f>
        <v>596527.2552700001</v>
      </c>
      <c r="H27" s="355">
        <f t="shared" si="2"/>
        <v>99.88394428887014</v>
      </c>
      <c r="I27" s="356">
        <f>I24+I23</f>
        <v>98697.57019</v>
      </c>
      <c r="J27" s="355">
        <f>J24+J23</f>
        <v>99797.90834</v>
      </c>
      <c r="K27" s="354">
        <f t="shared" si="7"/>
        <v>101.11485839811635</v>
      </c>
      <c r="L27" s="95"/>
    </row>
    <row r="28" spans="1:12" ht="29.25" customHeight="1">
      <c r="A28" s="76" t="s">
        <v>204</v>
      </c>
      <c r="B28" s="76"/>
      <c r="C28" s="354">
        <f>C29+C30+C31+C32+C33+C34+C35+C36+C37+C41+C38+C39+C40</f>
        <v>631052.92424</v>
      </c>
      <c r="D28" s="357">
        <f>SUM(D29:D41)</f>
        <v>618558.2914300001</v>
      </c>
      <c r="E28" s="354">
        <f t="shared" si="5"/>
        <v>98.02003408429687</v>
      </c>
      <c r="F28" s="355">
        <f>SUM(F29+F30+F31+F32+F33+F34+F35+F36+F37+F38+F39+F40+F41)</f>
        <v>605801.6723300001</v>
      </c>
      <c r="G28" s="355">
        <f>SUM(G29:G41)</f>
        <v>597282.78816</v>
      </c>
      <c r="H28" s="355">
        <f t="shared" si="2"/>
        <v>98.59378331901343</v>
      </c>
      <c r="I28" s="355">
        <f>I29+I30+I31+I32+I33+I34+I35+I36+I37+I38+I39+I40+I41</f>
        <v>106743.15049000001</v>
      </c>
      <c r="J28" s="355">
        <f>J29+J30+J31+J32+J33+J34+J35+J36+J37+J38+J39+J40+J41</f>
        <v>102663.6075</v>
      </c>
      <c r="K28" s="354">
        <f t="shared" si="7"/>
        <v>96.17816883680776</v>
      </c>
      <c r="L28" s="95"/>
    </row>
    <row r="29" spans="1:11" ht="30.75" customHeight="1">
      <c r="A29" s="81" t="s">
        <v>205</v>
      </c>
      <c r="B29" s="82" t="s">
        <v>30</v>
      </c>
      <c r="C29" s="358">
        <v>59277.35715</v>
      </c>
      <c r="D29" s="359">
        <v>54396.61696</v>
      </c>
      <c r="E29" s="360">
        <f t="shared" si="5"/>
        <v>91.76626552757843</v>
      </c>
      <c r="F29" s="347">
        <f>район!C87</f>
        <v>39500.283149999996</v>
      </c>
      <c r="G29" s="360">
        <f>район!D87</f>
        <v>35302.00517</v>
      </c>
      <c r="H29" s="361">
        <f t="shared" si="2"/>
        <v>89.37152434057933</v>
      </c>
      <c r="I29" s="361">
        <f>Справка!DJ31</f>
        <v>19777.074</v>
      </c>
      <c r="J29" s="361">
        <f>Справка!DK31</f>
        <v>19094.61179</v>
      </c>
      <c r="K29" s="361">
        <f t="shared" si="7"/>
        <v>96.54922558311709</v>
      </c>
    </row>
    <row r="30" spans="1:11" ht="30.75" customHeight="1">
      <c r="A30" s="81" t="s">
        <v>206</v>
      </c>
      <c r="B30" s="82" t="s">
        <v>46</v>
      </c>
      <c r="C30" s="353">
        <f>I30</f>
        <v>1677.4999999999998</v>
      </c>
      <c r="D30" s="362">
        <f>J30</f>
        <v>1677.4999999999998</v>
      </c>
      <c r="E30" s="360">
        <f t="shared" si="5"/>
        <v>100</v>
      </c>
      <c r="F30" s="347">
        <f>район!C95</f>
        <v>1677.5</v>
      </c>
      <c r="G30" s="363">
        <f>район!D95</f>
        <v>1677.5</v>
      </c>
      <c r="H30" s="361">
        <f t="shared" si="2"/>
        <v>100</v>
      </c>
      <c r="I30" s="361">
        <f>Справка!DY31</f>
        <v>1677.4999999999998</v>
      </c>
      <c r="J30" s="364">
        <f>Справка!DZ31</f>
        <v>1677.4999999999998</v>
      </c>
      <c r="K30" s="361">
        <f t="shared" si="7"/>
        <v>100</v>
      </c>
    </row>
    <row r="31" spans="1:11" ht="33" customHeight="1">
      <c r="A31" s="81" t="s">
        <v>207</v>
      </c>
      <c r="B31" s="82" t="s">
        <v>50</v>
      </c>
      <c r="C31" s="358">
        <f>F31+I31</f>
        <v>3234.0887</v>
      </c>
      <c r="D31" s="359">
        <f>G31+J31</f>
        <v>3187.49078</v>
      </c>
      <c r="E31" s="360">
        <f t="shared" si="5"/>
        <v>98.55916382256306</v>
      </c>
      <c r="F31" s="347">
        <f>район!C97</f>
        <v>3049.4539999999997</v>
      </c>
      <c r="G31" s="360">
        <f>район!D97</f>
        <v>3027.27047</v>
      </c>
      <c r="H31" s="361">
        <f t="shared" si="2"/>
        <v>99.27254092044019</v>
      </c>
      <c r="I31" s="364">
        <f>Справка!EB31</f>
        <v>184.63469999999998</v>
      </c>
      <c r="J31" s="361">
        <f>Справка!EC31</f>
        <v>160.22030999999998</v>
      </c>
      <c r="K31" s="361">
        <f t="shared" si="7"/>
        <v>86.7769222145133</v>
      </c>
    </row>
    <row r="32" spans="1:11" ht="30" customHeight="1">
      <c r="A32" s="81" t="s">
        <v>208</v>
      </c>
      <c r="B32" s="82" t="s">
        <v>58</v>
      </c>
      <c r="C32" s="358">
        <v>89761.8557</v>
      </c>
      <c r="D32" s="359">
        <v>85929.70294</v>
      </c>
      <c r="E32" s="360">
        <f t="shared" si="5"/>
        <v>95.7307558649325</v>
      </c>
      <c r="F32" s="347">
        <f>район!C102</f>
        <v>70547.73919</v>
      </c>
      <c r="G32" s="360">
        <f>район!D102</f>
        <v>68489.99817</v>
      </c>
      <c r="H32" s="361">
        <f t="shared" si="2"/>
        <v>97.08319353160552</v>
      </c>
      <c r="I32" s="361">
        <f>Справка!EE31</f>
        <v>37152.08559</v>
      </c>
      <c r="J32" s="361">
        <f>Справка!EF31</f>
        <v>35295.751350000006</v>
      </c>
      <c r="K32" s="361">
        <f t="shared" si="7"/>
        <v>95.00341848776411</v>
      </c>
    </row>
    <row r="33" spans="1:11" ht="30" customHeight="1">
      <c r="A33" s="81" t="s">
        <v>209</v>
      </c>
      <c r="B33" s="82" t="s">
        <v>68</v>
      </c>
      <c r="C33" s="358">
        <v>19935.5197</v>
      </c>
      <c r="D33" s="359">
        <v>19202.58018</v>
      </c>
      <c r="E33" s="360">
        <f t="shared" si="5"/>
        <v>96.32344914489488</v>
      </c>
      <c r="F33" s="347">
        <f>район!C107</f>
        <v>7786.1035</v>
      </c>
      <c r="G33" s="360">
        <f>район!D107</f>
        <v>7779.09201</v>
      </c>
      <c r="H33" s="361">
        <f t="shared" si="2"/>
        <v>99.90994866687811</v>
      </c>
      <c r="I33" s="361">
        <f>Справка!EH31</f>
        <v>18160.1202</v>
      </c>
      <c r="J33" s="361">
        <f>Справка!EI31</f>
        <v>17434.19217</v>
      </c>
      <c r="K33" s="361">
        <f t="shared" si="7"/>
        <v>96.00262541213796</v>
      </c>
    </row>
    <row r="34" spans="1:11" ht="30" customHeight="1">
      <c r="A34" s="81" t="s">
        <v>210</v>
      </c>
      <c r="B34" s="82" t="s">
        <v>76</v>
      </c>
      <c r="C34" s="353">
        <f>F34</f>
        <v>56.5</v>
      </c>
      <c r="D34" s="362">
        <f>G34</f>
        <v>56.5</v>
      </c>
      <c r="E34" s="360">
        <f t="shared" si="5"/>
        <v>100</v>
      </c>
      <c r="F34" s="347">
        <f>район!C111</f>
        <v>56.5</v>
      </c>
      <c r="G34" s="360">
        <f>район!D111</f>
        <v>56.5</v>
      </c>
      <c r="H34" s="361">
        <f t="shared" si="2"/>
        <v>100</v>
      </c>
      <c r="I34" s="360"/>
      <c r="J34" s="360"/>
      <c r="K34" s="361">
        <v>0</v>
      </c>
    </row>
    <row r="35" spans="1:11" ht="30" customHeight="1">
      <c r="A35" s="81" t="s">
        <v>211</v>
      </c>
      <c r="B35" s="82" t="s">
        <v>80</v>
      </c>
      <c r="C35" s="353">
        <f>F35</f>
        <v>364789.56314999994</v>
      </c>
      <c r="D35" s="362">
        <f>G35</f>
        <v>362978.39954</v>
      </c>
      <c r="E35" s="360">
        <f t="shared" si="5"/>
        <v>99.50350454262991</v>
      </c>
      <c r="F35" s="347">
        <f>район!C113</f>
        <v>364789.56314999994</v>
      </c>
      <c r="G35" s="360">
        <f>район!D113</f>
        <v>362978.39954</v>
      </c>
      <c r="H35" s="361">
        <f t="shared" si="2"/>
        <v>99.50350454262991</v>
      </c>
      <c r="I35" s="360"/>
      <c r="J35" s="360"/>
      <c r="K35" s="361">
        <v>0</v>
      </c>
    </row>
    <row r="36" spans="1:12" ht="30" customHeight="1">
      <c r="A36" s="81" t="s">
        <v>212</v>
      </c>
      <c r="B36" s="82" t="s">
        <v>86</v>
      </c>
      <c r="C36" s="358">
        <v>51145.99643</v>
      </c>
      <c r="D36" s="359">
        <v>50268.92423</v>
      </c>
      <c r="E36" s="360">
        <f t="shared" si="5"/>
        <v>98.28515961909083</v>
      </c>
      <c r="F36" s="347">
        <f>район!C119</f>
        <v>44615.28743</v>
      </c>
      <c r="G36" s="360">
        <f>район!D119</f>
        <v>44493.87528</v>
      </c>
      <c r="H36" s="361">
        <f t="shared" si="2"/>
        <v>99.72786872618384</v>
      </c>
      <c r="I36" s="404">
        <f>Справка!EK31</f>
        <v>28007.129</v>
      </c>
      <c r="J36" s="361">
        <f>Справка!EL31</f>
        <v>27229.6151</v>
      </c>
      <c r="K36" s="361">
        <f t="shared" si="7"/>
        <v>97.22387146501164</v>
      </c>
      <c r="L36" s="83"/>
    </row>
    <row r="37" spans="1:11" ht="30" customHeight="1">
      <c r="A37" s="81" t="s">
        <v>213</v>
      </c>
      <c r="B37" s="82" t="s">
        <v>214</v>
      </c>
      <c r="C37" s="358">
        <f>F37</f>
        <v>33956.384410000006</v>
      </c>
      <c r="D37" s="359">
        <f>G37</f>
        <v>33686.42308</v>
      </c>
      <c r="E37" s="360">
        <f t="shared" si="5"/>
        <v>99.20497622261426</v>
      </c>
      <c r="F37" s="347">
        <f>район!C122</f>
        <v>33956.384410000006</v>
      </c>
      <c r="G37" s="360">
        <f>район!D122</f>
        <v>33686.42308</v>
      </c>
      <c r="H37" s="361">
        <f t="shared" si="2"/>
        <v>99.20497622261426</v>
      </c>
      <c r="I37" s="361">
        <f>Справка!EN31</f>
        <v>0</v>
      </c>
      <c r="J37" s="361">
        <f>Справка!EO31</f>
        <v>0</v>
      </c>
      <c r="K37" s="361"/>
    </row>
    <row r="38" spans="1:11" ht="30" customHeight="1">
      <c r="A38" s="81" t="s">
        <v>215</v>
      </c>
      <c r="B38" s="82" t="s">
        <v>95</v>
      </c>
      <c r="C38" s="358">
        <f>F38+I38</f>
        <v>7138.159</v>
      </c>
      <c r="D38" s="359">
        <f>G38+J38</f>
        <v>7125.26878</v>
      </c>
      <c r="E38" s="360">
        <f t="shared" si="5"/>
        <v>99.8194181440901</v>
      </c>
      <c r="F38" s="347">
        <f>район!C127</f>
        <v>5353.552</v>
      </c>
      <c r="G38" s="360">
        <f>район!D127</f>
        <v>5353.552</v>
      </c>
      <c r="H38" s="361">
        <f t="shared" si="2"/>
        <v>100</v>
      </c>
      <c r="I38" s="361">
        <f>Справка!EQ31</f>
        <v>1784.6070000000002</v>
      </c>
      <c r="J38" s="361">
        <f>Справка!ER31</f>
        <v>1771.7167800000002</v>
      </c>
      <c r="K38" s="361">
        <f t="shared" si="7"/>
        <v>99.27769979608956</v>
      </c>
    </row>
    <row r="39" spans="1:11" ht="30" customHeight="1">
      <c r="A39" s="81" t="s">
        <v>216</v>
      </c>
      <c r="B39" s="82" t="s">
        <v>107</v>
      </c>
      <c r="C39" s="347">
        <f>F39</f>
        <v>80</v>
      </c>
      <c r="D39" s="365">
        <f>G39</f>
        <v>48.88494</v>
      </c>
      <c r="E39" s="360">
        <f t="shared" si="5"/>
        <v>61.10617499999999</v>
      </c>
      <c r="F39" s="347">
        <f>район!C133</f>
        <v>80</v>
      </c>
      <c r="G39" s="360">
        <f>район!D133</f>
        <v>48.88494</v>
      </c>
      <c r="H39" s="361">
        <f t="shared" si="2"/>
        <v>61.10617499999999</v>
      </c>
      <c r="I39" s="361"/>
      <c r="J39" s="361"/>
      <c r="K39" s="361">
        <v>0</v>
      </c>
    </row>
    <row r="40" spans="1:11" ht="34.5" customHeight="1">
      <c r="A40" s="81" t="s">
        <v>217</v>
      </c>
      <c r="B40" s="82" t="s">
        <v>111</v>
      </c>
      <c r="C40" s="347">
        <f>F40</f>
        <v>0</v>
      </c>
      <c r="D40" s="365">
        <f>G40</f>
        <v>0</v>
      </c>
      <c r="E40" s="360"/>
      <c r="F40" s="347">
        <f>район!C135</f>
        <v>0</v>
      </c>
      <c r="G40" s="360">
        <f>район!D135</f>
        <v>0</v>
      </c>
      <c r="H40" s="361">
        <v>0</v>
      </c>
      <c r="I40" s="361"/>
      <c r="J40" s="366"/>
      <c r="K40" s="361">
        <v>0</v>
      </c>
    </row>
    <row r="41" spans="1:11" ht="30" customHeight="1">
      <c r="A41" s="81" t="s">
        <v>218</v>
      </c>
      <c r="B41" s="82" t="s">
        <v>219</v>
      </c>
      <c r="C41" s="347">
        <v>0</v>
      </c>
      <c r="D41" s="365"/>
      <c r="E41" s="360">
        <v>0</v>
      </c>
      <c r="F41" s="347">
        <f>район!C137</f>
        <v>34389.3055</v>
      </c>
      <c r="G41" s="360">
        <f>район!D137</f>
        <v>34389.287500000006</v>
      </c>
      <c r="H41" s="361">
        <f t="shared" si="2"/>
        <v>99.99994765814624</v>
      </c>
      <c r="I41" s="361">
        <f>Справка!ET31</f>
        <v>0</v>
      </c>
      <c r="J41" s="366">
        <f>Справка!EU31</f>
        <v>0</v>
      </c>
      <c r="K41" s="361"/>
    </row>
    <row r="42" spans="1:11" ht="15.75">
      <c r="A42" s="142"/>
      <c r="B42" s="143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ht="15.75" hidden="1">
      <c r="A43" s="142"/>
      <c r="B43" s="143"/>
      <c r="C43" s="141">
        <f>C27-C28</f>
        <v>-16626.889019999886</v>
      </c>
      <c r="D43" s="141">
        <f>D27-D28</f>
        <v>-3621.2320500002243</v>
      </c>
      <c r="E43" s="141"/>
      <c r="F43" s="141">
        <f>F27-F28</f>
        <v>-8581.308720000088</v>
      </c>
      <c r="G43" s="141">
        <f>G27-G28</f>
        <v>-755.5328899999149</v>
      </c>
      <c r="H43" s="141"/>
      <c r="I43" s="141">
        <f>I27-I28</f>
        <v>-8045.580300000016</v>
      </c>
      <c r="J43" s="141">
        <f>J27-J28</f>
        <v>-2865.6991600000038</v>
      </c>
      <c r="K43" s="141"/>
    </row>
    <row r="44" spans="1:11" ht="15.75" hidden="1">
      <c r="A44" s="142"/>
      <c r="B44" s="143"/>
      <c r="C44" s="141">
        <f>C43-F44</f>
        <v>2.1827872842550278E-10</v>
      </c>
      <c r="D44" s="141">
        <f>D43-G44</f>
        <v>-3.055902197957039E-10</v>
      </c>
      <c r="E44" s="141"/>
      <c r="F44" s="141">
        <f>F43+I43</f>
        <v>-16626.889020000104</v>
      </c>
      <c r="G44" s="141">
        <f>G43+J43</f>
        <v>-3621.2320499999187</v>
      </c>
      <c r="H44" s="141"/>
      <c r="I44" s="141"/>
      <c r="J44" s="141"/>
      <c r="K44" s="141"/>
    </row>
    <row r="45" spans="1:11" ht="20.25" customHeight="1" hidden="1">
      <c r="A45" s="142"/>
      <c r="B45" s="143"/>
      <c r="C45" s="144"/>
      <c r="D45" s="144"/>
      <c r="E45" s="145"/>
      <c r="F45" s="145">
        <f>C28+F44-C23-C26</f>
        <v>440505.40121999977</v>
      </c>
      <c r="G45" s="145">
        <f>D28+G44-D23-D26</f>
        <v>438932.3859500002</v>
      </c>
      <c r="H45" s="139"/>
      <c r="I45" s="139"/>
      <c r="J45" s="139"/>
      <c r="K45" s="141"/>
    </row>
    <row r="46" spans="1:11" ht="15.75">
      <c r="A46" s="142"/>
      <c r="B46" s="143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1:11" ht="15.75">
      <c r="A47" s="142"/>
      <c r="B47" s="143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 ht="15.75">
      <c r="A48" s="142"/>
      <c r="B48" s="143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1:11" ht="15.75">
      <c r="A49" s="142" t="s">
        <v>120</v>
      </c>
      <c r="B49" s="143"/>
      <c r="C49" s="144"/>
      <c r="D49" s="144"/>
      <c r="E49" s="145"/>
      <c r="F49" s="145"/>
      <c r="G49" s="145"/>
      <c r="H49" s="139"/>
      <c r="I49" s="139"/>
      <c r="J49" s="139"/>
      <c r="K49" s="139"/>
    </row>
    <row r="50" spans="1:11" ht="15.75">
      <c r="A50" s="142" t="s">
        <v>220</v>
      </c>
      <c r="B50" s="143"/>
      <c r="C50" s="146" t="s">
        <v>269</v>
      </c>
      <c r="D50" s="428"/>
      <c r="E50" s="428"/>
      <c r="F50" s="147"/>
      <c r="G50" s="145"/>
      <c r="H50" s="139"/>
      <c r="I50" s="139"/>
      <c r="J50" s="139"/>
      <c r="K50" s="139"/>
    </row>
    <row r="51" spans="3:7" ht="15.75">
      <c r="C51" s="86"/>
      <c r="D51" s="86"/>
      <c r="F51" s="83"/>
      <c r="G51" s="83"/>
    </row>
    <row r="52" spans="3:10" ht="15.75">
      <c r="C52" s="90"/>
      <c r="D52" s="90"/>
      <c r="F52" s="83"/>
      <c r="G52" s="83"/>
      <c r="I52" s="83"/>
      <c r="J52" s="83"/>
    </row>
    <row r="53" spans="3:7" ht="15.75">
      <c r="C53" s="98"/>
      <c r="D53" s="83"/>
      <c r="F53" s="83"/>
      <c r="G53" s="83"/>
    </row>
    <row r="54" spans="3:4" ht="15.75">
      <c r="C54" s="98"/>
      <c r="D54" s="83"/>
    </row>
  </sheetData>
  <sheetProtection/>
  <mergeCells count="7">
    <mergeCell ref="C2:E2"/>
    <mergeCell ref="D50:E50"/>
    <mergeCell ref="A2:A3"/>
    <mergeCell ref="B2:B3"/>
    <mergeCell ref="A1:K1"/>
    <mergeCell ref="I2:K2"/>
    <mergeCell ref="F2:H2"/>
  </mergeCells>
  <printOptions/>
  <pageMargins left="0.7086614173228347" right="0.7086614173228347" top="0.34" bottom="0.7480314960629921" header="0.31496062992125984" footer="0.31496062992125984"/>
  <pageSetup horizontalDpi="600" verticalDpi="600" orientation="landscape" paperSize="9" scale="66" r:id="rId1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SheetLayoutView="70" workbookViewId="0" topLeftCell="A46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00390625" style="62" customWidth="1"/>
    <col min="4" max="4" width="15.00390625" style="62" customWidth="1"/>
    <col min="5" max="5" width="10.8515625" style="62" customWidth="1"/>
    <col min="6" max="6" width="10.00390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371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6.75" customHeight="1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2240.19</v>
      </c>
      <c r="D4" s="5">
        <f>D5+D12+D14+D17+D7</f>
        <v>2500.1483900000003</v>
      </c>
      <c r="E4" s="5">
        <f>SUM(D4/C4*100)</f>
        <v>111.60430097447092</v>
      </c>
      <c r="F4" s="5">
        <f>SUM(D4-C4)</f>
        <v>259.95839000000024</v>
      </c>
    </row>
    <row r="5" spans="1:6" s="6" customFormat="1" ht="15.75">
      <c r="A5" s="68">
        <v>1010000000</v>
      </c>
      <c r="B5" s="67" t="s">
        <v>6</v>
      </c>
      <c r="C5" s="5">
        <f>C6</f>
        <v>234.47</v>
      </c>
      <c r="D5" s="5">
        <f>D6</f>
        <v>246.35776</v>
      </c>
      <c r="E5" s="5">
        <f aca="true" t="shared" si="0" ref="E5:E50">SUM(D5/C5*100)</f>
        <v>105.0700558706871</v>
      </c>
      <c r="F5" s="5">
        <f aca="true" t="shared" si="1" ref="F5:F50">SUM(D5-C5)</f>
        <v>11.887760000000014</v>
      </c>
    </row>
    <row r="6" spans="1:6" ht="15.75">
      <c r="A6" s="7">
        <v>1010200001</v>
      </c>
      <c r="B6" s="8" t="s">
        <v>231</v>
      </c>
      <c r="C6" s="9">
        <v>234.47</v>
      </c>
      <c r="D6" s="10">
        <v>246.35776</v>
      </c>
      <c r="E6" s="9">
        <f aca="true" t="shared" si="2" ref="E6:E11">SUM(D6/C6*100)</f>
        <v>105.0700558706871</v>
      </c>
      <c r="F6" s="9">
        <f t="shared" si="1"/>
        <v>11.887760000000014</v>
      </c>
    </row>
    <row r="7" spans="1:6" ht="31.5">
      <c r="A7" s="3">
        <v>1030000000</v>
      </c>
      <c r="B7" s="13" t="s">
        <v>285</v>
      </c>
      <c r="C7" s="5">
        <f>C8+C10+C9</f>
        <v>385.72</v>
      </c>
      <c r="D7" s="5">
        <f>D8+D9+D10+D11</f>
        <v>410.10773</v>
      </c>
      <c r="E7" s="9">
        <f t="shared" si="2"/>
        <v>106.32265114590895</v>
      </c>
      <c r="F7" s="9">
        <f t="shared" si="1"/>
        <v>24.387729999999976</v>
      </c>
    </row>
    <row r="8" spans="1:6" ht="15.75">
      <c r="A8" s="7">
        <v>1030223001</v>
      </c>
      <c r="B8" s="8" t="s">
        <v>287</v>
      </c>
      <c r="C8" s="9">
        <v>125.36</v>
      </c>
      <c r="D8" s="10">
        <v>168.51299</v>
      </c>
      <c r="E8" s="9">
        <f t="shared" si="2"/>
        <v>134.42325303126995</v>
      </c>
      <c r="F8" s="9">
        <f t="shared" si="1"/>
        <v>43.15299</v>
      </c>
    </row>
    <row r="9" spans="1:6" ht="15.75">
      <c r="A9" s="7">
        <v>1030224001</v>
      </c>
      <c r="B9" s="8" t="s">
        <v>293</v>
      </c>
      <c r="C9" s="9">
        <v>1.54</v>
      </c>
      <c r="D9" s="10">
        <v>1.71069</v>
      </c>
      <c r="E9" s="9">
        <f t="shared" si="2"/>
        <v>111.08376623376624</v>
      </c>
      <c r="F9" s="9">
        <f t="shared" si="1"/>
        <v>0.17069</v>
      </c>
    </row>
    <row r="10" spans="1:6" ht="15.75">
      <c r="A10" s="7">
        <v>1030225001</v>
      </c>
      <c r="B10" s="8" t="s">
        <v>286</v>
      </c>
      <c r="C10" s="9">
        <v>258.82</v>
      </c>
      <c r="D10" s="10">
        <v>272.52101</v>
      </c>
      <c r="E10" s="9">
        <f t="shared" si="2"/>
        <v>105.29364423151225</v>
      </c>
      <c r="F10" s="9">
        <f t="shared" si="1"/>
        <v>13.701009999999997</v>
      </c>
    </row>
    <row r="11" spans="1:6" ht="15.75">
      <c r="A11" s="7">
        <v>1030265001</v>
      </c>
      <c r="B11" s="8" t="s">
        <v>295</v>
      </c>
      <c r="C11" s="9">
        <v>0</v>
      </c>
      <c r="D11" s="10">
        <v>-32.63696</v>
      </c>
      <c r="E11" s="9" t="e">
        <f t="shared" si="2"/>
        <v>#DIV/0!</v>
      </c>
      <c r="F11" s="9">
        <f t="shared" si="1"/>
        <v>-32.63696</v>
      </c>
    </row>
    <row r="12" spans="1:6" s="6" customFormat="1" ht="15.75">
      <c r="A12" s="68">
        <v>1050000000</v>
      </c>
      <c r="B12" s="67" t="s">
        <v>7</v>
      </c>
      <c r="C12" s="5">
        <f>SUM(C13:C13)</f>
        <v>30</v>
      </c>
      <c r="D12" s="5">
        <f>SUM(D13:D13)</f>
        <v>46.78751</v>
      </c>
      <c r="E12" s="5">
        <f t="shared" si="0"/>
        <v>155.95836666666665</v>
      </c>
      <c r="F12" s="5">
        <f t="shared" si="1"/>
        <v>16.787509999999997</v>
      </c>
    </row>
    <row r="13" spans="1:6" ht="15.75" customHeight="1">
      <c r="A13" s="7">
        <v>1050300000</v>
      </c>
      <c r="B13" s="11" t="s">
        <v>232</v>
      </c>
      <c r="C13" s="12">
        <v>30</v>
      </c>
      <c r="D13" s="10">
        <v>46.78751</v>
      </c>
      <c r="E13" s="9">
        <f t="shared" si="0"/>
        <v>155.95836666666665</v>
      </c>
      <c r="F13" s="9">
        <f t="shared" si="1"/>
        <v>16.787509999999997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1580</v>
      </c>
      <c r="D14" s="5">
        <f>D15+D16</f>
        <v>1783.18539</v>
      </c>
      <c r="E14" s="5">
        <f t="shared" si="0"/>
        <v>112.85983481012659</v>
      </c>
      <c r="F14" s="5">
        <f t="shared" si="1"/>
        <v>203.1853900000001</v>
      </c>
    </row>
    <row r="15" spans="1:6" s="6" customFormat="1" ht="15.75" customHeight="1">
      <c r="A15" s="7">
        <v>1060100000</v>
      </c>
      <c r="B15" s="11" t="s">
        <v>9</v>
      </c>
      <c r="C15" s="9">
        <v>100</v>
      </c>
      <c r="D15" s="10">
        <v>137.19062</v>
      </c>
      <c r="E15" s="9">
        <f t="shared" si="0"/>
        <v>137.19062</v>
      </c>
      <c r="F15" s="9">
        <f>SUM(D15-C15)</f>
        <v>37.190619999999996</v>
      </c>
    </row>
    <row r="16" spans="1:6" ht="15.75" customHeight="1">
      <c r="A16" s="7">
        <v>1060600000</v>
      </c>
      <c r="B16" s="11" t="s">
        <v>8</v>
      </c>
      <c r="C16" s="9">
        <v>1480</v>
      </c>
      <c r="D16" s="10">
        <v>1645.99477</v>
      </c>
      <c r="E16" s="9">
        <f t="shared" si="0"/>
        <v>111.21586283783785</v>
      </c>
      <c r="F16" s="9">
        <f t="shared" si="1"/>
        <v>165.99477000000002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13.71</v>
      </c>
      <c r="E17" s="5">
        <f t="shared" si="0"/>
        <v>137.1</v>
      </c>
      <c r="F17" s="5">
        <f t="shared" si="1"/>
        <v>3.710000000000001</v>
      </c>
    </row>
    <row r="18" spans="1:6" ht="15.75">
      <c r="A18" s="7">
        <v>1080400001</v>
      </c>
      <c r="B18" s="8" t="s">
        <v>230</v>
      </c>
      <c r="C18" s="9">
        <v>10</v>
      </c>
      <c r="D18" s="9">
        <v>13.71</v>
      </c>
      <c r="E18" s="9">
        <f t="shared" si="0"/>
        <v>137.1</v>
      </c>
      <c r="F18" s="9">
        <f t="shared" si="1"/>
        <v>3.710000000000001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230</v>
      </c>
      <c r="D25" s="5">
        <f>D26+D29+D31+D36+D34</f>
        <v>195.88715</v>
      </c>
      <c r="E25" s="5">
        <f t="shared" si="0"/>
        <v>85.16832608695651</v>
      </c>
      <c r="F25" s="5">
        <f t="shared" si="1"/>
        <v>-34.11285000000001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230</v>
      </c>
      <c r="D26" s="5">
        <f>D27+D28</f>
        <v>192.59106</v>
      </c>
      <c r="E26" s="5">
        <f t="shared" si="0"/>
        <v>83.73524347826087</v>
      </c>
      <c r="F26" s="5">
        <f t="shared" si="1"/>
        <v>-37.40894</v>
      </c>
    </row>
    <row r="27" spans="1:6" ht="15.75" customHeight="1">
      <c r="A27" s="16">
        <v>1110501101</v>
      </c>
      <c r="B27" s="17" t="s">
        <v>228</v>
      </c>
      <c r="C27" s="12">
        <v>200</v>
      </c>
      <c r="D27" s="12">
        <v>143.09106</v>
      </c>
      <c r="E27" s="9">
        <f t="shared" si="0"/>
        <v>71.54553</v>
      </c>
      <c r="F27" s="9">
        <f t="shared" si="1"/>
        <v>-56.90894</v>
      </c>
    </row>
    <row r="28" spans="1:6" ht="17.25" customHeight="1">
      <c r="A28" s="7">
        <v>1110503505</v>
      </c>
      <c r="B28" s="11" t="s">
        <v>227</v>
      </c>
      <c r="C28" s="12">
        <v>30</v>
      </c>
      <c r="D28" s="10">
        <v>49.5</v>
      </c>
      <c r="E28" s="9">
        <f t="shared" si="0"/>
        <v>165</v>
      </c>
      <c r="F28" s="9">
        <f t="shared" si="1"/>
        <v>19.5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226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3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18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8" customHeight="1">
      <c r="A34" s="7">
        <v>1169000000</v>
      </c>
      <c r="B34" s="13" t="s">
        <v>348</v>
      </c>
      <c r="C34" s="9">
        <v>0</v>
      </c>
      <c r="D34" s="10">
        <f>D35</f>
        <v>3.19431</v>
      </c>
      <c r="E34" s="9"/>
      <c r="F34" s="9"/>
    </row>
    <row r="35" spans="1:6" ht="18" customHeight="1">
      <c r="A35" s="7">
        <v>1169005010</v>
      </c>
      <c r="B35" s="8" t="s">
        <v>349</v>
      </c>
      <c r="C35" s="9">
        <v>0</v>
      </c>
      <c r="D35" s="10">
        <v>3.19431</v>
      </c>
      <c r="E35" s="9"/>
      <c r="F35" s="9"/>
    </row>
    <row r="36" spans="1:6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0.10178</v>
      </c>
      <c r="E36" s="5" t="e">
        <f t="shared" si="0"/>
        <v>#DIV/0!</v>
      </c>
      <c r="F36" s="5">
        <f t="shared" si="1"/>
        <v>0.10178</v>
      </c>
    </row>
    <row r="37" spans="1:6" ht="18" customHeight="1">
      <c r="A37" s="7">
        <v>1170105005</v>
      </c>
      <c r="B37" s="8" t="s">
        <v>18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6" ht="18.75" customHeight="1">
      <c r="A38" s="7">
        <v>1170505005</v>
      </c>
      <c r="B38" s="11" t="s">
        <v>223</v>
      </c>
      <c r="C38" s="9">
        <v>0</v>
      </c>
      <c r="D38" s="10">
        <v>0.10178</v>
      </c>
      <c r="E38" s="9" t="e">
        <f t="shared" si="0"/>
        <v>#DIV/0!</v>
      </c>
      <c r="F38" s="9">
        <f t="shared" si="1"/>
        <v>0.10178</v>
      </c>
    </row>
    <row r="39" spans="1:6" s="6" customFormat="1" ht="20.25" customHeight="1">
      <c r="A39" s="3">
        <v>1000000000</v>
      </c>
      <c r="B39" s="4" t="s">
        <v>19</v>
      </c>
      <c r="C39" s="128">
        <f>SUM(C4,C25)</f>
        <v>2470.19</v>
      </c>
      <c r="D39" s="128">
        <f>SUM(D4,D25)</f>
        <v>2696.0355400000003</v>
      </c>
      <c r="E39" s="5">
        <f t="shared" si="0"/>
        <v>109.14284083410588</v>
      </c>
      <c r="F39" s="5">
        <f t="shared" si="1"/>
        <v>225.84554000000026</v>
      </c>
    </row>
    <row r="40" spans="1:7" s="6" customFormat="1" ht="15.75">
      <c r="A40" s="3">
        <v>2000000000</v>
      </c>
      <c r="B40" s="4" t="s">
        <v>20</v>
      </c>
      <c r="C40" s="5">
        <f>C41+C43+C44+C45+C47+C48+C46+C42</f>
        <v>2268.21736</v>
      </c>
      <c r="D40" s="5">
        <f>D41+D43+D44+D45+D47+D48+D42</f>
        <v>2268.21736</v>
      </c>
      <c r="E40" s="5">
        <f t="shared" si="0"/>
        <v>100</v>
      </c>
      <c r="F40" s="5">
        <f t="shared" si="1"/>
        <v>0</v>
      </c>
      <c r="G40" s="19"/>
    </row>
    <row r="41" spans="1:6" ht="15.75">
      <c r="A41" s="16">
        <v>2020100000</v>
      </c>
      <c r="B41" s="17" t="s">
        <v>21</v>
      </c>
      <c r="C41" s="99">
        <v>1261.81</v>
      </c>
      <c r="D41" s="20">
        <v>1261.81</v>
      </c>
      <c r="E41" s="9">
        <f t="shared" si="0"/>
        <v>100</v>
      </c>
      <c r="F41" s="9">
        <f t="shared" si="1"/>
        <v>0</v>
      </c>
    </row>
    <row r="42" spans="1:6" ht="17.25" customHeight="1">
      <c r="A42" s="16">
        <v>2020100310</v>
      </c>
      <c r="B42" s="17" t="s">
        <v>234</v>
      </c>
      <c r="C42" s="12">
        <v>410.476</v>
      </c>
      <c r="D42" s="20">
        <v>410.476</v>
      </c>
      <c r="E42" s="9">
        <f>SUM(D42/C42*100)</f>
        <v>100</v>
      </c>
      <c r="F42" s="9">
        <f>SUM(D42-C42)</f>
        <v>0</v>
      </c>
    </row>
    <row r="43" spans="1:6" ht="15.75">
      <c r="A43" s="16">
        <v>2020200000</v>
      </c>
      <c r="B43" s="17" t="s">
        <v>22</v>
      </c>
      <c r="C43" s="12">
        <v>452.205</v>
      </c>
      <c r="D43" s="10">
        <v>452.205</v>
      </c>
      <c r="E43" s="9">
        <f t="shared" si="0"/>
        <v>100</v>
      </c>
      <c r="F43" s="9">
        <f t="shared" si="1"/>
        <v>0</v>
      </c>
    </row>
    <row r="44" spans="1:6" ht="17.25" customHeight="1">
      <c r="A44" s="16">
        <v>2020300000</v>
      </c>
      <c r="B44" s="17" t="s">
        <v>23</v>
      </c>
      <c r="C44" s="12">
        <v>143.72636</v>
      </c>
      <c r="D44" s="258">
        <v>143.72636</v>
      </c>
      <c r="E44" s="9">
        <f t="shared" si="0"/>
        <v>100</v>
      </c>
      <c r="F44" s="9">
        <f t="shared" si="1"/>
        <v>0</v>
      </c>
    </row>
    <row r="45" spans="1:6" ht="17.25" customHeight="1">
      <c r="A45" s="16">
        <v>2020400000</v>
      </c>
      <c r="B45" s="17" t="s">
        <v>24</v>
      </c>
      <c r="C45" s="12">
        <v>0</v>
      </c>
      <c r="D45" s="259">
        <v>0</v>
      </c>
      <c r="E45" s="9" t="e">
        <f t="shared" si="0"/>
        <v>#DIV/0!</v>
      </c>
      <c r="F45" s="9">
        <f t="shared" si="1"/>
        <v>0</v>
      </c>
    </row>
    <row r="46" spans="1:6" ht="16.5" customHeight="1">
      <c r="A46" s="16">
        <v>2070000000</v>
      </c>
      <c r="B46" s="18" t="s">
        <v>302</v>
      </c>
      <c r="C46" s="12">
        <v>0</v>
      </c>
      <c r="D46" s="259">
        <v>0</v>
      </c>
      <c r="E46" s="9" t="e">
        <f t="shared" si="0"/>
        <v>#DIV/0!</v>
      </c>
      <c r="F46" s="9">
        <f t="shared" si="1"/>
        <v>0</v>
      </c>
    </row>
    <row r="47" spans="1:6" ht="19.5" customHeight="1" hidden="1">
      <c r="A47" s="16">
        <v>2020900000</v>
      </c>
      <c r="B47" s="18" t="s">
        <v>25</v>
      </c>
      <c r="C47" s="12"/>
      <c r="D47" s="259"/>
      <c r="E47" s="9" t="e">
        <f t="shared" si="0"/>
        <v>#DIV/0!</v>
      </c>
      <c r="F47" s="9">
        <f t="shared" si="1"/>
        <v>0</v>
      </c>
    </row>
    <row r="48" spans="1:6" ht="18" customHeight="1" hidden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6" s="6" customFormat="1" ht="18" customHeight="1" hidden="1">
      <c r="A49" s="3">
        <v>3000000000</v>
      </c>
      <c r="B49" s="13" t="s">
        <v>27</v>
      </c>
      <c r="C49" s="123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7.25" customHeight="1">
      <c r="A50" s="3"/>
      <c r="B50" s="4" t="s">
        <v>28</v>
      </c>
      <c r="C50" s="369">
        <f>C39+C40</f>
        <v>4738.40736</v>
      </c>
      <c r="D50" s="370">
        <f>D39+D40</f>
        <v>4964.2529</v>
      </c>
      <c r="E50" s="5">
        <f t="shared" si="0"/>
        <v>104.766275308166</v>
      </c>
      <c r="F50" s="5">
        <f t="shared" si="1"/>
        <v>225.84554000000026</v>
      </c>
      <c r="G50" s="318"/>
    </row>
    <row r="51" spans="1:6" s="6" customFormat="1" ht="15.75">
      <c r="A51" s="3"/>
      <c r="B51" s="21" t="s">
        <v>326</v>
      </c>
      <c r="C51" s="93">
        <f>C50-C97</f>
        <v>-208.11499999999978</v>
      </c>
      <c r="D51" s="93">
        <f>D50-D97</f>
        <v>55.89699000000019</v>
      </c>
      <c r="E51" s="22"/>
      <c r="F51" s="22"/>
    </row>
    <row r="52" spans="1:6" ht="23.25" customHeight="1">
      <c r="A52" s="23"/>
      <c r="B52" s="24"/>
      <c r="C52" s="249"/>
      <c r="D52" s="249"/>
      <c r="E52" s="26"/>
      <c r="F52" s="27"/>
    </row>
    <row r="53" spans="1:6" ht="65.25" customHeight="1">
      <c r="A53" s="28" t="s">
        <v>1</v>
      </c>
      <c r="B53" s="28" t="s">
        <v>29</v>
      </c>
      <c r="C53" s="72" t="s">
        <v>340</v>
      </c>
      <c r="D53" s="104" t="s">
        <v>353</v>
      </c>
      <c r="E53" s="72" t="s">
        <v>3</v>
      </c>
      <c r="F53" s="74" t="s">
        <v>4</v>
      </c>
    </row>
    <row r="54" spans="1:6" ht="19.5" customHeight="1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15.75">
      <c r="A55" s="30" t="s">
        <v>30</v>
      </c>
      <c r="B55" s="31" t="s">
        <v>31</v>
      </c>
      <c r="C55" s="32">
        <f>C56+C57+C58+C59+C60+C62+C61</f>
        <v>1218.681</v>
      </c>
      <c r="D55" s="33">
        <f>D56+D57+D58+D59+D60+D62+D61</f>
        <v>1193.09472</v>
      </c>
      <c r="E55" s="34">
        <f>SUM(D55/C55*100)</f>
        <v>97.90049405874056</v>
      </c>
      <c r="F55" s="34">
        <f>SUM(D55-C55)</f>
        <v>-25.586279999999988</v>
      </c>
    </row>
    <row r="56" spans="1:6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6" ht="15.75">
      <c r="A57" s="35" t="s">
        <v>34</v>
      </c>
      <c r="B57" s="39" t="s">
        <v>35</v>
      </c>
      <c r="C57" s="37">
        <v>1208.7</v>
      </c>
      <c r="D57" s="37">
        <v>1188.11437</v>
      </c>
      <c r="E57" s="38">
        <f aca="true" t="shared" si="3" ref="E57:E97">SUM(D57/C57*100)</f>
        <v>98.29687846446595</v>
      </c>
      <c r="F57" s="38">
        <f aca="true" t="shared" si="4" ref="F57:F97">SUM(D57-C57)</f>
        <v>-20.585630000000037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5.7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6" ht="15.75" customHeight="1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3"/>
        <v>0</v>
      </c>
      <c r="F61" s="38">
        <f t="shared" si="4"/>
        <v>-5</v>
      </c>
    </row>
    <row r="62" spans="1:6" ht="18" customHeight="1">
      <c r="A62" s="35" t="s">
        <v>44</v>
      </c>
      <c r="B62" s="39" t="s">
        <v>45</v>
      </c>
      <c r="C62" s="37">
        <v>4.981</v>
      </c>
      <c r="D62" s="37">
        <v>4.98035</v>
      </c>
      <c r="E62" s="38">
        <f t="shared" si="3"/>
        <v>99.98695041156394</v>
      </c>
      <c r="F62" s="38">
        <f t="shared" si="4"/>
        <v>-0.0006500000000002615</v>
      </c>
    </row>
    <row r="63" spans="1:6" s="6" customFormat="1" ht="15.75">
      <c r="A63" s="41" t="s">
        <v>46</v>
      </c>
      <c r="B63" s="42" t="s">
        <v>47</v>
      </c>
      <c r="C63" s="32">
        <f>C64</f>
        <v>142.76236</v>
      </c>
      <c r="D63" s="32">
        <f>D64</f>
        <v>142.76236</v>
      </c>
      <c r="E63" s="34">
        <f t="shared" si="3"/>
        <v>100</v>
      </c>
      <c r="F63" s="34">
        <f t="shared" si="4"/>
        <v>0</v>
      </c>
    </row>
    <row r="64" spans="1:6" ht="15.75">
      <c r="A64" s="43" t="s">
        <v>48</v>
      </c>
      <c r="B64" s="44" t="s">
        <v>49</v>
      </c>
      <c r="C64" s="37">
        <v>142.76236</v>
      </c>
      <c r="D64" s="37">
        <v>142.76236</v>
      </c>
      <c r="E64" s="38">
        <f t="shared" si="3"/>
        <v>100</v>
      </c>
      <c r="F64" s="38">
        <f t="shared" si="4"/>
        <v>0</v>
      </c>
    </row>
    <row r="65" spans="1:6" s="6" customFormat="1" ht="15.75">
      <c r="A65" s="30" t="s">
        <v>50</v>
      </c>
      <c r="B65" s="31" t="s">
        <v>51</v>
      </c>
      <c r="C65" s="32">
        <f>C69+C68+C67+C66</f>
        <v>5.297</v>
      </c>
      <c r="D65" s="32">
        <f>D69+D68+D67+D66</f>
        <v>5.29674</v>
      </c>
      <c r="E65" s="34">
        <f t="shared" si="3"/>
        <v>99.99509156126109</v>
      </c>
      <c r="F65" s="34">
        <f t="shared" si="4"/>
        <v>-0.00025999999999992696</v>
      </c>
    </row>
    <row r="66" spans="1:6" ht="15.75" hidden="1">
      <c r="A66" s="35" t="s">
        <v>52</v>
      </c>
      <c r="B66" s="39" t="s">
        <v>53</v>
      </c>
      <c r="C66" s="37"/>
      <c r="D66" s="37"/>
      <c r="E66" s="38" t="e">
        <f t="shared" si="3"/>
        <v>#DIV/0!</v>
      </c>
      <c r="F66" s="38">
        <f t="shared" si="4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6" ht="15.75" customHeight="1">
      <c r="A68" s="46" t="s">
        <v>56</v>
      </c>
      <c r="B68" s="47" t="s">
        <v>57</v>
      </c>
      <c r="C68" s="37">
        <v>1.297</v>
      </c>
      <c r="D68" s="37">
        <v>1.29674</v>
      </c>
      <c r="E68" s="38">
        <f t="shared" si="3"/>
        <v>99.97995373939862</v>
      </c>
      <c r="F68" s="38">
        <f t="shared" si="4"/>
        <v>-0.00025999999999992696</v>
      </c>
    </row>
    <row r="69" spans="1:6" ht="15.75" customHeight="1">
      <c r="A69" s="46" t="s">
        <v>221</v>
      </c>
      <c r="B69" s="47" t="s">
        <v>222</v>
      </c>
      <c r="C69" s="37">
        <v>4</v>
      </c>
      <c r="D69" s="37">
        <v>4</v>
      </c>
      <c r="E69" s="38">
        <f>SUM(D69/C69*100)</f>
        <v>100</v>
      </c>
      <c r="F69" s="38">
        <f>SUM(D69-C69)</f>
        <v>0</v>
      </c>
    </row>
    <row r="70" spans="1:6" s="6" customFormat="1" ht="15.75">
      <c r="A70" s="30" t="s">
        <v>58</v>
      </c>
      <c r="B70" s="31" t="s">
        <v>59</v>
      </c>
      <c r="C70" s="48">
        <f>SUM(C71:C74)</f>
        <v>1298.76</v>
      </c>
      <c r="D70" s="48">
        <f>SUM(D71:D74)</f>
        <v>1293.75</v>
      </c>
      <c r="E70" s="34">
        <f t="shared" si="3"/>
        <v>99.61424743601589</v>
      </c>
      <c r="F70" s="34">
        <f t="shared" si="4"/>
        <v>-5.009999999999991</v>
      </c>
    </row>
    <row r="71" spans="1:6" ht="17.25" customHeight="1">
      <c r="A71" s="35" t="s">
        <v>60</v>
      </c>
      <c r="B71" s="39" t="s">
        <v>61</v>
      </c>
      <c r="C71" s="49">
        <v>11.25</v>
      </c>
      <c r="D71" s="37">
        <v>11.25</v>
      </c>
      <c r="E71" s="38">
        <f t="shared" si="3"/>
        <v>100</v>
      </c>
      <c r="F71" s="38">
        <f t="shared" si="4"/>
        <v>0</v>
      </c>
    </row>
    <row r="72" spans="1:7" s="6" customFormat="1" ht="17.25" customHeight="1">
      <c r="A72" s="35" t="s">
        <v>62</v>
      </c>
      <c r="B72" s="39" t="s">
        <v>63</v>
      </c>
      <c r="C72" s="49">
        <v>65.01</v>
      </c>
      <c r="D72" s="37">
        <v>65</v>
      </c>
      <c r="E72" s="38">
        <f t="shared" si="3"/>
        <v>99.9846177511152</v>
      </c>
      <c r="F72" s="38">
        <f t="shared" si="4"/>
        <v>-0.010000000000005116</v>
      </c>
      <c r="G72" s="50"/>
    </row>
    <row r="73" spans="1:6" ht="15.75">
      <c r="A73" s="35" t="s">
        <v>64</v>
      </c>
      <c r="B73" s="39" t="s">
        <v>65</v>
      </c>
      <c r="C73" s="49">
        <v>754.395</v>
      </c>
      <c r="D73" s="37">
        <v>754.395</v>
      </c>
      <c r="E73" s="38">
        <f t="shared" si="3"/>
        <v>100</v>
      </c>
      <c r="F73" s="38">
        <f t="shared" si="4"/>
        <v>0</v>
      </c>
    </row>
    <row r="74" spans="1:6" ht="15.75">
      <c r="A74" s="35" t="s">
        <v>66</v>
      </c>
      <c r="B74" s="39" t="s">
        <v>67</v>
      </c>
      <c r="C74" s="49">
        <v>468.105</v>
      </c>
      <c r="D74" s="37">
        <v>463.105</v>
      </c>
      <c r="E74" s="38">
        <f t="shared" si="3"/>
        <v>98.93186357761613</v>
      </c>
      <c r="F74" s="38">
        <f t="shared" si="4"/>
        <v>-5</v>
      </c>
    </row>
    <row r="75" spans="1:6" s="6" customFormat="1" ht="18.75" customHeight="1">
      <c r="A75" s="30" t="s">
        <v>68</v>
      </c>
      <c r="B75" s="31" t="s">
        <v>69</v>
      </c>
      <c r="C75" s="32">
        <f>SUM(C76:C79)</f>
        <v>717.522</v>
      </c>
      <c r="D75" s="32">
        <f>SUM(D76:D79)</f>
        <v>710.03009</v>
      </c>
      <c r="E75" s="34">
        <f t="shared" si="3"/>
        <v>98.95586337422405</v>
      </c>
      <c r="F75" s="34">
        <f t="shared" si="4"/>
        <v>-7.491910000000075</v>
      </c>
    </row>
    <row r="76" spans="1:6" ht="15.75" hidden="1">
      <c r="A76" s="35" t="s">
        <v>70</v>
      </c>
      <c r="B76" s="51" t="s">
        <v>71</v>
      </c>
      <c r="C76" s="37"/>
      <c r="D76" s="37"/>
      <c r="E76" s="38" t="e">
        <f t="shared" si="3"/>
        <v>#DIV/0!</v>
      </c>
      <c r="F76" s="38">
        <f t="shared" si="4"/>
        <v>0</v>
      </c>
    </row>
    <row r="77" spans="1:6" ht="15.75" customHeight="1" hidden="1">
      <c r="A77" s="35" t="s">
        <v>72</v>
      </c>
      <c r="B77" s="51" t="s">
        <v>73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6" ht="18" customHeight="1">
      <c r="A78" s="35" t="s">
        <v>74</v>
      </c>
      <c r="B78" s="39" t="s">
        <v>75</v>
      </c>
      <c r="C78" s="37">
        <v>717.522</v>
      </c>
      <c r="D78" s="37">
        <v>710.03009</v>
      </c>
      <c r="E78" s="38">
        <f t="shared" si="3"/>
        <v>98.95586337422405</v>
      </c>
      <c r="F78" s="38">
        <f t="shared" si="4"/>
        <v>-7.491910000000075</v>
      </c>
    </row>
    <row r="79" spans="1:6" ht="31.5" hidden="1">
      <c r="A79" s="35" t="s">
        <v>266</v>
      </c>
      <c r="B79" s="39" t="s">
        <v>281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6" s="6" customFormat="1" ht="15.75">
      <c r="A80" s="30" t="s">
        <v>86</v>
      </c>
      <c r="B80" s="31" t="s">
        <v>87</v>
      </c>
      <c r="C80" s="32">
        <f>C81</f>
        <v>1561.5</v>
      </c>
      <c r="D80" s="32">
        <f>SUM(D81)</f>
        <v>1561.422</v>
      </c>
      <c r="E80" s="34">
        <f t="shared" si="3"/>
        <v>99.99500480307397</v>
      </c>
      <c r="F80" s="34">
        <f t="shared" si="4"/>
        <v>-0.07799999999997453</v>
      </c>
    </row>
    <row r="81" spans="1:6" ht="15.75" customHeight="1">
      <c r="A81" s="35" t="s">
        <v>88</v>
      </c>
      <c r="B81" s="39" t="s">
        <v>236</v>
      </c>
      <c r="C81" s="37">
        <v>1561.5</v>
      </c>
      <c r="D81" s="37">
        <v>1561.422</v>
      </c>
      <c r="E81" s="38">
        <f t="shared" si="3"/>
        <v>99.99500480307397</v>
      </c>
      <c r="F81" s="38">
        <f t="shared" si="4"/>
        <v>-0.07799999999997453</v>
      </c>
    </row>
    <row r="82" spans="1:6" s="6" customFormat="1" ht="18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0.75" customHeight="1" hidden="1">
      <c r="A83" s="53">
        <v>1001</v>
      </c>
      <c r="B83" s="54" t="s">
        <v>90</v>
      </c>
      <c r="C83" s="37"/>
      <c r="D83" s="32">
        <v>0</v>
      </c>
      <c r="E83" s="38" t="e">
        <f t="shared" si="3"/>
        <v>#DIV/0!</v>
      </c>
      <c r="F83" s="38">
        <f t="shared" si="4"/>
        <v>0</v>
      </c>
    </row>
    <row r="84" spans="1:6" ht="18.75" customHeight="1" hidden="1">
      <c r="A84" s="53">
        <v>1003</v>
      </c>
      <c r="B84" s="54" t="s">
        <v>91</v>
      </c>
      <c r="C84" s="37">
        <v>0</v>
      </c>
      <c r="D84" s="32">
        <v>0</v>
      </c>
      <c r="E84" s="38" t="e">
        <f t="shared" si="3"/>
        <v>#DIV/0!</v>
      </c>
      <c r="F84" s="38">
        <f t="shared" si="4"/>
        <v>0</v>
      </c>
    </row>
    <row r="85" spans="1:6" ht="19.5" customHeight="1" hidden="1">
      <c r="A85" s="53">
        <v>1004</v>
      </c>
      <c r="B85" s="54" t="s">
        <v>92</v>
      </c>
      <c r="C85" s="37">
        <v>0</v>
      </c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 ht="15.75" customHeight="1">
      <c r="A87" s="30" t="s">
        <v>95</v>
      </c>
      <c r="B87" s="31" t="s">
        <v>96</v>
      </c>
      <c r="C87" s="32">
        <f>C88+C89+C90+C91+C92</f>
        <v>2</v>
      </c>
      <c r="D87" s="32">
        <f>D88+D89+D90+D91+D92</f>
        <v>2</v>
      </c>
      <c r="E87" s="38">
        <f t="shared" si="3"/>
        <v>100</v>
      </c>
      <c r="F87" s="22">
        <f>F88+F89+F90+F91+F92</f>
        <v>0</v>
      </c>
    </row>
    <row r="88" spans="1:6" ht="13.5" customHeight="1">
      <c r="A88" s="35" t="s">
        <v>97</v>
      </c>
      <c r="B88" s="39" t="s">
        <v>98</v>
      </c>
      <c r="C88" s="37">
        <v>2</v>
      </c>
      <c r="D88" s="37">
        <v>2</v>
      </c>
      <c r="E88" s="38">
        <f t="shared" si="3"/>
        <v>100</v>
      </c>
      <c r="F88" s="38">
        <f>SUM(D88-C88)</f>
        <v>0</v>
      </c>
    </row>
    <row r="89" spans="1:6" ht="15" customHeight="1" hidden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" customHeight="1" hidden="1">
      <c r="A90" s="35" t="s">
        <v>101</v>
      </c>
      <c r="B90" s="39" t="s">
        <v>102</v>
      </c>
      <c r="C90" s="37"/>
      <c r="D90" s="37"/>
      <c r="E90" s="38" t="e">
        <f t="shared" si="3"/>
        <v>#DIV/0!</v>
      </c>
      <c r="F90" s="38"/>
    </row>
    <row r="91" spans="1:6" ht="15" customHeight="1" hidden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" customHeight="1" hidden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0.75" customHeight="1" hidden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" customHeight="1" hidden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57.75" customHeight="1" hidden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5" customHeight="1" hidden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317">
        <f>C55+C63+C65+C70+C75+C80+C82+C87+C93</f>
        <v>4946.52236</v>
      </c>
      <c r="D97" s="317">
        <f>D55+D63+D65+D70+D75+D80+D82+D87+D93</f>
        <v>4908.35591</v>
      </c>
      <c r="E97" s="34">
        <f t="shared" si="3"/>
        <v>99.22841852877019</v>
      </c>
      <c r="F97" s="34">
        <f t="shared" si="4"/>
        <v>-38.16644999999971</v>
      </c>
    </row>
    <row r="98" spans="3:4" ht="20.25" customHeight="1">
      <c r="C98" s="118"/>
      <c r="D98" s="61"/>
    </row>
    <row r="99" spans="1:4" s="65" customFormat="1" ht="13.5" customHeight="1">
      <c r="A99" s="63" t="s">
        <v>120</v>
      </c>
      <c r="B99" s="63"/>
      <c r="C99" s="64"/>
      <c r="D99" s="64"/>
    </row>
    <row r="100" spans="1:4" s="65" customFormat="1" ht="12.75">
      <c r="A100" s="66" t="s">
        <v>121</v>
      </c>
      <c r="B100" s="66"/>
      <c r="C100" s="135" t="s">
        <v>122</v>
      </c>
      <c r="D100" s="135"/>
    </row>
    <row r="101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0" zoomScaleSheetLayoutView="70" zoomScalePageLayoutView="0" workbookViewId="0" topLeftCell="A29">
      <selection activeCell="B145" sqref="B145"/>
    </sheetView>
  </sheetViews>
  <sheetFormatPr defaultColWidth="9.140625" defaultRowHeight="12.75"/>
  <cols>
    <col min="1" max="1" width="17.00390625" style="58" customWidth="1"/>
    <col min="2" max="2" width="57.57421875" style="59" customWidth="1"/>
    <col min="3" max="3" width="16.57421875" style="62" customWidth="1"/>
    <col min="4" max="4" width="19.140625" style="62" customWidth="1"/>
    <col min="5" max="5" width="13.8515625" style="62" customWidth="1"/>
    <col min="6" max="6" width="12.5742187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370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1764.8736099999999</v>
      </c>
      <c r="D4" s="5">
        <f>D5+D12+D14+D17+D7+D20</f>
        <v>1726.73835</v>
      </c>
      <c r="E4" s="5">
        <f>SUM(D4/C4*100)</f>
        <v>97.83920730731535</v>
      </c>
      <c r="F4" s="5">
        <f>SUM(D4-C4)</f>
        <v>-38.13525999999979</v>
      </c>
    </row>
    <row r="5" spans="1:6" s="6" customFormat="1" ht="15.75">
      <c r="A5" s="68">
        <v>1010000000</v>
      </c>
      <c r="B5" s="67" t="s">
        <v>6</v>
      </c>
      <c r="C5" s="5">
        <f>C6</f>
        <v>137.66</v>
      </c>
      <c r="D5" s="5">
        <f>D6</f>
        <v>105.06207</v>
      </c>
      <c r="E5" s="5">
        <f aca="true" t="shared" si="0" ref="E5:E49">SUM(D5/C5*100)</f>
        <v>76.31996949004794</v>
      </c>
      <c r="F5" s="5">
        <f aca="true" t="shared" si="1" ref="F5:F49">SUM(D5-C5)</f>
        <v>-32.59792999999999</v>
      </c>
    </row>
    <row r="6" spans="1:6" ht="15.75">
      <c r="A6" s="7">
        <v>1010200001</v>
      </c>
      <c r="B6" s="8" t="s">
        <v>231</v>
      </c>
      <c r="C6" s="9">
        <v>137.66</v>
      </c>
      <c r="D6" s="10">
        <v>105.06207</v>
      </c>
      <c r="E6" s="9">
        <f aca="true" t="shared" si="2" ref="E6:E11">SUM(D6/C6*100)</f>
        <v>76.31996949004794</v>
      </c>
      <c r="F6" s="9">
        <f t="shared" si="1"/>
        <v>-32.59792999999999</v>
      </c>
    </row>
    <row r="7" spans="1:6" ht="31.5">
      <c r="A7" s="3">
        <v>1030000000</v>
      </c>
      <c r="B7" s="13" t="s">
        <v>285</v>
      </c>
      <c r="C7" s="5">
        <f>C8+C10+C9</f>
        <v>492.21360999999996</v>
      </c>
      <c r="D7" s="5">
        <f>D8+D10+D9+D11</f>
        <v>505.86890000000005</v>
      </c>
      <c r="E7" s="9">
        <f t="shared" si="2"/>
        <v>102.77426095552298</v>
      </c>
      <c r="F7" s="9">
        <f t="shared" si="1"/>
        <v>13.655290000000093</v>
      </c>
    </row>
    <row r="8" spans="1:6" ht="15.75">
      <c r="A8" s="7">
        <v>1030223001</v>
      </c>
      <c r="B8" s="8" t="s">
        <v>287</v>
      </c>
      <c r="C8" s="9">
        <v>171.05361</v>
      </c>
      <c r="D8" s="10">
        <v>207.86121</v>
      </c>
      <c r="E8" s="9">
        <f t="shared" si="2"/>
        <v>121.51816614685889</v>
      </c>
      <c r="F8" s="9">
        <f t="shared" si="1"/>
        <v>36.80760000000001</v>
      </c>
    </row>
    <row r="9" spans="1:6" ht="15.75">
      <c r="A9" s="7">
        <v>1030224001</v>
      </c>
      <c r="B9" s="8" t="s">
        <v>293</v>
      </c>
      <c r="C9" s="9">
        <v>1.9</v>
      </c>
      <c r="D9" s="10">
        <v>2.11014</v>
      </c>
      <c r="E9" s="9">
        <f t="shared" si="2"/>
        <v>111.06</v>
      </c>
      <c r="F9" s="9">
        <f t="shared" si="1"/>
        <v>0.21014</v>
      </c>
    </row>
    <row r="10" spans="1:6" ht="15.75">
      <c r="A10" s="7">
        <v>1030225001</v>
      </c>
      <c r="B10" s="8" t="s">
        <v>286</v>
      </c>
      <c r="C10" s="9">
        <v>319.26</v>
      </c>
      <c r="D10" s="10">
        <v>336.15535</v>
      </c>
      <c r="E10" s="9">
        <f t="shared" si="2"/>
        <v>105.2920347052559</v>
      </c>
      <c r="F10" s="9">
        <f t="shared" si="1"/>
        <v>16.895350000000008</v>
      </c>
    </row>
    <row r="11" spans="1:6" ht="15.75">
      <c r="A11" s="7">
        <v>1030226001</v>
      </c>
      <c r="B11" s="8" t="s">
        <v>295</v>
      </c>
      <c r="C11" s="9">
        <v>0</v>
      </c>
      <c r="D11" s="10">
        <v>-40.2578</v>
      </c>
      <c r="E11" s="9" t="e">
        <f t="shared" si="2"/>
        <v>#DIV/0!</v>
      </c>
      <c r="F11" s="9">
        <f t="shared" si="1"/>
        <v>-40.2578</v>
      </c>
    </row>
    <row r="12" spans="1:6" s="6" customFormat="1" ht="15.75">
      <c r="A12" s="68">
        <v>1050000000</v>
      </c>
      <c r="B12" s="67" t="s">
        <v>7</v>
      </c>
      <c r="C12" s="5">
        <f>SUM(C13:C13)</f>
        <v>185</v>
      </c>
      <c r="D12" s="5">
        <f>D13</f>
        <v>39.1514</v>
      </c>
      <c r="E12" s="5">
        <f t="shared" si="0"/>
        <v>21.162918918918923</v>
      </c>
      <c r="F12" s="5">
        <f t="shared" si="1"/>
        <v>-145.8486</v>
      </c>
    </row>
    <row r="13" spans="1:6" ht="15.75" customHeight="1">
      <c r="A13" s="7">
        <v>1050300000</v>
      </c>
      <c r="B13" s="11" t="s">
        <v>232</v>
      </c>
      <c r="C13" s="12">
        <v>185</v>
      </c>
      <c r="D13" s="10">
        <v>39.1514</v>
      </c>
      <c r="E13" s="9">
        <f t="shared" si="0"/>
        <v>21.162918918918923</v>
      </c>
      <c r="F13" s="9">
        <f t="shared" si="1"/>
        <v>-145.8486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940</v>
      </c>
      <c r="D14" s="5">
        <f>D15+D16</f>
        <v>1069.40598</v>
      </c>
      <c r="E14" s="5">
        <f t="shared" si="0"/>
        <v>113.76659361702129</v>
      </c>
      <c r="F14" s="5">
        <f t="shared" si="1"/>
        <v>129.40598</v>
      </c>
    </row>
    <row r="15" spans="1:6" s="6" customFormat="1" ht="15.75" customHeight="1">
      <c r="A15" s="7">
        <v>1060100000</v>
      </c>
      <c r="B15" s="11" t="s">
        <v>9</v>
      </c>
      <c r="C15" s="9">
        <v>90</v>
      </c>
      <c r="D15" s="10">
        <v>103.88317</v>
      </c>
      <c r="E15" s="9">
        <f t="shared" si="0"/>
        <v>115.42574444444445</v>
      </c>
      <c r="F15" s="9">
        <f>SUM(D15-C15)</f>
        <v>13.883170000000007</v>
      </c>
    </row>
    <row r="16" spans="1:6" ht="15.75" customHeight="1">
      <c r="A16" s="7">
        <v>1060600000</v>
      </c>
      <c r="B16" s="11" t="s">
        <v>8</v>
      </c>
      <c r="C16" s="9">
        <v>850</v>
      </c>
      <c r="D16" s="10">
        <v>965.52281</v>
      </c>
      <c r="E16" s="9">
        <f t="shared" si="0"/>
        <v>113.5909188235294</v>
      </c>
      <c r="F16" s="9">
        <f t="shared" si="1"/>
        <v>115.52281000000005</v>
      </c>
    </row>
    <row r="17" spans="1:6" s="6" customFormat="1" ht="15.75">
      <c r="A17" s="3">
        <v>1080000000</v>
      </c>
      <c r="B17" s="4" t="s">
        <v>11</v>
      </c>
      <c r="C17" s="5">
        <f>C18+C19</f>
        <v>10</v>
      </c>
      <c r="D17" s="5">
        <f>D18+D19</f>
        <v>7.25</v>
      </c>
      <c r="E17" s="5">
        <f t="shared" si="0"/>
        <v>72.5</v>
      </c>
      <c r="F17" s="5">
        <f t="shared" si="1"/>
        <v>-2.75</v>
      </c>
    </row>
    <row r="18" spans="1:6" ht="18.75" customHeight="1">
      <c r="A18" s="7">
        <v>1080400001</v>
      </c>
      <c r="B18" s="8" t="s">
        <v>230</v>
      </c>
      <c r="C18" s="9">
        <v>10</v>
      </c>
      <c r="D18" s="10">
        <v>7.25</v>
      </c>
      <c r="E18" s="9">
        <f t="shared" si="0"/>
        <v>72.5</v>
      </c>
      <c r="F18" s="9">
        <f t="shared" si="1"/>
        <v>-2.75</v>
      </c>
    </row>
    <row r="19" spans="1:6" ht="36.7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166</v>
      </c>
      <c r="D25" s="5">
        <f>D26+D29+D31+D36+D34</f>
        <v>176.38768</v>
      </c>
      <c r="E25" s="5">
        <f t="shared" si="0"/>
        <v>106.25763855421685</v>
      </c>
      <c r="F25" s="5">
        <f t="shared" si="1"/>
        <v>10.387679999999989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166</v>
      </c>
      <c r="D26" s="5">
        <f>D27+D28</f>
        <v>27.77376</v>
      </c>
      <c r="E26" s="5">
        <f t="shared" si="0"/>
        <v>16.731180722891565</v>
      </c>
      <c r="F26" s="5">
        <f t="shared" si="1"/>
        <v>-138.22624</v>
      </c>
    </row>
    <row r="27" spans="1:6" ht="15.75">
      <c r="A27" s="16">
        <v>1110502510</v>
      </c>
      <c r="B27" s="17" t="s">
        <v>228</v>
      </c>
      <c r="C27" s="12">
        <v>160</v>
      </c>
      <c r="D27" s="10">
        <v>21</v>
      </c>
      <c r="E27" s="9">
        <f t="shared" si="0"/>
        <v>13.125</v>
      </c>
      <c r="F27" s="9">
        <f t="shared" si="1"/>
        <v>-139</v>
      </c>
    </row>
    <row r="28" spans="1:6" ht="30" customHeight="1">
      <c r="A28" s="7">
        <v>1110503505</v>
      </c>
      <c r="B28" s="11" t="s">
        <v>227</v>
      </c>
      <c r="C28" s="12">
        <v>6</v>
      </c>
      <c r="D28" s="10">
        <v>6.77376</v>
      </c>
      <c r="E28" s="9">
        <f t="shared" si="0"/>
        <v>112.896</v>
      </c>
      <c r="F28" s="9">
        <f t="shared" si="1"/>
        <v>0.7737600000000002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3.90044</v>
      </c>
      <c r="E29" s="5" t="e">
        <f t="shared" si="0"/>
        <v>#DIV/0!</v>
      </c>
      <c r="F29" s="5">
        <f t="shared" si="1"/>
        <v>3.90044</v>
      </c>
    </row>
    <row r="30" spans="1:6" ht="37.5" customHeight="1">
      <c r="A30" s="7">
        <v>1130206005</v>
      </c>
      <c r="B30" s="8" t="s">
        <v>15</v>
      </c>
      <c r="C30" s="9">
        <v>0</v>
      </c>
      <c r="D30" s="10">
        <v>3.90044</v>
      </c>
      <c r="E30" s="9" t="e">
        <f t="shared" si="0"/>
        <v>#DIV/0!</v>
      </c>
      <c r="F30" s="9">
        <f t="shared" si="1"/>
        <v>3.90044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3.2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7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7" customHeight="1">
      <c r="A34" s="3">
        <v>1160000000</v>
      </c>
      <c r="B34" s="13" t="s">
        <v>254</v>
      </c>
      <c r="C34" s="9"/>
      <c r="D34" s="10">
        <v>49.71348</v>
      </c>
      <c r="E34" s="9"/>
      <c r="F34" s="9"/>
    </row>
    <row r="35" spans="1:6" ht="27" customHeight="1">
      <c r="A35" s="7">
        <v>1163305010</v>
      </c>
      <c r="B35" s="8" t="s">
        <v>270</v>
      </c>
      <c r="C35" s="9"/>
      <c r="D35" s="10">
        <v>49.71348</v>
      </c>
      <c r="E35" s="9"/>
      <c r="F35" s="9"/>
    </row>
    <row r="36" spans="1:6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95</v>
      </c>
      <c r="E36" s="5" t="e">
        <f t="shared" si="0"/>
        <v>#DIV/0!</v>
      </c>
      <c r="F36" s="5">
        <f t="shared" si="1"/>
        <v>95</v>
      </c>
    </row>
    <row r="37" spans="1:6" ht="17.25" customHeight="1">
      <c r="A37" s="7">
        <v>1170105005</v>
      </c>
      <c r="B37" s="8" t="s">
        <v>18</v>
      </c>
      <c r="C37" s="9">
        <f>C38</f>
        <v>0</v>
      </c>
      <c r="D37" s="9">
        <v>95</v>
      </c>
      <c r="E37" s="9" t="e">
        <f t="shared" si="0"/>
        <v>#DIV/0!</v>
      </c>
      <c r="F37" s="9">
        <f t="shared" si="1"/>
        <v>95</v>
      </c>
    </row>
    <row r="38" spans="1:6" ht="19.5" customHeight="1">
      <c r="A38" s="7">
        <v>1170505005</v>
      </c>
      <c r="B38" s="11" t="s">
        <v>223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15" customHeight="1">
      <c r="A39" s="3">
        <v>1000000000</v>
      </c>
      <c r="B39" s="4" t="s">
        <v>19</v>
      </c>
      <c r="C39" s="128">
        <f>SUM(C4,C25)</f>
        <v>1930.8736099999999</v>
      </c>
      <c r="D39" s="128">
        <f>SUM(D4,D25)</f>
        <v>1903.1260300000001</v>
      </c>
      <c r="E39" s="5">
        <f t="shared" si="0"/>
        <v>98.56295203081677</v>
      </c>
      <c r="F39" s="5">
        <f t="shared" si="1"/>
        <v>-27.747579999999743</v>
      </c>
    </row>
    <row r="40" spans="1:7" s="6" customFormat="1" ht="15.75">
      <c r="A40" s="3">
        <v>2000000000</v>
      </c>
      <c r="B40" s="4" t="s">
        <v>20</v>
      </c>
      <c r="C40" s="5">
        <f>C41+C42+C43+C44+C48</f>
        <v>3992.51768</v>
      </c>
      <c r="D40" s="316">
        <f>D41+D43+D44+D45+D46+D47+D48+D42</f>
        <v>3992.51768</v>
      </c>
      <c r="E40" s="5">
        <f t="shared" si="0"/>
        <v>100</v>
      </c>
      <c r="F40" s="5">
        <f t="shared" si="1"/>
        <v>0</v>
      </c>
      <c r="G40" s="19"/>
    </row>
    <row r="41" spans="1:6" ht="15.75">
      <c r="A41" s="16">
        <v>2020100000</v>
      </c>
      <c r="B41" s="17" t="s">
        <v>21</v>
      </c>
      <c r="C41" s="12">
        <v>2537.19</v>
      </c>
      <c r="D41" s="20">
        <v>2537.19</v>
      </c>
      <c r="E41" s="9">
        <f t="shared" si="0"/>
        <v>100</v>
      </c>
      <c r="F41" s="9">
        <f t="shared" si="1"/>
        <v>0</v>
      </c>
    </row>
    <row r="42" spans="1:6" ht="17.25" customHeight="1">
      <c r="A42" s="16">
        <v>2020100310</v>
      </c>
      <c r="B42" s="17" t="s">
        <v>234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6" ht="15.75">
      <c r="A43" s="16">
        <v>2020200000</v>
      </c>
      <c r="B43" s="17" t="s">
        <v>22</v>
      </c>
      <c r="C43" s="12">
        <v>1308.65</v>
      </c>
      <c r="D43" s="10">
        <v>1308.65</v>
      </c>
      <c r="E43" s="9">
        <f t="shared" si="0"/>
        <v>100</v>
      </c>
      <c r="F43" s="9">
        <f t="shared" si="1"/>
        <v>0</v>
      </c>
    </row>
    <row r="44" spans="1:6" ht="17.25" customHeight="1">
      <c r="A44" s="16">
        <v>2020300000</v>
      </c>
      <c r="B44" s="17" t="s">
        <v>23</v>
      </c>
      <c r="C44" s="12">
        <v>146.67768</v>
      </c>
      <c r="D44" s="258">
        <v>146.67768</v>
      </c>
      <c r="E44" s="9">
        <f t="shared" si="0"/>
        <v>100</v>
      </c>
      <c r="F44" s="9">
        <f t="shared" si="1"/>
        <v>0</v>
      </c>
    </row>
    <row r="45" spans="1:6" ht="0.75" customHeight="1" hidden="1">
      <c r="A45" s="16">
        <v>2020400000</v>
      </c>
      <c r="B45" s="17" t="s">
        <v>24</v>
      </c>
      <c r="C45" s="12"/>
      <c r="D45" s="259"/>
      <c r="E45" s="9" t="e">
        <f t="shared" si="0"/>
        <v>#DIV/0!</v>
      </c>
      <c r="F45" s="9">
        <f t="shared" si="1"/>
        <v>0</v>
      </c>
    </row>
    <row r="46" spans="1:6" ht="18" customHeight="1" hidden="1">
      <c r="A46" s="16">
        <v>2020900000</v>
      </c>
      <c r="B46" s="18" t="s">
        <v>25</v>
      </c>
      <c r="C46" s="12"/>
      <c r="D46" s="259"/>
      <c r="E46" s="9" t="e">
        <f t="shared" si="0"/>
        <v>#DIV/0!</v>
      </c>
      <c r="F46" s="9">
        <f t="shared" si="1"/>
        <v>0</v>
      </c>
    </row>
    <row r="47" spans="1:6" ht="18" customHeight="1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6" s="6" customFormat="1" ht="18.75" customHeight="1">
      <c r="A48" s="7">
        <v>2020400000</v>
      </c>
      <c r="B48" s="8" t="s">
        <v>24</v>
      </c>
      <c r="C48" s="12">
        <v>0</v>
      </c>
      <c r="D48" s="10">
        <v>0</v>
      </c>
      <c r="E48" s="5" t="e">
        <f t="shared" si="0"/>
        <v>#DIV/0!</v>
      </c>
      <c r="F48" s="5">
        <f t="shared" si="1"/>
        <v>0</v>
      </c>
    </row>
    <row r="49" spans="1:6" s="6" customFormat="1" ht="19.5" customHeight="1">
      <c r="A49" s="3"/>
      <c r="B49" s="4" t="s">
        <v>28</v>
      </c>
      <c r="C49" s="316">
        <f>C39+C40</f>
        <v>5923.39129</v>
      </c>
      <c r="D49" s="316">
        <f>SUM(D39,D40,)</f>
        <v>5895.64371</v>
      </c>
      <c r="E49" s="5">
        <f t="shared" si="0"/>
        <v>99.53155922610003</v>
      </c>
      <c r="F49" s="5">
        <f t="shared" si="1"/>
        <v>-27.74757999999929</v>
      </c>
    </row>
    <row r="50" spans="1:6" s="6" customFormat="1" ht="15.75">
      <c r="A50" s="3"/>
      <c r="B50" s="21" t="s">
        <v>326</v>
      </c>
      <c r="C50" s="5">
        <f>C49-C95</f>
        <v>-1105.7030000000013</v>
      </c>
      <c r="D50" s="5">
        <f>D49-D95</f>
        <v>-531.52981</v>
      </c>
      <c r="E50" s="22"/>
      <c r="F50" s="22"/>
    </row>
    <row r="51" spans="1:6" ht="15.75">
      <c r="A51" s="23"/>
      <c r="B51" s="24"/>
      <c r="C51" s="257"/>
      <c r="D51" s="257"/>
      <c r="E51" s="26"/>
      <c r="F51" s="92"/>
    </row>
    <row r="52" spans="1:6" ht="54.75" customHeight="1">
      <c r="A52" s="28" t="s">
        <v>1</v>
      </c>
      <c r="B52" s="28" t="s">
        <v>29</v>
      </c>
      <c r="C52" s="250" t="s">
        <v>340</v>
      </c>
      <c r="D52" s="251" t="s">
        <v>353</v>
      </c>
      <c r="E52" s="72" t="s">
        <v>3</v>
      </c>
      <c r="F52" s="74" t="s">
        <v>4</v>
      </c>
    </row>
    <row r="53" spans="1:6" ht="15.75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32.25" customHeight="1">
      <c r="A54" s="30" t="s">
        <v>30</v>
      </c>
      <c r="B54" s="31" t="s">
        <v>31</v>
      </c>
      <c r="C54" s="32">
        <f>C55+C56+C57+C58+C59+C61+C60</f>
        <v>1295.833</v>
      </c>
      <c r="D54" s="32">
        <f>D55+D56+D57+D58+D59+D61+D60</f>
        <v>1190.27353</v>
      </c>
      <c r="E54" s="34">
        <f>SUM(D54/C54*100)</f>
        <v>91.85392948011047</v>
      </c>
      <c r="F54" s="34">
        <f>SUM(D54-C54)</f>
        <v>-105.55947000000015</v>
      </c>
    </row>
    <row r="55" spans="1:6" s="6" customFormat="1" ht="31.5" hidden="1">
      <c r="A55" s="35" t="s">
        <v>32</v>
      </c>
      <c r="B55" s="36" t="s">
        <v>33</v>
      </c>
      <c r="C55" s="37"/>
      <c r="D55" s="37"/>
      <c r="E55" s="38"/>
      <c r="F55" s="38"/>
    </row>
    <row r="56" spans="1:6" ht="15.75">
      <c r="A56" s="35" t="s">
        <v>34</v>
      </c>
      <c r="B56" s="39" t="s">
        <v>35</v>
      </c>
      <c r="C56" s="37">
        <v>1256.17</v>
      </c>
      <c r="D56" s="37">
        <v>1155.61053</v>
      </c>
      <c r="E56" s="38">
        <f aca="true" t="shared" si="3" ref="E56:E95">SUM(D56/C56*100)</f>
        <v>91.99475628298717</v>
      </c>
      <c r="F56" s="38">
        <f aca="true" t="shared" si="4" ref="F56:F95">SUM(D56-C56)</f>
        <v>-100.55947000000015</v>
      </c>
    </row>
    <row r="57" spans="1:6" ht="16.5" customHeight="1" hidden="1">
      <c r="A57" s="35" t="s">
        <v>36</v>
      </c>
      <c r="B57" s="39" t="s">
        <v>37</v>
      </c>
      <c r="C57" s="37"/>
      <c r="D57" s="37"/>
      <c r="E57" s="38"/>
      <c r="F57" s="38">
        <f t="shared" si="4"/>
        <v>0</v>
      </c>
    </row>
    <row r="58" spans="1:6" ht="31.5" customHeight="1" hidden="1">
      <c r="A58" s="35" t="s">
        <v>38</v>
      </c>
      <c r="B58" s="39" t="s">
        <v>39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6" ht="17.25" customHeight="1">
      <c r="A59" s="35" t="s">
        <v>40</v>
      </c>
      <c r="B59" s="39" t="s">
        <v>41</v>
      </c>
      <c r="C59" s="37">
        <v>30</v>
      </c>
      <c r="D59" s="37">
        <v>30</v>
      </c>
      <c r="E59" s="38">
        <f t="shared" si="3"/>
        <v>100</v>
      </c>
      <c r="F59" s="38">
        <f t="shared" si="4"/>
        <v>0</v>
      </c>
    </row>
    <row r="60" spans="1:6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6" ht="14.25" customHeight="1">
      <c r="A61" s="35" t="s">
        <v>44</v>
      </c>
      <c r="B61" s="39" t="s">
        <v>45</v>
      </c>
      <c r="C61" s="37">
        <v>4.663</v>
      </c>
      <c r="D61" s="37">
        <v>4.663</v>
      </c>
      <c r="E61" s="38">
        <f t="shared" si="3"/>
        <v>100</v>
      </c>
      <c r="F61" s="38">
        <f t="shared" si="4"/>
        <v>0</v>
      </c>
    </row>
    <row r="62" spans="1:6" s="6" customFormat="1" ht="15.75">
      <c r="A62" s="41" t="s">
        <v>46</v>
      </c>
      <c r="B62" s="42" t="s">
        <v>47</v>
      </c>
      <c r="C62" s="32">
        <f>C63</f>
        <v>146.04608</v>
      </c>
      <c r="D62" s="32">
        <f>D63</f>
        <v>146.04608</v>
      </c>
      <c r="E62" s="34">
        <f t="shared" si="3"/>
        <v>100</v>
      </c>
      <c r="F62" s="34">
        <f t="shared" si="4"/>
        <v>0</v>
      </c>
    </row>
    <row r="63" spans="1:6" ht="15.75">
      <c r="A63" s="43" t="s">
        <v>48</v>
      </c>
      <c r="B63" s="44" t="s">
        <v>49</v>
      </c>
      <c r="C63" s="37">
        <v>146.04608</v>
      </c>
      <c r="D63" s="37">
        <v>146.04608</v>
      </c>
      <c r="E63" s="38">
        <f t="shared" si="3"/>
        <v>100</v>
      </c>
      <c r="F63" s="38">
        <f t="shared" si="4"/>
        <v>0</v>
      </c>
    </row>
    <row r="64" spans="1:6" s="6" customFormat="1" ht="18.75" customHeight="1">
      <c r="A64" s="30" t="s">
        <v>50</v>
      </c>
      <c r="B64" s="31" t="s">
        <v>51</v>
      </c>
      <c r="C64" s="32">
        <f>C67+C68</f>
        <v>12</v>
      </c>
      <c r="D64" s="32">
        <f>D67+D68</f>
        <v>3.265</v>
      </c>
      <c r="E64" s="34">
        <f t="shared" si="3"/>
        <v>27.208333333333336</v>
      </c>
      <c r="F64" s="34">
        <f t="shared" si="4"/>
        <v>-8.735</v>
      </c>
    </row>
    <row r="65" spans="1:6" ht="15.75" hidden="1">
      <c r="A65" s="35" t="s">
        <v>52</v>
      </c>
      <c r="B65" s="39" t="s">
        <v>53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6" ht="15.75" hidden="1">
      <c r="A66" s="45" t="s">
        <v>54</v>
      </c>
      <c r="B66" s="39" t="s">
        <v>55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7.25" customHeight="1">
      <c r="A67" s="46" t="s">
        <v>56</v>
      </c>
      <c r="B67" s="47" t="s">
        <v>57</v>
      </c>
      <c r="C67" s="37">
        <v>2</v>
      </c>
      <c r="D67" s="37">
        <v>0</v>
      </c>
      <c r="E67" s="34">
        <f t="shared" si="3"/>
        <v>0</v>
      </c>
      <c r="F67" s="34">
        <f t="shared" si="4"/>
        <v>-2</v>
      </c>
    </row>
    <row r="68" spans="1:6" ht="15.75" customHeight="1">
      <c r="A68" s="46" t="s">
        <v>221</v>
      </c>
      <c r="B68" s="47" t="s">
        <v>222</v>
      </c>
      <c r="C68" s="37">
        <v>10</v>
      </c>
      <c r="D68" s="37">
        <v>3.265</v>
      </c>
      <c r="E68" s="34">
        <f t="shared" si="3"/>
        <v>32.65</v>
      </c>
      <c r="F68" s="34">
        <f t="shared" si="4"/>
        <v>-6.734999999999999</v>
      </c>
    </row>
    <row r="69" spans="1:6" s="6" customFormat="1" ht="16.5" customHeight="1">
      <c r="A69" s="30" t="s">
        <v>58</v>
      </c>
      <c r="B69" s="31" t="s">
        <v>59</v>
      </c>
      <c r="C69" s="48">
        <f>C70+C71+C72+C73</f>
        <v>2461.49661</v>
      </c>
      <c r="D69" s="48">
        <f>SUM(D70:D73)</f>
        <v>2353.59161</v>
      </c>
      <c r="E69" s="34">
        <f t="shared" si="3"/>
        <v>95.61628484225292</v>
      </c>
      <c r="F69" s="34">
        <f t="shared" si="4"/>
        <v>-107.9050000000002</v>
      </c>
    </row>
    <row r="70" spans="1:6" ht="15" customHeight="1">
      <c r="A70" s="35" t="s">
        <v>60</v>
      </c>
      <c r="B70" s="39" t="s">
        <v>61</v>
      </c>
      <c r="C70" s="49">
        <f>0.6316+1.8684</f>
        <v>2.5</v>
      </c>
      <c r="D70" s="37">
        <v>2.5</v>
      </c>
      <c r="E70" s="38">
        <f t="shared" si="3"/>
        <v>100</v>
      </c>
      <c r="F70" s="38">
        <f t="shared" si="4"/>
        <v>0</v>
      </c>
    </row>
    <row r="71" spans="1:7" s="6" customFormat="1" ht="15" customHeight="1">
      <c r="A71" s="35" t="s">
        <v>62</v>
      </c>
      <c r="B71" s="39" t="s">
        <v>63</v>
      </c>
      <c r="C71" s="49">
        <v>150</v>
      </c>
      <c r="D71" s="37">
        <v>67.946</v>
      </c>
      <c r="E71" s="38">
        <f t="shared" si="3"/>
        <v>45.297333333333334</v>
      </c>
      <c r="F71" s="38">
        <f t="shared" si="4"/>
        <v>-82.054</v>
      </c>
      <c r="G71" s="50"/>
    </row>
    <row r="72" spans="1:6" ht="15.75">
      <c r="A72" s="35" t="s">
        <v>64</v>
      </c>
      <c r="B72" s="39" t="s">
        <v>65</v>
      </c>
      <c r="C72" s="49">
        <f>1135.18561+873.811</f>
        <v>2008.9966100000001</v>
      </c>
      <c r="D72" s="37">
        <v>2008.99661</v>
      </c>
      <c r="E72" s="38">
        <f t="shared" si="3"/>
        <v>99.99999999999999</v>
      </c>
      <c r="F72" s="38">
        <f t="shared" si="4"/>
        <v>-2.2737367544323206E-13</v>
      </c>
    </row>
    <row r="73" spans="1:6" ht="15.75">
      <c r="A73" s="35" t="s">
        <v>66</v>
      </c>
      <c r="B73" s="39" t="s">
        <v>67</v>
      </c>
      <c r="C73" s="49">
        <v>300</v>
      </c>
      <c r="D73" s="37">
        <v>274.149</v>
      </c>
      <c r="E73" s="38">
        <f t="shared" si="3"/>
        <v>91.38300000000001</v>
      </c>
      <c r="F73" s="38">
        <f t="shared" si="4"/>
        <v>-25.851</v>
      </c>
    </row>
    <row r="74" spans="1:6" s="6" customFormat="1" ht="16.5" customHeight="1">
      <c r="A74" s="30" t="s">
        <v>68</v>
      </c>
      <c r="B74" s="31" t="s">
        <v>69</v>
      </c>
      <c r="C74" s="32">
        <f>SUM(C75:C77)</f>
        <v>587.3186000000001</v>
      </c>
      <c r="D74" s="32">
        <f>SUM(D75:D77)</f>
        <v>338.8207</v>
      </c>
      <c r="E74" s="34">
        <f t="shared" si="3"/>
        <v>57.689421039960244</v>
      </c>
      <c r="F74" s="34">
        <f t="shared" si="4"/>
        <v>-248.49790000000007</v>
      </c>
    </row>
    <row r="75" spans="1:6" ht="14.25" customHeight="1">
      <c r="A75" s="35" t="s">
        <v>70</v>
      </c>
      <c r="B75" s="51" t="s">
        <v>71</v>
      </c>
      <c r="C75" s="37">
        <v>0</v>
      </c>
      <c r="D75" s="37">
        <v>0</v>
      </c>
      <c r="E75" s="34" t="e">
        <f t="shared" si="3"/>
        <v>#DIV/0!</v>
      </c>
      <c r="F75" s="34">
        <f t="shared" si="4"/>
        <v>0</v>
      </c>
    </row>
    <row r="76" spans="1:6" ht="18.75" customHeight="1">
      <c r="A76" s="35" t="s">
        <v>72</v>
      </c>
      <c r="B76" s="51" t="s">
        <v>73</v>
      </c>
      <c r="C76" s="37">
        <v>0</v>
      </c>
      <c r="D76" s="37">
        <v>0</v>
      </c>
      <c r="E76" s="34" t="e">
        <f t="shared" si="3"/>
        <v>#DIV/0!</v>
      </c>
      <c r="F76" s="34">
        <f t="shared" si="4"/>
        <v>0</v>
      </c>
    </row>
    <row r="77" spans="1:6" ht="15.75">
      <c r="A77" s="35" t="s">
        <v>74</v>
      </c>
      <c r="B77" s="39" t="s">
        <v>75</v>
      </c>
      <c r="C77" s="37">
        <f>317.2986+260.02+10</f>
        <v>587.3186000000001</v>
      </c>
      <c r="D77" s="37">
        <v>338.8207</v>
      </c>
      <c r="E77" s="38">
        <f t="shared" si="3"/>
        <v>57.689421039960244</v>
      </c>
      <c r="F77" s="38">
        <f t="shared" si="4"/>
        <v>-248.49790000000007</v>
      </c>
    </row>
    <row r="78" spans="1:6" s="6" customFormat="1" ht="15.75">
      <c r="A78" s="30" t="s">
        <v>86</v>
      </c>
      <c r="B78" s="31" t="s">
        <v>87</v>
      </c>
      <c r="C78" s="32">
        <f>C79</f>
        <v>2516.4</v>
      </c>
      <c r="D78" s="32">
        <f>D79</f>
        <v>2387.3556</v>
      </c>
      <c r="E78" s="34">
        <f>SUM(D78/C78*100)</f>
        <v>94.87186456843108</v>
      </c>
      <c r="F78" s="34">
        <f t="shared" si="4"/>
        <v>-129.04440000000022</v>
      </c>
    </row>
    <row r="79" spans="1:6" ht="16.5" customHeight="1">
      <c r="A79" s="35" t="s">
        <v>88</v>
      </c>
      <c r="B79" s="39" t="s">
        <v>236</v>
      </c>
      <c r="C79" s="37">
        <v>2516.4</v>
      </c>
      <c r="D79" s="37">
        <v>2387.3556</v>
      </c>
      <c r="E79" s="38">
        <f>SUM(D79/C79*100)</f>
        <v>94.87186456843108</v>
      </c>
      <c r="F79" s="38">
        <f t="shared" si="4"/>
        <v>-129.04440000000022</v>
      </c>
    </row>
    <row r="80" spans="1:6" s="6" customFormat="1" ht="17.25" customHeight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7.25" customHeight="1" hidden="1">
      <c r="A81" s="53">
        <v>1001</v>
      </c>
      <c r="B81" s="54" t="s">
        <v>90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15.75" customHeight="1" hidden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17.25" customHeight="1" hidden="1">
      <c r="A83" s="53">
        <v>1004</v>
      </c>
      <c r="B83" s="54" t="s">
        <v>92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17.25" customHeight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4"/>
        <v>0</v>
      </c>
    </row>
    <row r="85" spans="1:6" ht="15.75">
      <c r="A85" s="30" t="s">
        <v>95</v>
      </c>
      <c r="B85" s="31" t="s">
        <v>96</v>
      </c>
      <c r="C85" s="32">
        <f>C86+C87+C88+C89+C90</f>
        <v>10</v>
      </c>
      <c r="D85" s="32">
        <f>D86+D87+D88+D89+D90</f>
        <v>7.821</v>
      </c>
      <c r="E85" s="38">
        <f t="shared" si="3"/>
        <v>78.21000000000001</v>
      </c>
      <c r="F85" s="22">
        <f>F86+F87+F88+F89+F90</f>
        <v>-2.1790000000000003</v>
      </c>
    </row>
    <row r="86" spans="1:6" ht="16.5" customHeight="1">
      <c r="A86" s="35" t="s">
        <v>97</v>
      </c>
      <c r="B86" s="39" t="s">
        <v>98</v>
      </c>
      <c r="C86" s="37">
        <v>10</v>
      </c>
      <c r="D86" s="37">
        <v>7.821</v>
      </c>
      <c r="E86" s="38">
        <f t="shared" si="3"/>
        <v>78.21000000000001</v>
      </c>
      <c r="F86" s="38">
        <f>SUM(D86-C86)</f>
        <v>-2.1790000000000003</v>
      </c>
    </row>
    <row r="87" spans="1:6" ht="15.75" customHeight="1" hidden="1">
      <c r="A87" s="35" t="s">
        <v>99</v>
      </c>
      <c r="B87" s="39" t="s">
        <v>100</v>
      </c>
      <c r="C87" s="37"/>
      <c r="D87" s="37"/>
      <c r="E87" s="38" t="e">
        <f t="shared" si="3"/>
        <v>#DIV/0!</v>
      </c>
      <c r="F87" s="38">
        <f>SUM(D87-C87)</f>
        <v>0</v>
      </c>
    </row>
    <row r="88" spans="1:6" ht="15.75" customHeight="1" hidden="1">
      <c r="A88" s="35" t="s">
        <v>101</v>
      </c>
      <c r="B88" s="39" t="s">
        <v>102</v>
      </c>
      <c r="C88" s="37"/>
      <c r="D88" s="37"/>
      <c r="E88" s="38" t="e">
        <f t="shared" si="3"/>
        <v>#DIV/0!</v>
      </c>
      <c r="F88" s="38"/>
    </row>
    <row r="89" spans="1:6" ht="15.75" customHeight="1" hidden="1">
      <c r="A89" s="35" t="s">
        <v>103</v>
      </c>
      <c r="B89" s="39" t="s">
        <v>104</v>
      </c>
      <c r="C89" s="37"/>
      <c r="D89" s="37"/>
      <c r="E89" s="38" t="e">
        <f t="shared" si="3"/>
        <v>#DIV/0!</v>
      </c>
      <c r="F89" s="38"/>
    </row>
    <row r="90" spans="1:6" ht="15.75" customHeight="1" hidden="1">
      <c r="A90" s="35" t="s">
        <v>105</v>
      </c>
      <c r="B90" s="39" t="s">
        <v>106</v>
      </c>
      <c r="C90" s="37"/>
      <c r="D90" s="37"/>
      <c r="E90" s="38" t="e">
        <f t="shared" si="3"/>
        <v>#DIV/0!</v>
      </c>
      <c r="F90" s="38"/>
    </row>
    <row r="91" spans="1:6" s="6" customFormat="1" ht="18" customHeight="1" hidden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0.75" customHeight="1" hidden="1">
      <c r="A92" s="53">
        <v>1401</v>
      </c>
      <c r="B92" s="54" t="s">
        <v>116</v>
      </c>
      <c r="C92" s="49"/>
      <c r="D92" s="37"/>
      <c r="E92" s="38" t="e">
        <f t="shared" si="3"/>
        <v>#DIV/0!</v>
      </c>
      <c r="F92" s="38">
        <f t="shared" si="4"/>
        <v>0</v>
      </c>
    </row>
    <row r="93" spans="1:6" ht="19.5" customHeight="1" hidden="1">
      <c r="A93" s="53">
        <v>1402</v>
      </c>
      <c r="B93" s="54" t="s">
        <v>117</v>
      </c>
      <c r="C93" s="49"/>
      <c r="D93" s="37"/>
      <c r="E93" s="38" t="e">
        <f t="shared" si="3"/>
        <v>#DIV/0!</v>
      </c>
      <c r="F93" s="38">
        <f t="shared" si="4"/>
        <v>0</v>
      </c>
    </row>
    <row r="94" spans="1:6" ht="18" customHeight="1" hidden="1">
      <c r="A94" s="53">
        <v>1403</v>
      </c>
      <c r="B94" s="54" t="s">
        <v>118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119</v>
      </c>
      <c r="C95" s="317">
        <f>C54+C62+C64+C69+C74+C78+C80+C85+C91</f>
        <v>7029.094290000001</v>
      </c>
      <c r="D95" s="317">
        <f>D54+D62+D64+D69+D74+D78+D80+D85+D91</f>
        <v>6427.17352</v>
      </c>
      <c r="E95" s="34">
        <f t="shared" si="3"/>
        <v>91.43672363512995</v>
      </c>
      <c r="F95" s="34">
        <f t="shared" si="4"/>
        <v>-601.9207700000006</v>
      </c>
    </row>
    <row r="96" spans="3:4" ht="0.75" customHeight="1">
      <c r="C96" s="127"/>
      <c r="D96" s="102"/>
    </row>
    <row r="97" spans="1:4" s="65" customFormat="1" ht="16.5" customHeight="1">
      <c r="A97" s="63" t="s">
        <v>120</v>
      </c>
      <c r="B97" s="63"/>
      <c r="C97" s="256"/>
      <c r="D97" s="256"/>
    </row>
    <row r="98" spans="1:3" s="65" customFormat="1" ht="20.25" customHeight="1">
      <c r="A98" s="66" t="s">
        <v>121</v>
      </c>
      <c r="B98" s="66"/>
      <c r="C98" s="65" t="s">
        <v>122</v>
      </c>
    </row>
    <row r="99" ht="13.5" customHeight="1">
      <c r="C99" s="121"/>
    </row>
    <row r="100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0" zoomScaleNormal="61" zoomScaleSheetLayoutView="70" zoomScalePageLayoutView="0" workbookViewId="0" topLeftCell="A40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28125" style="62" customWidth="1"/>
    <col min="4" max="4" width="16.57421875" style="62" customWidth="1"/>
    <col min="5" max="5" width="10.28125" style="62" customWidth="1"/>
    <col min="6" max="6" width="12.140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372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1393.476</v>
      </c>
      <c r="D4" s="5">
        <f>D5+D12+D14+D17+D20+D7</f>
        <v>1374.3572199999999</v>
      </c>
      <c r="E4" s="5">
        <f>SUM(D4/C4*100)</f>
        <v>98.62797924040312</v>
      </c>
      <c r="F4" s="5">
        <f>SUM(D4-C4)</f>
        <v>-19.118780000000243</v>
      </c>
    </row>
    <row r="5" spans="1:6" s="6" customFormat="1" ht="15.75">
      <c r="A5" s="68">
        <v>1010000000</v>
      </c>
      <c r="B5" s="67" t="s">
        <v>6</v>
      </c>
      <c r="C5" s="388">
        <f>C6</f>
        <v>109.86</v>
      </c>
      <c r="D5" s="388">
        <f>D6</f>
        <v>99.13319</v>
      </c>
      <c r="E5" s="5">
        <f aca="true" t="shared" si="0" ref="E5:E49">SUM(D5/C5*100)</f>
        <v>90.2359275441471</v>
      </c>
      <c r="F5" s="5">
        <f aca="true" t="shared" si="1" ref="F5:F49">SUM(D5-C5)</f>
        <v>-10.72681</v>
      </c>
    </row>
    <row r="6" spans="1:6" ht="15.75">
      <c r="A6" s="7">
        <v>1010200001</v>
      </c>
      <c r="B6" s="8" t="s">
        <v>231</v>
      </c>
      <c r="C6" s="391">
        <v>109.86</v>
      </c>
      <c r="D6" s="389">
        <v>99.13319</v>
      </c>
      <c r="E6" s="9">
        <f aca="true" t="shared" si="2" ref="E6:E11">SUM(D6/C6*100)</f>
        <v>90.2359275441471</v>
      </c>
      <c r="F6" s="9">
        <f t="shared" si="1"/>
        <v>-10.72681</v>
      </c>
    </row>
    <row r="7" spans="1:6" ht="31.5">
      <c r="A7" s="3">
        <v>1030000000</v>
      </c>
      <c r="B7" s="13" t="s">
        <v>285</v>
      </c>
      <c r="C7" s="388">
        <f>C8+C10+C9</f>
        <v>673.6160000000001</v>
      </c>
      <c r="D7" s="388">
        <f>D8+D10+D9+D11</f>
        <v>684.9006999999999</v>
      </c>
      <c r="E7" s="5">
        <f t="shared" si="2"/>
        <v>101.67524227453026</v>
      </c>
      <c r="F7" s="5">
        <f t="shared" si="1"/>
        <v>11.284699999999816</v>
      </c>
    </row>
    <row r="8" spans="1:6" ht="15.75">
      <c r="A8" s="7">
        <v>1030223001</v>
      </c>
      <c r="B8" s="8" t="s">
        <v>287</v>
      </c>
      <c r="C8" s="391">
        <v>238.796</v>
      </c>
      <c r="D8" s="389">
        <v>281.42527</v>
      </c>
      <c r="E8" s="9">
        <f t="shared" si="2"/>
        <v>117.85175212315116</v>
      </c>
      <c r="F8" s="9">
        <f t="shared" si="1"/>
        <v>42.62927000000002</v>
      </c>
    </row>
    <row r="9" spans="1:6" ht="15.75">
      <c r="A9" s="7">
        <v>1030224001</v>
      </c>
      <c r="B9" s="8" t="s">
        <v>293</v>
      </c>
      <c r="C9" s="391">
        <v>2.58</v>
      </c>
      <c r="D9" s="389">
        <v>2.85695</v>
      </c>
      <c r="E9" s="9">
        <f t="shared" si="2"/>
        <v>110.73449612403098</v>
      </c>
      <c r="F9" s="9">
        <f t="shared" si="1"/>
        <v>0.2769499999999998</v>
      </c>
    </row>
    <row r="10" spans="1:6" ht="15.75">
      <c r="A10" s="7">
        <v>1030225001</v>
      </c>
      <c r="B10" s="8" t="s">
        <v>286</v>
      </c>
      <c r="C10" s="391">
        <v>432.24</v>
      </c>
      <c r="D10" s="389">
        <v>455.12391</v>
      </c>
      <c r="E10" s="9">
        <f t="shared" si="2"/>
        <v>105.29426013325931</v>
      </c>
      <c r="F10" s="9">
        <f t="shared" si="1"/>
        <v>22.883910000000014</v>
      </c>
    </row>
    <row r="11" spans="1:6" ht="15.75">
      <c r="A11" s="7">
        <v>1030226001</v>
      </c>
      <c r="B11" s="8" t="s">
        <v>295</v>
      </c>
      <c r="C11" s="391">
        <v>0</v>
      </c>
      <c r="D11" s="389">
        <v>-54.50543</v>
      </c>
      <c r="E11" s="9" t="e">
        <f t="shared" si="2"/>
        <v>#DIV/0!</v>
      </c>
      <c r="F11" s="9">
        <f t="shared" si="1"/>
        <v>-54.50543</v>
      </c>
    </row>
    <row r="12" spans="1:6" s="6" customFormat="1" ht="15.75">
      <c r="A12" s="68">
        <v>1050000000</v>
      </c>
      <c r="B12" s="67" t="s">
        <v>7</v>
      </c>
      <c r="C12" s="388">
        <f>SUM(C13:C13)</f>
        <v>60</v>
      </c>
      <c r="D12" s="388">
        <f>SUM(D13:D13)</f>
        <v>4.5831</v>
      </c>
      <c r="E12" s="5">
        <f t="shared" si="0"/>
        <v>7.6385</v>
      </c>
      <c r="F12" s="5">
        <f t="shared" si="1"/>
        <v>-55.4169</v>
      </c>
    </row>
    <row r="13" spans="1:6" ht="15.75" customHeight="1">
      <c r="A13" s="7">
        <v>1050300000</v>
      </c>
      <c r="B13" s="11" t="s">
        <v>232</v>
      </c>
      <c r="C13" s="394">
        <v>60</v>
      </c>
      <c r="D13" s="389">
        <v>4.5831</v>
      </c>
      <c r="E13" s="9">
        <f t="shared" si="0"/>
        <v>7.6385</v>
      </c>
      <c r="F13" s="9">
        <f t="shared" si="1"/>
        <v>-55.4169</v>
      </c>
    </row>
    <row r="14" spans="1:6" s="6" customFormat="1" ht="15.75" customHeight="1">
      <c r="A14" s="68">
        <v>1060000000</v>
      </c>
      <c r="B14" s="67" t="s">
        <v>136</v>
      </c>
      <c r="C14" s="388">
        <f>C15+C16</f>
        <v>540</v>
      </c>
      <c r="D14" s="388">
        <f>D15+D16</f>
        <v>576.7180000000001</v>
      </c>
      <c r="E14" s="5">
        <f t="shared" si="0"/>
        <v>106.79962962962964</v>
      </c>
      <c r="F14" s="5">
        <f t="shared" si="1"/>
        <v>36.718000000000075</v>
      </c>
    </row>
    <row r="15" spans="1:6" s="6" customFormat="1" ht="15.75" customHeight="1">
      <c r="A15" s="7">
        <v>1060100000</v>
      </c>
      <c r="B15" s="11" t="s">
        <v>9</v>
      </c>
      <c r="C15" s="391">
        <v>90</v>
      </c>
      <c r="D15" s="389">
        <v>97.0666</v>
      </c>
      <c r="E15" s="9">
        <f t="shared" si="0"/>
        <v>107.85177777777777</v>
      </c>
      <c r="F15" s="9">
        <f>SUM(D15-C15)</f>
        <v>7.066599999999994</v>
      </c>
    </row>
    <row r="16" spans="1:6" ht="15.75" customHeight="1">
      <c r="A16" s="7">
        <v>1060600000</v>
      </c>
      <c r="B16" s="11" t="s">
        <v>8</v>
      </c>
      <c r="C16" s="391">
        <v>450</v>
      </c>
      <c r="D16" s="389">
        <v>479.6514</v>
      </c>
      <c r="E16" s="9">
        <f t="shared" si="0"/>
        <v>106.5892</v>
      </c>
      <c r="F16" s="9">
        <f t="shared" si="1"/>
        <v>29.651400000000024</v>
      </c>
    </row>
    <row r="17" spans="1:6" s="6" customFormat="1" ht="15.75">
      <c r="A17" s="3">
        <v>1080000000</v>
      </c>
      <c r="B17" s="4" t="s">
        <v>11</v>
      </c>
      <c r="C17" s="388">
        <f>C18</f>
        <v>10</v>
      </c>
      <c r="D17" s="388">
        <f>D18</f>
        <v>8.243</v>
      </c>
      <c r="E17" s="5">
        <f t="shared" si="0"/>
        <v>82.43</v>
      </c>
      <c r="F17" s="5">
        <f t="shared" si="1"/>
        <v>-1.7569999999999997</v>
      </c>
    </row>
    <row r="18" spans="1:6" ht="15.75" customHeight="1">
      <c r="A18" s="7">
        <v>1080400001</v>
      </c>
      <c r="B18" s="8" t="s">
        <v>230</v>
      </c>
      <c r="C18" s="391">
        <v>10</v>
      </c>
      <c r="D18" s="389">
        <v>8.243</v>
      </c>
      <c r="E18" s="9">
        <f t="shared" si="0"/>
        <v>82.43</v>
      </c>
      <c r="F18" s="9">
        <f t="shared" si="1"/>
        <v>-1.7569999999999997</v>
      </c>
    </row>
    <row r="19" spans="1:6" ht="15.75" customHeight="1" hidden="1">
      <c r="A19" s="7">
        <v>1080714001</v>
      </c>
      <c r="B19" s="8" t="s">
        <v>12</v>
      </c>
      <c r="C19" s="391"/>
      <c r="D19" s="389"/>
      <c r="E19" s="9" t="e">
        <f t="shared" si="0"/>
        <v>#DIV/0!</v>
      </c>
      <c r="F19" s="9">
        <f t="shared" si="1"/>
        <v>0</v>
      </c>
    </row>
    <row r="20" spans="1:6" s="15" customFormat="1" ht="33.75" customHeight="1">
      <c r="A20" s="68">
        <v>1090000000</v>
      </c>
      <c r="B20" s="69" t="s">
        <v>124</v>
      </c>
      <c r="C20" s="388">
        <f>C21+C22+C23+C24</f>
        <v>0</v>
      </c>
      <c r="D20" s="388">
        <f>D21+D22+D23+D24</f>
        <v>0.77923</v>
      </c>
      <c r="E20" s="5" t="e">
        <f t="shared" si="0"/>
        <v>#DIV/0!</v>
      </c>
      <c r="F20" s="5">
        <f t="shared" si="1"/>
        <v>0.77923</v>
      </c>
    </row>
    <row r="21" spans="1:6" s="15" customFormat="1" ht="22.5" customHeight="1">
      <c r="A21" s="7">
        <v>1090100000</v>
      </c>
      <c r="B21" s="8" t="s">
        <v>125</v>
      </c>
      <c r="C21" s="391">
        <v>0</v>
      </c>
      <c r="D21" s="389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customHeight="1">
      <c r="A22" s="7">
        <v>1090400000</v>
      </c>
      <c r="B22" s="8" t="s">
        <v>235</v>
      </c>
      <c r="C22" s="391">
        <v>0</v>
      </c>
      <c r="D22" s="389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customHeight="1">
      <c r="A23" s="7">
        <v>1090600000</v>
      </c>
      <c r="B23" s="8" t="s">
        <v>127</v>
      </c>
      <c r="C23" s="391">
        <v>0</v>
      </c>
      <c r="D23" s="389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128</v>
      </c>
      <c r="C24" s="391">
        <v>0</v>
      </c>
      <c r="D24" s="389">
        <v>0.77923</v>
      </c>
      <c r="E24" s="9" t="e">
        <f t="shared" si="0"/>
        <v>#DIV/0!</v>
      </c>
      <c r="F24" s="9">
        <f t="shared" si="1"/>
        <v>0.77923</v>
      </c>
    </row>
    <row r="25" spans="1:6" s="6" customFormat="1" ht="15.75" customHeight="1">
      <c r="A25" s="3"/>
      <c r="B25" s="4" t="s">
        <v>13</v>
      </c>
      <c r="C25" s="388">
        <f>C26+C29+C31+C36</f>
        <v>353</v>
      </c>
      <c r="D25" s="388">
        <f>D26+D29+D31+D36+D34</f>
        <v>817.8471900000001</v>
      </c>
      <c r="E25" s="5">
        <f t="shared" si="0"/>
        <v>231.68475637393772</v>
      </c>
      <c r="F25" s="5">
        <f t="shared" si="1"/>
        <v>464.84719000000007</v>
      </c>
    </row>
    <row r="26" spans="1:6" s="6" customFormat="1" ht="30" customHeight="1">
      <c r="A26" s="68">
        <v>1110000000</v>
      </c>
      <c r="B26" s="69" t="s">
        <v>129</v>
      </c>
      <c r="C26" s="388">
        <f>C27+C28</f>
        <v>303</v>
      </c>
      <c r="D26" s="388">
        <f>D27+D28</f>
        <v>759.9639500000001</v>
      </c>
      <c r="E26" s="5">
        <f t="shared" si="0"/>
        <v>250.81318481848186</v>
      </c>
      <c r="F26" s="5">
        <f t="shared" si="1"/>
        <v>456.96395000000007</v>
      </c>
    </row>
    <row r="27" spans="1:6" ht="15.75">
      <c r="A27" s="16">
        <v>1110501101</v>
      </c>
      <c r="B27" s="17" t="s">
        <v>228</v>
      </c>
      <c r="C27" s="394">
        <v>300</v>
      </c>
      <c r="D27" s="389">
        <v>688.8015</v>
      </c>
      <c r="E27" s="9">
        <f t="shared" si="0"/>
        <v>229.6005</v>
      </c>
      <c r="F27" s="9">
        <f t="shared" si="1"/>
        <v>388.80150000000003</v>
      </c>
    </row>
    <row r="28" spans="1:6" ht="18" customHeight="1">
      <c r="A28" s="7">
        <v>1110503505</v>
      </c>
      <c r="B28" s="11" t="s">
        <v>227</v>
      </c>
      <c r="C28" s="394">
        <v>3</v>
      </c>
      <c r="D28" s="389">
        <v>71.16245</v>
      </c>
      <c r="E28" s="9">
        <f t="shared" si="0"/>
        <v>2372.081666666667</v>
      </c>
      <c r="F28" s="9">
        <f t="shared" si="1"/>
        <v>68.16245</v>
      </c>
    </row>
    <row r="29" spans="1:6" s="15" customFormat="1" ht="18" customHeight="1">
      <c r="A29" s="68">
        <v>1130000000</v>
      </c>
      <c r="B29" s="69" t="s">
        <v>131</v>
      </c>
      <c r="C29" s="388">
        <f>C30</f>
        <v>50</v>
      </c>
      <c r="D29" s="388">
        <f>D30</f>
        <v>31.76841</v>
      </c>
      <c r="E29" s="5">
        <f t="shared" si="0"/>
        <v>63.53681999999999</v>
      </c>
      <c r="F29" s="5">
        <f t="shared" si="1"/>
        <v>-18.23159</v>
      </c>
    </row>
    <row r="30" spans="1:6" ht="27.75" customHeight="1">
      <c r="A30" s="7">
        <v>1130206510</v>
      </c>
      <c r="B30" s="8" t="s">
        <v>346</v>
      </c>
      <c r="C30" s="391">
        <v>50</v>
      </c>
      <c r="D30" s="395">
        <v>31.76841</v>
      </c>
      <c r="E30" s="9">
        <f t="shared" si="0"/>
        <v>63.53681999999999</v>
      </c>
      <c r="F30" s="9">
        <f t="shared" si="1"/>
        <v>-18.23159</v>
      </c>
    </row>
    <row r="31" spans="1:6" ht="18" customHeight="1">
      <c r="A31" s="70">
        <v>1140000000</v>
      </c>
      <c r="B31" s="71" t="s">
        <v>132</v>
      </c>
      <c r="C31" s="388">
        <f>C32+C33</f>
        <v>0</v>
      </c>
      <c r="D31" s="388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133</v>
      </c>
      <c r="C32" s="391">
        <v>0</v>
      </c>
      <c r="D32" s="389">
        <v>0</v>
      </c>
      <c r="E32" s="9" t="e">
        <f t="shared" si="0"/>
        <v>#DIV/0!</v>
      </c>
      <c r="F32" s="9">
        <f t="shared" si="1"/>
        <v>0</v>
      </c>
    </row>
    <row r="33" spans="1:6" ht="21.75" customHeight="1">
      <c r="A33" s="7">
        <v>1140600000</v>
      </c>
      <c r="B33" s="8" t="s">
        <v>225</v>
      </c>
      <c r="C33" s="391">
        <v>0</v>
      </c>
      <c r="D33" s="389">
        <v>0</v>
      </c>
      <c r="E33" s="9" t="e">
        <f t="shared" si="0"/>
        <v>#DIV/0!</v>
      </c>
      <c r="F33" s="9">
        <f t="shared" si="1"/>
        <v>0</v>
      </c>
    </row>
    <row r="34" spans="1:6" ht="15.75">
      <c r="A34" s="3">
        <v>1160000000</v>
      </c>
      <c r="B34" s="13" t="s">
        <v>254</v>
      </c>
      <c r="C34" s="390">
        <f>C35</f>
        <v>0</v>
      </c>
      <c r="D34" s="390">
        <f>D35</f>
        <v>23.3897</v>
      </c>
      <c r="E34" s="5" t="e">
        <f>SUM(D34/C34*100)</f>
        <v>#DIV/0!</v>
      </c>
      <c r="F34" s="5">
        <f>SUM(D34-C34)</f>
        <v>23.3897</v>
      </c>
    </row>
    <row r="35" spans="1:6" ht="47.25">
      <c r="A35" s="7">
        <v>1163305010</v>
      </c>
      <c r="B35" s="8" t="s">
        <v>270</v>
      </c>
      <c r="C35" s="391">
        <v>0</v>
      </c>
      <c r="D35" s="389">
        <v>23.3897</v>
      </c>
      <c r="E35" s="9" t="e">
        <f>SUM(D35/C35*100)</f>
        <v>#DIV/0!</v>
      </c>
      <c r="F35" s="9">
        <f>SUM(D35-C35)</f>
        <v>23.3897</v>
      </c>
    </row>
    <row r="36" spans="1:6" ht="15.75" customHeight="1">
      <c r="A36" s="3">
        <v>1170000000</v>
      </c>
      <c r="B36" s="13" t="s">
        <v>135</v>
      </c>
      <c r="C36" s="388">
        <f>C37+C38</f>
        <v>0</v>
      </c>
      <c r="D36" s="388">
        <f>D37+D38</f>
        <v>2.72513</v>
      </c>
      <c r="E36" s="5" t="e">
        <f t="shared" si="0"/>
        <v>#DIV/0!</v>
      </c>
      <c r="F36" s="5">
        <f t="shared" si="1"/>
        <v>2.72513</v>
      </c>
    </row>
    <row r="37" spans="1:6" ht="17.25" customHeight="1">
      <c r="A37" s="7">
        <v>1170105005</v>
      </c>
      <c r="B37" s="8" t="s">
        <v>18</v>
      </c>
      <c r="C37" s="391">
        <v>0</v>
      </c>
      <c r="D37" s="391">
        <v>0.25763</v>
      </c>
      <c r="E37" s="9" t="e">
        <f t="shared" si="0"/>
        <v>#DIV/0!</v>
      </c>
      <c r="F37" s="9">
        <f t="shared" si="1"/>
        <v>0.25763</v>
      </c>
    </row>
    <row r="38" spans="1:6" ht="16.5" customHeight="1">
      <c r="A38" s="7">
        <v>1170505005</v>
      </c>
      <c r="B38" s="11" t="s">
        <v>223</v>
      </c>
      <c r="C38" s="391">
        <v>0</v>
      </c>
      <c r="D38" s="389">
        <v>2.4675</v>
      </c>
      <c r="E38" s="9" t="e">
        <f t="shared" si="0"/>
        <v>#DIV/0!</v>
      </c>
      <c r="F38" s="9">
        <f t="shared" si="1"/>
        <v>2.4675</v>
      </c>
    </row>
    <row r="39" spans="1:6" s="6" customFormat="1" ht="15" customHeight="1">
      <c r="A39" s="3">
        <v>1000000000</v>
      </c>
      <c r="B39" s="4" t="s">
        <v>19</v>
      </c>
      <c r="C39" s="392">
        <f>SUM(C4,C25)</f>
        <v>1746.476</v>
      </c>
      <c r="D39" s="392">
        <f>D4+D25</f>
        <v>2192.20441</v>
      </c>
      <c r="E39" s="5">
        <f t="shared" si="0"/>
        <v>125.52158804358031</v>
      </c>
      <c r="F39" s="5">
        <f t="shared" si="1"/>
        <v>445.7284099999997</v>
      </c>
    </row>
    <row r="40" spans="1:7" s="6" customFormat="1" ht="15.75">
      <c r="A40" s="3">
        <v>2000000000</v>
      </c>
      <c r="B40" s="4" t="s">
        <v>20</v>
      </c>
      <c r="C40" s="378">
        <f>C41+C42+C43+C44+C45</f>
        <v>2817.4367</v>
      </c>
      <c r="D40" s="316">
        <f>D41+D42+D43+D44+D45</f>
        <v>2790.0367</v>
      </c>
      <c r="E40" s="5">
        <f t="shared" si="0"/>
        <v>99.02748480560362</v>
      </c>
      <c r="F40" s="5">
        <f t="shared" si="1"/>
        <v>-27.40000000000009</v>
      </c>
      <c r="G40" s="19"/>
    </row>
    <row r="41" spans="1:6" ht="15.75">
      <c r="A41" s="16">
        <v>2020100000</v>
      </c>
      <c r="B41" s="17" t="s">
        <v>21</v>
      </c>
      <c r="C41" s="99">
        <v>1127.75</v>
      </c>
      <c r="D41" s="20">
        <v>1127.75</v>
      </c>
      <c r="E41" s="9">
        <f t="shared" si="0"/>
        <v>100</v>
      </c>
      <c r="F41" s="9">
        <f t="shared" si="1"/>
        <v>0</v>
      </c>
    </row>
    <row r="42" spans="1:6" ht="15.75" customHeight="1">
      <c r="A42" s="16">
        <v>2020100310</v>
      </c>
      <c r="B42" s="17" t="s">
        <v>234</v>
      </c>
      <c r="C42" s="99">
        <v>710</v>
      </c>
      <c r="D42" s="20">
        <v>710</v>
      </c>
      <c r="E42" s="9">
        <f>SUM(D42/C42*100)</f>
        <v>100</v>
      </c>
      <c r="F42" s="9">
        <f>SUM(D42-C42)</f>
        <v>0</v>
      </c>
    </row>
    <row r="43" spans="1:6" ht="15.75">
      <c r="A43" s="16">
        <v>2020200000</v>
      </c>
      <c r="B43" s="17" t="s">
        <v>22</v>
      </c>
      <c r="C43" s="99">
        <v>834.992</v>
      </c>
      <c r="D43" s="10">
        <v>807.592</v>
      </c>
      <c r="E43" s="9">
        <f t="shared" si="0"/>
        <v>96.71853143503172</v>
      </c>
      <c r="F43" s="9">
        <f t="shared" si="1"/>
        <v>-27.399999999999977</v>
      </c>
    </row>
    <row r="44" spans="1:6" ht="15.75">
      <c r="A44" s="16">
        <v>2020300000</v>
      </c>
      <c r="B44" s="17" t="s">
        <v>23</v>
      </c>
      <c r="C44" s="12">
        <v>144.6947</v>
      </c>
      <c r="D44" s="258">
        <v>144.6947</v>
      </c>
      <c r="E44" s="9">
        <f t="shared" si="0"/>
        <v>100</v>
      </c>
      <c r="F44" s="9">
        <f t="shared" si="1"/>
        <v>0</v>
      </c>
    </row>
    <row r="45" spans="1:6" ht="15.75">
      <c r="A45" s="16">
        <v>2020400000</v>
      </c>
      <c r="B45" s="17" t="s">
        <v>24</v>
      </c>
      <c r="C45" s="12">
        <v>0</v>
      </c>
      <c r="D45" s="259">
        <v>0</v>
      </c>
      <c r="E45" s="9" t="e">
        <f t="shared" si="0"/>
        <v>#DIV/0!</v>
      </c>
      <c r="F45" s="9">
        <f t="shared" si="1"/>
        <v>0</v>
      </c>
    </row>
    <row r="46" spans="1:6" ht="36.75" customHeight="1">
      <c r="A46" s="16">
        <v>2020900000</v>
      </c>
      <c r="B46" s="18" t="s">
        <v>25</v>
      </c>
      <c r="C46" s="12">
        <v>0</v>
      </c>
      <c r="D46" s="259">
        <v>0</v>
      </c>
      <c r="E46" s="9" t="e">
        <f t="shared" si="0"/>
        <v>#DIV/0!</v>
      </c>
      <c r="F46" s="9">
        <f t="shared" si="1"/>
        <v>0</v>
      </c>
    </row>
    <row r="47" spans="1:6" ht="2.25" customHeight="1" hidden="1">
      <c r="A47" s="16">
        <v>2080500010</v>
      </c>
      <c r="B47" s="18" t="s">
        <v>258</v>
      </c>
      <c r="C47" s="12"/>
      <c r="D47" s="259"/>
      <c r="E47" s="9"/>
      <c r="F47" s="9"/>
    </row>
    <row r="48" spans="1:6" s="6" customFormat="1" ht="30" customHeight="1" hidden="1">
      <c r="A48" s="3">
        <v>3000000000</v>
      </c>
      <c r="B48" s="13" t="s">
        <v>27</v>
      </c>
      <c r="C48" s="295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7" s="6" customFormat="1" ht="19.5" customHeight="1">
      <c r="A49" s="3"/>
      <c r="B49" s="4" t="s">
        <v>28</v>
      </c>
      <c r="C49" s="369">
        <f>C39+C40</f>
        <v>4563.912700000001</v>
      </c>
      <c r="D49" s="369">
        <f>D39+D40</f>
        <v>4982.24111</v>
      </c>
      <c r="E49" s="93">
        <f t="shared" si="0"/>
        <v>109.16600376689938</v>
      </c>
      <c r="F49" s="93">
        <f t="shared" si="1"/>
        <v>418.32840999999917</v>
      </c>
      <c r="G49" s="318"/>
    </row>
    <row r="50" spans="1:6" s="6" customFormat="1" ht="15.75">
      <c r="A50" s="3"/>
      <c r="B50" s="21" t="s">
        <v>326</v>
      </c>
      <c r="C50" s="93">
        <f>C49-C96</f>
        <v>-260.6449999999995</v>
      </c>
      <c r="D50" s="93">
        <f>D49-D96</f>
        <v>320.2991199999997</v>
      </c>
      <c r="E50" s="300"/>
      <c r="F50" s="300"/>
    </row>
    <row r="51" spans="1:6" ht="15.75">
      <c r="A51" s="23"/>
      <c r="B51" s="24"/>
      <c r="C51" s="257"/>
      <c r="D51" s="257"/>
      <c r="E51" s="26"/>
      <c r="F51" s="27"/>
    </row>
    <row r="52" spans="1:6" ht="45" customHeight="1">
      <c r="A52" s="28" t="s">
        <v>1</v>
      </c>
      <c r="B52" s="28" t="s">
        <v>29</v>
      </c>
      <c r="C52" s="250" t="s">
        <v>340</v>
      </c>
      <c r="D52" s="251" t="s">
        <v>353</v>
      </c>
      <c r="E52" s="72" t="s">
        <v>3</v>
      </c>
      <c r="F52" s="74" t="s">
        <v>4</v>
      </c>
    </row>
    <row r="53" spans="1:6" ht="15.75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32.25" customHeight="1">
      <c r="A54" s="30" t="s">
        <v>30</v>
      </c>
      <c r="B54" s="31" t="s">
        <v>31</v>
      </c>
      <c r="C54" s="32">
        <f>C55+C56+C57+C58+C59+C61+C60</f>
        <v>916.496</v>
      </c>
      <c r="D54" s="33">
        <f>D55+D56+D57+D58+D59+D61+D60</f>
        <v>845.43992</v>
      </c>
      <c r="E54" s="34">
        <f>SUM(D54/C54*100)</f>
        <v>92.24698416577924</v>
      </c>
      <c r="F54" s="34">
        <f>SUM(D54-C54)</f>
        <v>-71.05607999999995</v>
      </c>
    </row>
    <row r="55" spans="1:6" s="6" customFormat="1" ht="31.5" hidden="1">
      <c r="A55" s="35" t="s">
        <v>32</v>
      </c>
      <c r="B55" s="36" t="s">
        <v>33</v>
      </c>
      <c r="C55" s="37"/>
      <c r="D55" s="37"/>
      <c r="E55" s="38"/>
      <c r="F55" s="38"/>
    </row>
    <row r="56" spans="1:6" ht="15.75">
      <c r="A56" s="35" t="s">
        <v>34</v>
      </c>
      <c r="B56" s="39" t="s">
        <v>35</v>
      </c>
      <c r="C56" s="37">
        <f>897.9+3.1</f>
        <v>901</v>
      </c>
      <c r="D56" s="37">
        <v>836.76685</v>
      </c>
      <c r="E56" s="38">
        <f aca="true" t="shared" si="3" ref="E56:E96">SUM(D56/C56*100)</f>
        <v>92.87090455049945</v>
      </c>
      <c r="F56" s="38">
        <f aca="true" t="shared" si="4" ref="F56:F96">SUM(D56-C56)</f>
        <v>-64.23315000000002</v>
      </c>
    </row>
    <row r="57" spans="1:6" ht="16.5" customHeight="1" hidden="1">
      <c r="A57" s="35" t="s">
        <v>36</v>
      </c>
      <c r="B57" s="39" t="s">
        <v>37</v>
      </c>
      <c r="C57" s="37"/>
      <c r="D57" s="37"/>
      <c r="E57" s="38"/>
      <c r="F57" s="38">
        <f t="shared" si="4"/>
        <v>0</v>
      </c>
    </row>
    <row r="58" spans="1:6" ht="31.5" customHeight="1" hidden="1">
      <c r="A58" s="35" t="s">
        <v>38</v>
      </c>
      <c r="B58" s="39" t="s">
        <v>39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6" ht="17.25" customHeight="1">
      <c r="A59" s="35" t="s">
        <v>40</v>
      </c>
      <c r="B59" s="39" t="s">
        <v>41</v>
      </c>
      <c r="C59" s="37">
        <v>3.5</v>
      </c>
      <c r="D59" s="37">
        <v>3.5</v>
      </c>
      <c r="E59" s="38">
        <f t="shared" si="3"/>
        <v>100</v>
      </c>
      <c r="F59" s="38">
        <f t="shared" si="4"/>
        <v>0</v>
      </c>
    </row>
    <row r="60" spans="1:6" ht="18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6" ht="15.75" customHeight="1">
      <c r="A61" s="35" t="s">
        <v>44</v>
      </c>
      <c r="B61" s="39" t="s">
        <v>45</v>
      </c>
      <c r="C61" s="37">
        <v>6.996</v>
      </c>
      <c r="D61" s="37">
        <v>5.17307</v>
      </c>
      <c r="E61" s="38">
        <f t="shared" si="3"/>
        <v>73.94325328759291</v>
      </c>
      <c r="F61" s="38">
        <f t="shared" si="4"/>
        <v>-1.8229300000000004</v>
      </c>
    </row>
    <row r="62" spans="1:6" s="6" customFormat="1" ht="15.75">
      <c r="A62" s="41" t="s">
        <v>46</v>
      </c>
      <c r="B62" s="42" t="s">
        <v>47</v>
      </c>
      <c r="C62" s="32">
        <f>C63</f>
        <v>143.8637</v>
      </c>
      <c r="D62" s="32">
        <f>D63</f>
        <v>143.8637</v>
      </c>
      <c r="E62" s="34">
        <f t="shared" si="3"/>
        <v>100</v>
      </c>
      <c r="F62" s="34">
        <f t="shared" si="4"/>
        <v>0</v>
      </c>
    </row>
    <row r="63" spans="1:6" ht="15.75">
      <c r="A63" s="43" t="s">
        <v>48</v>
      </c>
      <c r="B63" s="44" t="s">
        <v>49</v>
      </c>
      <c r="C63" s="37">
        <v>143.8637</v>
      </c>
      <c r="D63" s="37">
        <v>143.8637</v>
      </c>
      <c r="E63" s="38">
        <f t="shared" si="3"/>
        <v>100</v>
      </c>
      <c r="F63" s="38">
        <f t="shared" si="4"/>
        <v>0</v>
      </c>
    </row>
    <row r="64" spans="1:6" s="6" customFormat="1" ht="15.75">
      <c r="A64" s="30" t="s">
        <v>50</v>
      </c>
      <c r="B64" s="31" t="s">
        <v>51</v>
      </c>
      <c r="C64" s="32">
        <f>C67+C68</f>
        <v>0.1</v>
      </c>
      <c r="D64" s="32">
        <f>SUM(D65:D67)</f>
        <v>0</v>
      </c>
      <c r="E64" s="34">
        <f t="shared" si="3"/>
        <v>0</v>
      </c>
      <c r="F64" s="34">
        <f t="shared" si="4"/>
        <v>-0.1</v>
      </c>
    </row>
    <row r="65" spans="1:6" ht="15.75" hidden="1">
      <c r="A65" s="35" t="s">
        <v>52</v>
      </c>
      <c r="B65" s="39" t="s">
        <v>53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6" ht="15.75" hidden="1">
      <c r="A66" s="45" t="s">
        <v>54</v>
      </c>
      <c r="B66" s="39" t="s">
        <v>55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7.25" customHeight="1">
      <c r="A67" s="46" t="s">
        <v>56</v>
      </c>
      <c r="B67" s="47" t="s">
        <v>57</v>
      </c>
      <c r="C67" s="37">
        <v>0.1</v>
      </c>
      <c r="D67" s="37">
        <v>0</v>
      </c>
      <c r="E67" s="34">
        <f t="shared" si="3"/>
        <v>0</v>
      </c>
      <c r="F67" s="34">
        <f t="shared" si="4"/>
        <v>-0.1</v>
      </c>
    </row>
    <row r="68" spans="1:6" ht="15.75" customHeight="1">
      <c r="A68" s="46" t="s">
        <v>221</v>
      </c>
      <c r="B68" s="47" t="s">
        <v>222</v>
      </c>
      <c r="C68" s="37">
        <v>0</v>
      </c>
      <c r="D68" s="37">
        <v>0</v>
      </c>
      <c r="E68" s="34" t="e">
        <f t="shared" si="3"/>
        <v>#DIV/0!</v>
      </c>
      <c r="F68" s="34">
        <f t="shared" si="4"/>
        <v>0</v>
      </c>
    </row>
    <row r="69" spans="1:6" s="6" customFormat="1" ht="18.75" customHeight="1">
      <c r="A69" s="30" t="s">
        <v>58</v>
      </c>
      <c r="B69" s="31" t="s">
        <v>59</v>
      </c>
      <c r="C69" s="48">
        <f>SUM(C70:C74)</f>
        <v>2079.9030000000002</v>
      </c>
      <c r="D69" s="48">
        <f>SUM(D70:D74)</f>
        <v>2000.7410100000002</v>
      </c>
      <c r="E69" s="34">
        <f t="shared" si="3"/>
        <v>96.19395760283052</v>
      </c>
      <c r="F69" s="34">
        <f t="shared" si="4"/>
        <v>-79.16199000000006</v>
      </c>
    </row>
    <row r="70" spans="1:6" ht="15" customHeight="1">
      <c r="A70" s="35" t="s">
        <v>60</v>
      </c>
      <c r="B70" s="39" t="s">
        <v>61</v>
      </c>
      <c r="C70" s="49">
        <f>0.831+2.919</f>
        <v>3.75</v>
      </c>
      <c r="D70" s="37">
        <v>3.75</v>
      </c>
      <c r="E70" s="38">
        <f t="shared" si="3"/>
        <v>100</v>
      </c>
      <c r="F70" s="38">
        <f t="shared" si="4"/>
        <v>0</v>
      </c>
    </row>
    <row r="71" spans="1:7" s="6" customFormat="1" ht="17.25" customHeight="1">
      <c r="A71" s="35" t="s">
        <v>62</v>
      </c>
      <c r="B71" s="39" t="s">
        <v>63</v>
      </c>
      <c r="C71" s="49">
        <v>50.5</v>
      </c>
      <c r="D71" s="37">
        <v>25.0677</v>
      </c>
      <c r="E71" s="38">
        <f t="shared" si="3"/>
        <v>49.6390099009901</v>
      </c>
      <c r="F71" s="38">
        <f t="shared" si="4"/>
        <v>-25.4323</v>
      </c>
      <c r="G71" s="50"/>
    </row>
    <row r="72" spans="1:7" s="6" customFormat="1" ht="15" customHeight="1" hidden="1">
      <c r="A72" s="35" t="s">
        <v>62</v>
      </c>
      <c r="B72" s="39" t="s">
        <v>63</v>
      </c>
      <c r="C72" s="49">
        <v>0</v>
      </c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6" ht="15.75">
      <c r="A73" s="35" t="s">
        <v>64</v>
      </c>
      <c r="B73" s="39" t="s">
        <v>65</v>
      </c>
      <c r="C73" s="49">
        <v>1714.853</v>
      </c>
      <c r="D73" s="37">
        <v>1714.85213</v>
      </c>
      <c r="E73" s="38">
        <f t="shared" si="3"/>
        <v>99.99994926678846</v>
      </c>
      <c r="F73" s="38">
        <f t="shared" si="4"/>
        <v>-0.0008700000000771979</v>
      </c>
    </row>
    <row r="74" spans="1:6" ht="15.75">
      <c r="A74" s="35" t="s">
        <v>66</v>
      </c>
      <c r="B74" s="39" t="s">
        <v>67</v>
      </c>
      <c r="C74" s="49">
        <f>177+133.8</f>
        <v>310.8</v>
      </c>
      <c r="D74" s="37">
        <v>257.07118</v>
      </c>
      <c r="E74" s="38">
        <f t="shared" si="3"/>
        <v>82.71273487773489</v>
      </c>
      <c r="F74" s="38">
        <f t="shared" si="4"/>
        <v>-53.728819999999985</v>
      </c>
    </row>
    <row r="75" spans="1:6" s="6" customFormat="1" ht="15" customHeight="1">
      <c r="A75" s="30" t="s">
        <v>68</v>
      </c>
      <c r="B75" s="31" t="s">
        <v>69</v>
      </c>
      <c r="C75" s="32">
        <f>SUM(C76:C78)</f>
        <v>404.795</v>
      </c>
      <c r="D75" s="32">
        <f>SUM(D76:D78)</f>
        <v>394.96336</v>
      </c>
      <c r="E75" s="34">
        <f t="shared" si="3"/>
        <v>97.57120517792957</v>
      </c>
      <c r="F75" s="34">
        <f t="shared" si="4"/>
        <v>-9.831639999999993</v>
      </c>
    </row>
    <row r="76" spans="1:6" ht="15.75" hidden="1">
      <c r="A76" s="35" t="s">
        <v>70</v>
      </c>
      <c r="B76" s="51" t="s">
        <v>71</v>
      </c>
      <c r="C76" s="37"/>
      <c r="D76" s="37"/>
      <c r="E76" s="38" t="e">
        <f t="shared" si="3"/>
        <v>#DIV/0!</v>
      </c>
      <c r="F76" s="38">
        <f t="shared" si="4"/>
        <v>0</v>
      </c>
    </row>
    <row r="77" spans="1:6" ht="15.75" hidden="1">
      <c r="A77" s="35" t="s">
        <v>72</v>
      </c>
      <c r="B77" s="51" t="s">
        <v>73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6" ht="15.75">
      <c r="A78" s="35" t="s">
        <v>74</v>
      </c>
      <c r="B78" s="39" t="s">
        <v>75</v>
      </c>
      <c r="C78" s="37">
        <f>248.564+147.651+8.58</f>
        <v>404.795</v>
      </c>
      <c r="D78" s="37">
        <v>394.96336</v>
      </c>
      <c r="E78" s="38">
        <f t="shared" si="3"/>
        <v>97.57120517792957</v>
      </c>
      <c r="F78" s="38">
        <f t="shared" si="4"/>
        <v>-9.831639999999993</v>
      </c>
    </row>
    <row r="79" spans="1:6" s="6" customFormat="1" ht="15.75">
      <c r="A79" s="30" t="s">
        <v>86</v>
      </c>
      <c r="B79" s="31" t="s">
        <v>87</v>
      </c>
      <c r="C79" s="32">
        <f>C80</f>
        <v>1277.4</v>
      </c>
      <c r="D79" s="32">
        <f>D80</f>
        <v>1274.934</v>
      </c>
      <c r="E79" s="34">
        <f t="shared" si="3"/>
        <v>99.80695162047908</v>
      </c>
      <c r="F79" s="34">
        <f t="shared" si="4"/>
        <v>-2.466000000000122</v>
      </c>
    </row>
    <row r="80" spans="1:6" ht="16.5" customHeight="1">
      <c r="A80" s="35" t="s">
        <v>88</v>
      </c>
      <c r="B80" s="39" t="s">
        <v>236</v>
      </c>
      <c r="C80" s="37">
        <v>1277.4</v>
      </c>
      <c r="D80" s="37">
        <v>1274.934</v>
      </c>
      <c r="E80" s="38">
        <f t="shared" si="3"/>
        <v>99.80695162047908</v>
      </c>
      <c r="F80" s="38">
        <f t="shared" si="4"/>
        <v>-2.466000000000122</v>
      </c>
    </row>
    <row r="81" spans="1:6" s="6" customFormat="1" ht="0.75" customHeight="1" hidden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6.5" customHeight="1" hidden="1">
      <c r="A82" s="53">
        <v>1001</v>
      </c>
      <c r="B82" s="54" t="s">
        <v>90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17.25" customHeight="1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1.5" customHeight="1" hidden="1">
      <c r="A84" s="53">
        <v>1004</v>
      </c>
      <c r="B84" s="54" t="s">
        <v>92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19.5" customHeight="1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4"/>
        <v>0</v>
      </c>
    </row>
    <row r="86" spans="1:6" ht="16.5" customHeight="1" hidden="1">
      <c r="A86" s="30" t="s">
        <v>95</v>
      </c>
      <c r="B86" s="31" t="s">
        <v>96</v>
      </c>
      <c r="C86" s="32">
        <f>C87+C88+C89+C90+C91</f>
        <v>0</v>
      </c>
      <c r="D86" s="32">
        <f>D87+D88+D89+D90+D91</f>
        <v>0</v>
      </c>
      <c r="E86" s="38" t="e">
        <f t="shared" si="3"/>
        <v>#DIV/0!</v>
      </c>
      <c r="F86" s="22">
        <f>F87+F88+F89+F90+F91</f>
        <v>0</v>
      </c>
    </row>
    <row r="87" spans="1:6" ht="13.5" customHeight="1" hidden="1">
      <c r="A87" s="35" t="s">
        <v>97</v>
      </c>
      <c r="B87" s="39" t="s">
        <v>98</v>
      </c>
      <c r="C87" s="37">
        <v>0</v>
      </c>
      <c r="D87" s="37">
        <v>0</v>
      </c>
      <c r="E87" s="38" t="e">
        <f t="shared" si="3"/>
        <v>#DIV/0!</v>
      </c>
      <c r="F87" s="38">
        <f>SUM(D87-C87)</f>
        <v>0</v>
      </c>
    </row>
    <row r="88" spans="1:6" ht="15.75" customHeight="1" hidden="1">
      <c r="A88" s="35" t="s">
        <v>99</v>
      </c>
      <c r="B88" s="39" t="s">
        <v>100</v>
      </c>
      <c r="C88" s="37"/>
      <c r="D88" s="37"/>
      <c r="E88" s="38" t="e">
        <f t="shared" si="3"/>
        <v>#DIV/0!</v>
      </c>
      <c r="F88" s="38">
        <f>SUM(D88-C88)</f>
        <v>0</v>
      </c>
    </row>
    <row r="89" spans="1:6" ht="15.75" customHeight="1" hidden="1">
      <c r="A89" s="35" t="s">
        <v>101</v>
      </c>
      <c r="B89" s="39" t="s">
        <v>102</v>
      </c>
      <c r="C89" s="37"/>
      <c r="D89" s="37"/>
      <c r="E89" s="38" t="e">
        <f t="shared" si="3"/>
        <v>#DIV/0!</v>
      </c>
      <c r="F89" s="38"/>
    </row>
    <row r="90" spans="1:6" ht="15.75" customHeight="1" hidden="1">
      <c r="A90" s="35" t="s">
        <v>103</v>
      </c>
      <c r="B90" s="39" t="s">
        <v>104</v>
      </c>
      <c r="C90" s="37"/>
      <c r="D90" s="37"/>
      <c r="E90" s="38" t="e">
        <f t="shared" si="3"/>
        <v>#DIV/0!</v>
      </c>
      <c r="F90" s="38"/>
    </row>
    <row r="91" spans="1:6" ht="15.75" customHeight="1" hidden="1">
      <c r="A91" s="35" t="s">
        <v>105</v>
      </c>
      <c r="B91" s="39" t="s">
        <v>106</v>
      </c>
      <c r="C91" s="37"/>
      <c r="D91" s="37"/>
      <c r="E91" s="38" t="e">
        <f t="shared" si="3"/>
        <v>#DIV/0!</v>
      </c>
      <c r="F91" s="38"/>
    </row>
    <row r="92" spans="1:6" s="6" customFormat="1" ht="15" customHeight="1">
      <c r="A92" s="52">
        <v>1400</v>
      </c>
      <c r="B92" s="56" t="s">
        <v>115</v>
      </c>
      <c r="C92" s="48"/>
      <c r="D92" s="48">
        <v>0</v>
      </c>
      <c r="E92" s="34" t="e">
        <f t="shared" si="3"/>
        <v>#DIV/0!</v>
      </c>
      <c r="F92" s="34">
        <f t="shared" si="4"/>
        <v>0</v>
      </c>
    </row>
    <row r="93" spans="1:6" ht="15" customHeight="1">
      <c r="A93" s="53">
        <v>1401</v>
      </c>
      <c r="B93" s="54" t="s">
        <v>116</v>
      </c>
      <c r="C93" s="49"/>
      <c r="D93" s="37"/>
      <c r="E93" s="38" t="e">
        <f t="shared" si="3"/>
        <v>#DIV/0!</v>
      </c>
      <c r="F93" s="38">
        <f t="shared" si="4"/>
        <v>0</v>
      </c>
    </row>
    <row r="94" spans="1:6" ht="18" customHeight="1">
      <c r="A94" s="30" t="s">
        <v>95</v>
      </c>
      <c r="B94" s="31" t="s">
        <v>96</v>
      </c>
      <c r="C94" s="48">
        <f>C95</f>
        <v>2</v>
      </c>
      <c r="D94" s="37">
        <f>D95</f>
        <v>2</v>
      </c>
      <c r="E94" s="38">
        <f t="shared" si="3"/>
        <v>100</v>
      </c>
      <c r="F94" s="38">
        <f t="shared" si="4"/>
        <v>0</v>
      </c>
    </row>
    <row r="95" spans="1:6" ht="18" customHeight="1">
      <c r="A95" s="35" t="s">
        <v>97</v>
      </c>
      <c r="B95" s="39" t="s">
        <v>98</v>
      </c>
      <c r="C95" s="49">
        <v>2</v>
      </c>
      <c r="D95" s="247">
        <v>2</v>
      </c>
      <c r="E95" s="38">
        <f t="shared" si="3"/>
        <v>100</v>
      </c>
      <c r="F95" s="38">
        <f t="shared" si="4"/>
        <v>0</v>
      </c>
    </row>
    <row r="96" spans="1:6" s="6" customFormat="1" ht="15.75">
      <c r="A96" s="52"/>
      <c r="B96" s="57" t="s">
        <v>119</v>
      </c>
      <c r="C96" s="317">
        <f>C54+C62+C64+C69+C75+C79+C94</f>
        <v>4824.5577</v>
      </c>
      <c r="D96" s="317">
        <f>D54+D62+D64+D69+D75+D79+D86+D81+D92+D94</f>
        <v>4661.94199</v>
      </c>
      <c r="E96" s="34">
        <f t="shared" si="3"/>
        <v>96.62941724170902</v>
      </c>
      <c r="F96" s="34">
        <f t="shared" si="4"/>
        <v>-162.61571000000004</v>
      </c>
    </row>
    <row r="97" spans="3:4" ht="16.5" customHeight="1">
      <c r="C97" s="127"/>
      <c r="D97" s="102"/>
    </row>
    <row r="98" spans="1:4" s="65" customFormat="1" ht="20.25" customHeight="1">
      <c r="A98" s="63" t="s">
        <v>120</v>
      </c>
      <c r="B98" s="63"/>
      <c r="C98" s="117"/>
      <c r="D98" s="64" t="s">
        <v>277</v>
      </c>
    </row>
    <row r="99" spans="1:3" s="65" customFormat="1" ht="13.5" customHeight="1">
      <c r="A99" s="66" t="s">
        <v>121</v>
      </c>
      <c r="B99" s="66"/>
      <c r="C99" s="65" t="s">
        <v>122</v>
      </c>
    </row>
    <row r="101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0" zoomScaleSheetLayoutView="70" zoomScalePageLayoutView="0" workbookViewId="0" topLeftCell="A34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5.57421875" style="62" customWidth="1"/>
    <col min="4" max="4" width="16.00390625" style="62" customWidth="1"/>
    <col min="5" max="5" width="10.28125" style="62" customWidth="1"/>
    <col min="6" max="6" width="9.42187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355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863.64</v>
      </c>
      <c r="D4" s="5">
        <f>D5+D12+D14+D17+D7</f>
        <v>869.9671099999999</v>
      </c>
      <c r="E4" s="5">
        <f>SUM(D4/C4*100)</f>
        <v>100.73260965216988</v>
      </c>
      <c r="F4" s="5">
        <f>SUM(D4-C4)</f>
        <v>6.327109999999948</v>
      </c>
    </row>
    <row r="5" spans="1:6" s="6" customFormat="1" ht="15.75">
      <c r="A5" s="68">
        <v>1010000000</v>
      </c>
      <c r="B5" s="67" t="s">
        <v>6</v>
      </c>
      <c r="C5" s="5">
        <f>C6</f>
        <v>127.11</v>
      </c>
      <c r="D5" s="5">
        <f>D6</f>
        <v>60.08087</v>
      </c>
      <c r="E5" s="5">
        <f aca="true" t="shared" si="0" ref="E5:E49">SUM(D5/C5*100)</f>
        <v>47.266831877901026</v>
      </c>
      <c r="F5" s="5">
        <f aca="true" t="shared" si="1" ref="F5:F49">SUM(D5-C5)</f>
        <v>-67.02913000000001</v>
      </c>
    </row>
    <row r="6" spans="1:6" ht="15.75">
      <c r="A6" s="7">
        <v>1010200001</v>
      </c>
      <c r="B6" s="8" t="s">
        <v>231</v>
      </c>
      <c r="C6" s="9">
        <v>127.11</v>
      </c>
      <c r="D6" s="10">
        <v>60.08087</v>
      </c>
      <c r="E6" s="9">
        <f aca="true" t="shared" si="2" ref="E6:E11">SUM(D6/C6*100)</f>
        <v>47.266831877901026</v>
      </c>
      <c r="F6" s="9">
        <f t="shared" si="1"/>
        <v>-67.02913000000001</v>
      </c>
    </row>
    <row r="7" spans="1:6" ht="31.5">
      <c r="A7" s="3">
        <v>1030000000</v>
      </c>
      <c r="B7" s="13" t="s">
        <v>285</v>
      </c>
      <c r="C7" s="5">
        <f>C8+C10+C9</f>
        <v>301.53</v>
      </c>
      <c r="D7" s="5">
        <f>D8+D10+D9+D11</f>
        <v>320.59181</v>
      </c>
      <c r="E7" s="5">
        <f t="shared" si="2"/>
        <v>106.32169601698007</v>
      </c>
      <c r="F7" s="5">
        <f t="shared" si="1"/>
        <v>19.061810000000037</v>
      </c>
    </row>
    <row r="8" spans="1:6" ht="15.75">
      <c r="A8" s="7">
        <v>1030223001</v>
      </c>
      <c r="B8" s="8" t="s">
        <v>287</v>
      </c>
      <c r="C8" s="9">
        <v>97.99</v>
      </c>
      <c r="D8" s="10">
        <v>131.73098</v>
      </c>
      <c r="E8" s="9">
        <f t="shared" si="2"/>
        <v>134.43308500867434</v>
      </c>
      <c r="F8" s="9">
        <f t="shared" si="1"/>
        <v>33.74097999999999</v>
      </c>
    </row>
    <row r="9" spans="1:6" ht="15.75">
      <c r="A9" s="7">
        <v>1030224001</v>
      </c>
      <c r="B9" s="8" t="s">
        <v>293</v>
      </c>
      <c r="C9" s="9">
        <v>1.21</v>
      </c>
      <c r="D9" s="10">
        <v>1.33729</v>
      </c>
      <c r="E9" s="9">
        <f t="shared" si="2"/>
        <v>110.51983471074381</v>
      </c>
      <c r="F9" s="9">
        <f t="shared" si="1"/>
        <v>0.12729000000000013</v>
      </c>
    </row>
    <row r="10" spans="1:6" ht="15.75">
      <c r="A10" s="7">
        <v>1030225001</v>
      </c>
      <c r="B10" s="8" t="s">
        <v>286</v>
      </c>
      <c r="C10" s="9">
        <v>202.33</v>
      </c>
      <c r="D10" s="10">
        <v>213.03672</v>
      </c>
      <c r="E10" s="9">
        <f t="shared" si="2"/>
        <v>105.29171156032224</v>
      </c>
      <c r="F10" s="9">
        <f t="shared" si="1"/>
        <v>10.70671999999999</v>
      </c>
    </row>
    <row r="11" spans="1:6" ht="15.75">
      <c r="A11" s="7">
        <v>1030226001</v>
      </c>
      <c r="B11" s="8" t="s">
        <v>295</v>
      </c>
      <c r="C11" s="9">
        <v>0</v>
      </c>
      <c r="D11" s="10">
        <v>-25.51318</v>
      </c>
      <c r="E11" s="9" t="e">
        <f t="shared" si="2"/>
        <v>#DIV/0!</v>
      </c>
      <c r="F11" s="9">
        <f t="shared" si="1"/>
        <v>-25.51318</v>
      </c>
    </row>
    <row r="12" spans="1:6" s="6" customFormat="1" ht="15.75">
      <c r="A12" s="68">
        <v>1050000000</v>
      </c>
      <c r="B12" s="67" t="s">
        <v>7</v>
      </c>
      <c r="C12" s="5">
        <f>SUM(C13:C13)</f>
        <v>15</v>
      </c>
      <c r="D12" s="5">
        <f>SUM(D13:D13)</f>
        <v>3.084</v>
      </c>
      <c r="E12" s="5">
        <f t="shared" si="0"/>
        <v>20.560000000000002</v>
      </c>
      <c r="F12" s="5">
        <f t="shared" si="1"/>
        <v>-11.916</v>
      </c>
    </row>
    <row r="13" spans="1:6" ht="15.75" customHeight="1">
      <c r="A13" s="7">
        <v>1050300000</v>
      </c>
      <c r="B13" s="11" t="s">
        <v>232</v>
      </c>
      <c r="C13" s="12">
        <v>15</v>
      </c>
      <c r="D13" s="10">
        <v>3.084</v>
      </c>
      <c r="E13" s="9">
        <f t="shared" si="0"/>
        <v>20.560000000000002</v>
      </c>
      <c r="F13" s="9">
        <f t="shared" si="1"/>
        <v>-11.916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410</v>
      </c>
      <c r="D14" s="368">
        <f>D15+D16</f>
        <v>480.06043</v>
      </c>
      <c r="E14" s="5">
        <f t="shared" si="0"/>
        <v>117.08790975609756</v>
      </c>
      <c r="F14" s="5">
        <f t="shared" si="1"/>
        <v>70.06043</v>
      </c>
    </row>
    <row r="15" spans="1:6" s="6" customFormat="1" ht="15.75" customHeight="1">
      <c r="A15" s="7">
        <v>1060100000</v>
      </c>
      <c r="B15" s="11" t="s">
        <v>9</v>
      </c>
      <c r="C15" s="9">
        <v>50</v>
      </c>
      <c r="D15" s="10">
        <v>81.13049</v>
      </c>
      <c r="E15" s="9">
        <f t="shared" si="0"/>
        <v>162.26098</v>
      </c>
      <c r="F15" s="9">
        <f>SUM(D15-C15)</f>
        <v>31.130489999999995</v>
      </c>
    </row>
    <row r="16" spans="1:6" ht="15.75" customHeight="1">
      <c r="A16" s="7">
        <v>1060600000</v>
      </c>
      <c r="B16" s="11" t="s">
        <v>8</v>
      </c>
      <c r="C16" s="9">
        <v>360</v>
      </c>
      <c r="D16" s="10">
        <v>398.92994</v>
      </c>
      <c r="E16" s="9">
        <f t="shared" si="0"/>
        <v>110.81387222222222</v>
      </c>
      <c r="F16" s="9">
        <f t="shared" si="1"/>
        <v>38.92993999999999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6.15</v>
      </c>
      <c r="E17" s="5">
        <f t="shared" si="0"/>
        <v>61.5</v>
      </c>
      <c r="F17" s="5">
        <f t="shared" si="1"/>
        <v>-3.8499999999999996</v>
      </c>
    </row>
    <row r="18" spans="1:6" ht="14.25" customHeight="1">
      <c r="A18" s="7">
        <v>1080400001</v>
      </c>
      <c r="B18" s="8" t="s">
        <v>230</v>
      </c>
      <c r="C18" s="9">
        <v>10</v>
      </c>
      <c r="D18" s="10">
        <v>6.15</v>
      </c>
      <c r="E18" s="9">
        <f t="shared" si="0"/>
        <v>61.5</v>
      </c>
      <c r="F18" s="9">
        <f t="shared" si="1"/>
        <v>-3.8499999999999996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190</v>
      </c>
      <c r="D25" s="5">
        <f>D27+D29</f>
        <v>43.76388</v>
      </c>
      <c r="E25" s="5">
        <f t="shared" si="0"/>
        <v>23.033621052631577</v>
      </c>
      <c r="F25" s="5">
        <f t="shared" si="1"/>
        <v>-146.23612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190</v>
      </c>
      <c r="D26" s="5">
        <f>D27</f>
        <v>40.52399</v>
      </c>
      <c r="E26" s="5">
        <f t="shared" si="0"/>
        <v>21.328415789473684</v>
      </c>
      <c r="F26" s="5">
        <f t="shared" si="1"/>
        <v>-149.47601</v>
      </c>
    </row>
    <row r="27" spans="1:6" ht="15.75">
      <c r="A27" s="16">
        <v>1110501101</v>
      </c>
      <c r="B27" s="17" t="s">
        <v>228</v>
      </c>
      <c r="C27" s="12">
        <v>190</v>
      </c>
      <c r="D27" s="10">
        <v>40.52399</v>
      </c>
      <c r="E27" s="9">
        <f t="shared" si="0"/>
        <v>21.328415789473684</v>
      </c>
      <c r="F27" s="9">
        <f t="shared" si="1"/>
        <v>-149.47601</v>
      </c>
    </row>
    <row r="28" spans="1:6" ht="15" customHeight="1">
      <c r="A28" s="7">
        <v>1110503505</v>
      </c>
      <c r="B28" s="11" t="s">
        <v>227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3.23989</v>
      </c>
      <c r="E29" s="5" t="e">
        <f t="shared" si="0"/>
        <v>#DIV/0!</v>
      </c>
      <c r="F29" s="5">
        <f t="shared" si="1"/>
        <v>3.23989</v>
      </c>
    </row>
    <row r="30" spans="1:6" ht="15.75">
      <c r="A30" s="7">
        <v>1130305005</v>
      </c>
      <c r="B30" s="8" t="s">
        <v>15</v>
      </c>
      <c r="C30" s="9">
        <v>0</v>
      </c>
      <c r="D30" s="10">
        <v>3.23989</v>
      </c>
      <c r="E30" s="9" t="e">
        <f t="shared" si="0"/>
        <v>#DIV/0!</v>
      </c>
      <c r="F30" s="9">
        <f t="shared" si="1"/>
        <v>3.23989</v>
      </c>
    </row>
    <row r="31" spans="1:6" ht="16.5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18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7.2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6" ht="1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6" ht="22.5" customHeight="1">
      <c r="A36" s="7">
        <v>1170505005</v>
      </c>
      <c r="B36" s="11" t="s">
        <v>223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8.75" customHeight="1">
      <c r="A37" s="3">
        <v>1000000000</v>
      </c>
      <c r="B37" s="4" t="s">
        <v>19</v>
      </c>
      <c r="C37" s="128">
        <f>SUM(C4,C25)</f>
        <v>1053.6399999999999</v>
      </c>
      <c r="D37" s="128">
        <f>D4+D25</f>
        <v>913.7309899999999</v>
      </c>
      <c r="E37" s="5">
        <f t="shared" si="0"/>
        <v>86.72136498234691</v>
      </c>
      <c r="F37" s="5">
        <f t="shared" si="1"/>
        <v>-139.90900999999997</v>
      </c>
    </row>
    <row r="38" spans="1:7" s="6" customFormat="1" ht="15.75">
      <c r="A38" s="3">
        <v>2000000000</v>
      </c>
      <c r="B38" s="4" t="s">
        <v>20</v>
      </c>
      <c r="C38" s="5">
        <f>C39+C41+C42+C43+C44</f>
        <v>2526.8666099999996</v>
      </c>
      <c r="D38" s="5">
        <f>D39+D41+D42+D43</f>
        <v>2505.0127599999996</v>
      </c>
      <c r="E38" s="5">
        <f t="shared" si="0"/>
        <v>99.13514033888792</v>
      </c>
      <c r="F38" s="5">
        <f t="shared" si="1"/>
        <v>-21.853849999999966</v>
      </c>
      <c r="G38" s="19"/>
    </row>
    <row r="39" spans="1:6" ht="14.25" customHeight="1">
      <c r="A39" s="16">
        <v>2020100000</v>
      </c>
      <c r="B39" s="17" t="s">
        <v>21</v>
      </c>
      <c r="C39" s="99">
        <v>968.8</v>
      </c>
      <c r="D39" s="20">
        <v>968.8</v>
      </c>
      <c r="E39" s="9">
        <f t="shared" si="0"/>
        <v>100</v>
      </c>
      <c r="F39" s="9">
        <f t="shared" si="1"/>
        <v>0</v>
      </c>
    </row>
    <row r="40" spans="1:6" ht="15.75" customHeight="1" hidden="1">
      <c r="A40" s="16">
        <v>2020100310</v>
      </c>
      <c r="B40" s="17" t="s">
        <v>234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6" ht="15.75" customHeight="1">
      <c r="A41" s="16">
        <v>2020100000</v>
      </c>
      <c r="B41" s="17" t="s">
        <v>234</v>
      </c>
      <c r="C41" s="99">
        <v>580</v>
      </c>
      <c r="D41" s="20">
        <v>580</v>
      </c>
      <c r="E41" s="9">
        <f t="shared" si="0"/>
        <v>100</v>
      </c>
      <c r="F41" s="9">
        <f t="shared" si="1"/>
        <v>0</v>
      </c>
    </row>
    <row r="42" spans="1:6" ht="15.75">
      <c r="A42" s="16">
        <v>2020200000</v>
      </c>
      <c r="B42" s="17" t="s">
        <v>22</v>
      </c>
      <c r="C42" s="99">
        <v>906.17</v>
      </c>
      <c r="D42" s="10">
        <v>884.31615</v>
      </c>
      <c r="E42" s="9"/>
      <c r="F42" s="9">
        <f t="shared" si="1"/>
        <v>-21.853849999999966</v>
      </c>
    </row>
    <row r="43" spans="1:6" ht="15" customHeight="1">
      <c r="A43" s="16">
        <v>2020300000</v>
      </c>
      <c r="B43" s="17" t="s">
        <v>23</v>
      </c>
      <c r="C43" s="12">
        <v>71.89661</v>
      </c>
      <c r="D43" s="258">
        <v>71.89661</v>
      </c>
      <c r="E43" s="9">
        <f t="shared" si="0"/>
        <v>100</v>
      </c>
      <c r="F43" s="9">
        <f t="shared" si="1"/>
        <v>0</v>
      </c>
    </row>
    <row r="44" spans="1:6" ht="23.25" customHeight="1">
      <c r="A44" s="16">
        <v>2020400000</v>
      </c>
      <c r="B44" s="17" t="s">
        <v>24</v>
      </c>
      <c r="C44" s="12"/>
      <c r="D44" s="259"/>
      <c r="E44" s="9" t="e">
        <f t="shared" si="0"/>
        <v>#DIV/0!</v>
      </c>
      <c r="F44" s="9">
        <f t="shared" si="1"/>
        <v>0</v>
      </c>
    </row>
    <row r="45" spans="1:6" ht="0.75" customHeight="1" hidden="1">
      <c r="A45" s="16">
        <v>2020900000</v>
      </c>
      <c r="B45" s="18" t="s">
        <v>25</v>
      </c>
      <c r="C45" s="12"/>
      <c r="D45" s="259"/>
      <c r="E45" s="9" t="e">
        <f t="shared" si="0"/>
        <v>#DIV/0!</v>
      </c>
      <c r="F45" s="9">
        <f t="shared" si="1"/>
        <v>0</v>
      </c>
    </row>
    <row r="46" spans="1:6" ht="19.5" customHeight="1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6" s="6" customFormat="1" ht="15.75" customHeight="1" hidden="1">
      <c r="A47" s="3">
        <v>3000000000</v>
      </c>
      <c r="B47" s="13" t="s">
        <v>27</v>
      </c>
      <c r="C47" s="295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6" s="6" customFormat="1" ht="15" customHeight="1">
      <c r="A48" s="3">
        <v>2190500010</v>
      </c>
      <c r="B48" s="13" t="s">
        <v>331</v>
      </c>
      <c r="C48" s="295">
        <v>0</v>
      </c>
      <c r="D48" s="14">
        <v>0</v>
      </c>
      <c r="E48" s="5"/>
      <c r="F48" s="5"/>
    </row>
    <row r="49" spans="1:7" s="6" customFormat="1" ht="16.5" customHeight="1">
      <c r="A49" s="3"/>
      <c r="B49" s="4" t="s">
        <v>28</v>
      </c>
      <c r="C49" s="369">
        <f>C37+C38</f>
        <v>3580.5066099999995</v>
      </c>
      <c r="D49" s="369">
        <f>D37+D38</f>
        <v>3418.7437499999996</v>
      </c>
      <c r="E49" s="5">
        <f t="shared" si="0"/>
        <v>95.48212368751918</v>
      </c>
      <c r="F49" s="5">
        <f t="shared" si="1"/>
        <v>-161.76285999999982</v>
      </c>
      <c r="G49" s="318"/>
    </row>
    <row r="50" spans="1:6" s="6" customFormat="1" ht="23.25" customHeight="1">
      <c r="A50" s="3"/>
      <c r="B50" s="21" t="s">
        <v>326</v>
      </c>
      <c r="C50" s="93">
        <f>C49-C95</f>
        <v>-199.0610000000006</v>
      </c>
      <c r="D50" s="93">
        <f>D49-D95</f>
        <v>-182.3034400000006</v>
      </c>
      <c r="E50" s="22"/>
      <c r="F50" s="22"/>
    </row>
    <row r="51" spans="1:6" ht="15.75">
      <c r="A51" s="23"/>
      <c r="B51" s="24"/>
      <c r="C51" s="116"/>
      <c r="D51" s="25"/>
      <c r="E51" s="26"/>
      <c r="F51" s="27"/>
    </row>
    <row r="52" spans="1:6" ht="32.25" customHeight="1">
      <c r="A52" s="28" t="s">
        <v>1</v>
      </c>
      <c r="B52" s="28" t="s">
        <v>29</v>
      </c>
      <c r="C52" s="255" t="s">
        <v>340</v>
      </c>
      <c r="D52" s="73" t="s">
        <v>353</v>
      </c>
      <c r="E52" s="72" t="s">
        <v>3</v>
      </c>
      <c r="F52" s="74" t="s">
        <v>4</v>
      </c>
    </row>
    <row r="53" spans="1:6" ht="15.75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17.25" customHeight="1">
      <c r="A54" s="30" t="s">
        <v>30</v>
      </c>
      <c r="B54" s="31" t="s">
        <v>31</v>
      </c>
      <c r="C54" s="32">
        <f>C55+C56+C57+C58+C59+C61+C60</f>
        <v>982.077</v>
      </c>
      <c r="D54" s="33">
        <f>D56+D61</f>
        <v>901.45545</v>
      </c>
      <c r="E54" s="34">
        <f>SUM(D54/C54*100)</f>
        <v>91.79070989341976</v>
      </c>
      <c r="F54" s="34">
        <f>SUM(D54-C54)</f>
        <v>-80.62154999999996</v>
      </c>
    </row>
    <row r="55" spans="1:6" s="6" customFormat="1" ht="17.25" customHeight="1" hidden="1">
      <c r="A55" s="35" t="s">
        <v>32</v>
      </c>
      <c r="B55" s="36" t="s">
        <v>33</v>
      </c>
      <c r="C55" s="37"/>
      <c r="D55" s="37"/>
      <c r="E55" s="38"/>
      <c r="F55" s="38"/>
    </row>
    <row r="56" spans="1:6" ht="16.5" customHeight="1">
      <c r="A56" s="35" t="s">
        <v>34</v>
      </c>
      <c r="B56" s="39" t="s">
        <v>35</v>
      </c>
      <c r="C56" s="37">
        <v>973.327</v>
      </c>
      <c r="D56" s="37">
        <v>898.45342</v>
      </c>
      <c r="E56" s="38">
        <f>SUM(D56/C56*100)</f>
        <v>92.30745884990348</v>
      </c>
      <c r="F56" s="38">
        <f aca="true" t="shared" si="3" ref="F56:F95">SUM(D56-C56)</f>
        <v>-74.87357999999995</v>
      </c>
    </row>
    <row r="57" spans="1:6" ht="17.25" customHeight="1" hidden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6" ht="17.25" customHeight="1" hidden="1">
      <c r="A58" s="35" t="s">
        <v>38</v>
      </c>
      <c r="B58" s="39" t="s">
        <v>39</v>
      </c>
      <c r="C58" s="37"/>
      <c r="D58" s="37"/>
      <c r="E58" s="38" t="e">
        <f aca="true" t="shared" si="4" ref="E58:E95">SUM(D58/C58*100)</f>
        <v>#DIV/0!</v>
      </c>
      <c r="F58" s="38">
        <f t="shared" si="3"/>
        <v>0</v>
      </c>
    </row>
    <row r="59" spans="1:6" ht="16.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6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6" ht="17.25" customHeight="1">
      <c r="A61" s="35" t="s">
        <v>44</v>
      </c>
      <c r="B61" s="39" t="s">
        <v>45</v>
      </c>
      <c r="C61" s="37">
        <v>3.75</v>
      </c>
      <c r="D61" s="37">
        <v>3.00203</v>
      </c>
      <c r="E61" s="38">
        <f t="shared" si="4"/>
        <v>80.05413333333334</v>
      </c>
      <c r="F61" s="38">
        <f t="shared" si="3"/>
        <v>-0.74797</v>
      </c>
    </row>
    <row r="62" spans="1:6" s="6" customFormat="1" ht="17.25" customHeight="1">
      <c r="A62" s="41" t="s">
        <v>46</v>
      </c>
      <c r="B62" s="42" t="s">
        <v>47</v>
      </c>
      <c r="C62" s="32">
        <f>C63</f>
        <v>71.26501</v>
      </c>
      <c r="D62" s="32">
        <f>D63</f>
        <v>71.26501</v>
      </c>
      <c r="E62" s="34">
        <f t="shared" si="4"/>
        <v>100</v>
      </c>
      <c r="F62" s="34">
        <f t="shared" si="3"/>
        <v>0</v>
      </c>
    </row>
    <row r="63" spans="1:6" ht="17.25" customHeight="1">
      <c r="A63" s="43" t="s">
        <v>48</v>
      </c>
      <c r="B63" s="44" t="s">
        <v>49</v>
      </c>
      <c r="C63" s="37">
        <v>71.26501</v>
      </c>
      <c r="D63" s="37">
        <v>71.26501</v>
      </c>
      <c r="E63" s="38">
        <f t="shared" si="4"/>
        <v>100</v>
      </c>
      <c r="F63" s="38">
        <f t="shared" si="3"/>
        <v>0</v>
      </c>
    </row>
    <row r="64" spans="1:6" s="6" customFormat="1" ht="18" customHeight="1">
      <c r="A64" s="30" t="s">
        <v>50</v>
      </c>
      <c r="B64" s="31" t="s">
        <v>51</v>
      </c>
      <c r="C64" s="32">
        <f>C67+C68</f>
        <v>2</v>
      </c>
      <c r="D64" s="32">
        <f>SUM(D65:D67)</f>
        <v>0</v>
      </c>
      <c r="E64" s="34">
        <f t="shared" si="4"/>
        <v>0</v>
      </c>
      <c r="F64" s="34">
        <f t="shared" si="3"/>
        <v>-2</v>
      </c>
    </row>
    <row r="65" spans="1:6" ht="17.25" customHeight="1" hidden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6" ht="17.25" customHeight="1" hidden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6" ht="18" customHeight="1">
      <c r="A67" s="46" t="s">
        <v>56</v>
      </c>
      <c r="B67" s="47" t="s">
        <v>57</v>
      </c>
      <c r="C67" s="37">
        <v>1</v>
      </c>
      <c r="D67" s="37">
        <v>0</v>
      </c>
      <c r="E67" s="34">
        <f t="shared" si="4"/>
        <v>0</v>
      </c>
      <c r="F67" s="34">
        <f t="shared" si="3"/>
        <v>-1</v>
      </c>
    </row>
    <row r="68" spans="1:6" ht="18" customHeight="1">
      <c r="A68" s="46" t="s">
        <v>221</v>
      </c>
      <c r="B68" s="47" t="s">
        <v>222</v>
      </c>
      <c r="C68" s="37">
        <v>1</v>
      </c>
      <c r="D68" s="37">
        <v>0</v>
      </c>
      <c r="E68" s="38">
        <f t="shared" si="4"/>
        <v>0</v>
      </c>
      <c r="F68" s="38">
        <f t="shared" si="3"/>
        <v>-1</v>
      </c>
    </row>
    <row r="69" spans="1:6" s="6" customFormat="1" ht="15.75" customHeight="1">
      <c r="A69" s="30" t="s">
        <v>58</v>
      </c>
      <c r="B69" s="31" t="s">
        <v>59</v>
      </c>
      <c r="C69" s="48">
        <f>SUM(C70:C73)</f>
        <v>951.784</v>
      </c>
      <c r="D69" s="48">
        <f>D70+D71+D72+D73</f>
        <v>904.1002100000001</v>
      </c>
      <c r="E69" s="34">
        <f t="shared" si="4"/>
        <v>94.99006182074925</v>
      </c>
      <c r="F69" s="34">
        <f t="shared" si="3"/>
        <v>-47.68378999999993</v>
      </c>
    </row>
    <row r="70" spans="1:6" ht="18" customHeight="1">
      <c r="A70" s="35" t="s">
        <v>60</v>
      </c>
      <c r="B70" s="39" t="s">
        <v>61</v>
      </c>
      <c r="C70" s="49">
        <v>2.5</v>
      </c>
      <c r="D70" s="37">
        <v>2.5</v>
      </c>
      <c r="E70" s="38">
        <f t="shared" si="4"/>
        <v>100</v>
      </c>
      <c r="F70" s="38">
        <f t="shared" si="3"/>
        <v>0</v>
      </c>
    </row>
    <row r="71" spans="1:7" s="6" customFormat="1" ht="19.5" customHeight="1">
      <c r="A71" s="35" t="s">
        <v>62</v>
      </c>
      <c r="B71" s="39" t="s">
        <v>63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6" ht="17.25" customHeight="1">
      <c r="A72" s="35" t="s">
        <v>64</v>
      </c>
      <c r="B72" s="39" t="s">
        <v>65</v>
      </c>
      <c r="C72" s="49">
        <v>671.761</v>
      </c>
      <c r="D72" s="37">
        <v>655.20721</v>
      </c>
      <c r="E72" s="38">
        <f t="shared" si="4"/>
        <v>97.53576197486905</v>
      </c>
      <c r="F72" s="38">
        <f t="shared" si="3"/>
        <v>-16.553789999999935</v>
      </c>
    </row>
    <row r="73" spans="1:6" ht="15.75" customHeight="1">
      <c r="A73" s="35" t="s">
        <v>66</v>
      </c>
      <c r="B73" s="39" t="s">
        <v>67</v>
      </c>
      <c r="C73" s="49">
        <v>277.523</v>
      </c>
      <c r="D73" s="37">
        <v>246.393</v>
      </c>
      <c r="E73" s="38">
        <f t="shared" si="4"/>
        <v>88.78291168659894</v>
      </c>
      <c r="F73" s="38">
        <f t="shared" si="3"/>
        <v>-31.130000000000024</v>
      </c>
    </row>
    <row r="74" spans="1:6" s="6" customFormat="1" ht="17.25" customHeight="1">
      <c r="A74" s="30" t="s">
        <v>68</v>
      </c>
      <c r="B74" s="31" t="s">
        <v>69</v>
      </c>
      <c r="C74" s="32">
        <f>SUM(C75:C77)</f>
        <v>241.0416</v>
      </c>
      <c r="D74" s="32">
        <f>D77</f>
        <v>228.18037</v>
      </c>
      <c r="E74" s="34">
        <f t="shared" si="4"/>
        <v>94.66431105668069</v>
      </c>
      <c r="F74" s="34">
        <f t="shared" si="3"/>
        <v>-12.861229999999978</v>
      </c>
    </row>
    <row r="75" spans="1:6" ht="15.75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6" ht="15.75" customHeight="1">
      <c r="A76" s="35" t="s">
        <v>72</v>
      </c>
      <c r="B76" s="51" t="s">
        <v>73</v>
      </c>
      <c r="C76" s="37">
        <v>0</v>
      </c>
      <c r="D76" s="37"/>
      <c r="E76" s="38" t="e">
        <f t="shared" si="4"/>
        <v>#DIV/0!</v>
      </c>
      <c r="F76" s="38">
        <f t="shared" si="3"/>
        <v>0</v>
      </c>
    </row>
    <row r="77" spans="1:6" ht="17.25" customHeight="1">
      <c r="A77" s="35" t="s">
        <v>74</v>
      </c>
      <c r="B77" s="39" t="s">
        <v>75</v>
      </c>
      <c r="C77" s="37">
        <v>241.0416</v>
      </c>
      <c r="D77" s="37">
        <v>228.18037</v>
      </c>
      <c r="E77" s="38">
        <f t="shared" si="4"/>
        <v>94.66431105668069</v>
      </c>
      <c r="F77" s="38">
        <f t="shared" si="3"/>
        <v>-12.861229999999978</v>
      </c>
    </row>
    <row r="78" spans="1:6" s="6" customFormat="1" ht="17.25" customHeight="1">
      <c r="A78" s="30" t="s">
        <v>86</v>
      </c>
      <c r="B78" s="31" t="s">
        <v>87</v>
      </c>
      <c r="C78" s="32">
        <f>C79</f>
        <v>1530.4</v>
      </c>
      <c r="D78" s="32">
        <f>D79</f>
        <v>1496.04615</v>
      </c>
      <c r="E78" s="34">
        <f t="shared" si="4"/>
        <v>97.75523719289073</v>
      </c>
      <c r="F78" s="34">
        <f t="shared" si="3"/>
        <v>-34.35385000000019</v>
      </c>
    </row>
    <row r="79" spans="1:6" ht="16.5" customHeight="1">
      <c r="A79" s="35" t="s">
        <v>88</v>
      </c>
      <c r="B79" s="39" t="s">
        <v>236</v>
      </c>
      <c r="C79" s="37">
        <f>742.9+787.5</f>
        <v>1530.4</v>
      </c>
      <c r="D79" s="37">
        <v>1496.04615</v>
      </c>
      <c r="E79" s="38">
        <f t="shared" si="4"/>
        <v>97.75523719289073</v>
      </c>
      <c r="F79" s="38">
        <f t="shared" si="3"/>
        <v>-34.35385000000019</v>
      </c>
    </row>
    <row r="80" spans="1:6" s="6" customFormat="1" ht="1.5" customHeight="1" hidden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6" ht="17.25" customHeight="1" hidden="1">
      <c r="A81" s="53">
        <v>1001</v>
      </c>
      <c r="B81" s="54" t="s">
        <v>90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6" ht="17.25" customHeight="1" hidden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6" ht="17.25" customHeight="1" hidden="1">
      <c r="A83" s="53">
        <v>1004</v>
      </c>
      <c r="B83" s="54" t="s">
        <v>92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6" ht="17.25" customHeight="1" hidden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3"/>
        <v>0</v>
      </c>
    </row>
    <row r="85" spans="1:6" ht="17.25" customHeight="1">
      <c r="A85" s="30" t="s">
        <v>95</v>
      </c>
      <c r="B85" s="31" t="s">
        <v>96</v>
      </c>
      <c r="C85" s="32">
        <f>C86+C87+C88+C89+C90</f>
        <v>1</v>
      </c>
      <c r="D85" s="32">
        <f>D86+D87+D88+D89+D90</f>
        <v>0</v>
      </c>
      <c r="E85" s="38">
        <f t="shared" si="4"/>
        <v>0</v>
      </c>
      <c r="F85" s="22">
        <f>F86+F87+F88+F89+F90</f>
        <v>-1</v>
      </c>
    </row>
    <row r="86" spans="1:6" ht="26.25" customHeight="1">
      <c r="A86" s="35" t="s">
        <v>97</v>
      </c>
      <c r="B86" s="39" t="s">
        <v>98</v>
      </c>
      <c r="C86" s="37">
        <v>1</v>
      </c>
      <c r="D86" s="37">
        <v>0</v>
      </c>
      <c r="E86" s="38">
        <f t="shared" si="4"/>
        <v>0</v>
      </c>
      <c r="F86" s="38">
        <f>SUM(D86-C86)</f>
        <v>-1</v>
      </c>
    </row>
    <row r="87" spans="1:6" ht="15.75" customHeight="1" hidden="1">
      <c r="A87" s="35" t="s">
        <v>99</v>
      </c>
      <c r="B87" s="39" t="s">
        <v>100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6" ht="15.75" customHeight="1" hidden="1">
      <c r="A88" s="35" t="s">
        <v>101</v>
      </c>
      <c r="B88" s="39" t="s">
        <v>102</v>
      </c>
      <c r="C88" s="37"/>
      <c r="D88" s="37"/>
      <c r="E88" s="38" t="e">
        <f t="shared" si="4"/>
        <v>#DIV/0!</v>
      </c>
      <c r="F88" s="38"/>
    </row>
    <row r="89" spans="1:6" ht="15.75" customHeight="1" hidden="1">
      <c r="A89" s="35" t="s">
        <v>103</v>
      </c>
      <c r="B89" s="39" t="s">
        <v>104</v>
      </c>
      <c r="C89" s="37"/>
      <c r="D89" s="37"/>
      <c r="E89" s="38" t="e">
        <f t="shared" si="4"/>
        <v>#DIV/0!</v>
      </c>
      <c r="F89" s="38"/>
    </row>
    <row r="90" spans="1:6" ht="15.75" customHeight="1" hidden="1">
      <c r="A90" s="35" t="s">
        <v>105</v>
      </c>
      <c r="B90" s="39" t="s">
        <v>106</v>
      </c>
      <c r="C90" s="37"/>
      <c r="D90" s="37"/>
      <c r="E90" s="38" t="e">
        <f t="shared" si="4"/>
        <v>#DIV/0!</v>
      </c>
      <c r="F90" s="38"/>
    </row>
    <row r="91" spans="1:6" s="6" customFormat="1" ht="15.75" customHeight="1" hidden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6" ht="15.75" customHeight="1" hidden="1">
      <c r="A92" s="53">
        <v>1401</v>
      </c>
      <c r="B92" s="54" t="s">
        <v>116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ht="57.75" customHeight="1" hidden="1">
      <c r="A93" s="53">
        <v>1402</v>
      </c>
      <c r="B93" s="54" t="s">
        <v>117</v>
      </c>
      <c r="C93" s="246"/>
      <c r="D93" s="247"/>
      <c r="E93" s="38" t="e">
        <f t="shared" si="4"/>
        <v>#DIV/0!</v>
      </c>
      <c r="F93" s="38">
        <f t="shared" si="3"/>
        <v>0</v>
      </c>
    </row>
    <row r="94" spans="1:6" ht="15.75" customHeight="1" hidden="1">
      <c r="A94" s="53">
        <v>1403</v>
      </c>
      <c r="B94" s="54" t="s">
        <v>118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6" s="6" customFormat="1" ht="16.5" customHeight="1">
      <c r="A95" s="52"/>
      <c r="B95" s="57" t="s">
        <v>119</v>
      </c>
      <c r="C95" s="317">
        <f>C54+C62+C64+C69+C74+C78+C80+C85+C91</f>
        <v>3779.56761</v>
      </c>
      <c r="D95" s="317">
        <f>D54+D62+D64+D69+D74+D78+D85</f>
        <v>3601.0471900000002</v>
      </c>
      <c r="E95" s="34">
        <f t="shared" si="4"/>
        <v>95.27669727278672</v>
      </c>
      <c r="F95" s="34">
        <f t="shared" si="3"/>
        <v>-178.52041999999983</v>
      </c>
    </row>
    <row r="96" spans="3:4" ht="20.25" customHeight="1">
      <c r="C96" s="127"/>
      <c r="D96" s="102"/>
    </row>
    <row r="97" spans="1:4" s="65" customFormat="1" ht="13.5" customHeight="1">
      <c r="A97" s="63" t="s">
        <v>120</v>
      </c>
      <c r="B97" s="63"/>
      <c r="C97" s="117"/>
      <c r="D97" s="64"/>
    </row>
    <row r="98" spans="1:4" s="65" customFormat="1" ht="12.75">
      <c r="A98" s="66" t="s">
        <v>121</v>
      </c>
      <c r="B98" s="66"/>
      <c r="C98" s="135" t="s">
        <v>122</v>
      </c>
      <c r="D98" s="135"/>
    </row>
    <row r="99" ht="5.25" customHeight="1">
      <c r="C99" s="12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SheetLayoutView="70" zoomScalePageLayoutView="0" workbookViewId="0" topLeftCell="A43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7109375" style="62" customWidth="1"/>
    <col min="4" max="4" width="15.7109375" style="62" customWidth="1"/>
    <col min="5" max="5" width="12.57421875" style="62" customWidth="1"/>
    <col min="6" max="6" width="9.8515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356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C5+C12+C17+C7+C14</f>
        <v>935.23</v>
      </c>
      <c r="D4" s="316">
        <f>D5+D12+D14+D17+D20+D7</f>
        <v>1012.5954399999998</v>
      </c>
      <c r="E4" s="5">
        <f>SUM(D4/C4*100)</f>
        <v>108.27234370154932</v>
      </c>
      <c r="F4" s="5">
        <f>SUM(D4-C4)</f>
        <v>77.36543999999981</v>
      </c>
    </row>
    <row r="5" spans="1:6" s="6" customFormat="1" ht="15.75">
      <c r="A5" s="68">
        <v>1010000000</v>
      </c>
      <c r="B5" s="67" t="s">
        <v>6</v>
      </c>
      <c r="C5" s="5">
        <f>C6</f>
        <v>82.41</v>
      </c>
      <c r="D5" s="316">
        <f>D6</f>
        <v>88.15832</v>
      </c>
      <c r="E5" s="5">
        <f aca="true" t="shared" si="0" ref="E5:E50">SUM(D5/C5*100)</f>
        <v>106.97526999150588</v>
      </c>
      <c r="F5" s="5">
        <f aca="true" t="shared" si="1" ref="F5:F50">SUM(D5-C5)</f>
        <v>5.748320000000007</v>
      </c>
    </row>
    <row r="6" spans="1:6" ht="15.75">
      <c r="A6" s="7">
        <v>1010200001</v>
      </c>
      <c r="B6" s="8" t="s">
        <v>231</v>
      </c>
      <c r="C6" s="9">
        <v>82.41</v>
      </c>
      <c r="D6" s="371">
        <v>88.15832</v>
      </c>
      <c r="E6" s="9">
        <f aca="true" t="shared" si="2" ref="E6:E11">SUM(D6/C6*100)</f>
        <v>106.97526999150588</v>
      </c>
      <c r="F6" s="9">
        <f t="shared" si="1"/>
        <v>5.748320000000007</v>
      </c>
    </row>
    <row r="7" spans="1:6" ht="31.5">
      <c r="A7" s="3">
        <v>1030000000</v>
      </c>
      <c r="B7" s="13" t="s">
        <v>285</v>
      </c>
      <c r="C7" s="5">
        <f>C8+C10+C9</f>
        <v>287.82</v>
      </c>
      <c r="D7" s="316">
        <f>D8+D10+D9+D11</f>
        <v>306.01944999999995</v>
      </c>
      <c r="E7" s="9">
        <f t="shared" si="2"/>
        <v>106.32320547564449</v>
      </c>
      <c r="F7" s="9">
        <f t="shared" si="1"/>
        <v>18.199449999999956</v>
      </c>
    </row>
    <row r="8" spans="1:6" ht="15.75">
      <c r="A8" s="7">
        <v>1030223001</v>
      </c>
      <c r="B8" s="8" t="s">
        <v>287</v>
      </c>
      <c r="C8" s="9">
        <v>93.54</v>
      </c>
      <c r="D8" s="371">
        <v>125.74319</v>
      </c>
      <c r="E8" s="9">
        <f t="shared" si="2"/>
        <v>134.4271862304896</v>
      </c>
      <c r="F8" s="9">
        <f t="shared" si="1"/>
        <v>32.20318999999999</v>
      </c>
    </row>
    <row r="9" spans="1:6" ht="15.75">
      <c r="A9" s="7">
        <v>1030224001</v>
      </c>
      <c r="B9" s="8" t="s">
        <v>293</v>
      </c>
      <c r="C9" s="9">
        <v>1.15</v>
      </c>
      <c r="D9" s="371">
        <v>1.2765</v>
      </c>
      <c r="E9" s="9">
        <f t="shared" si="2"/>
        <v>111.00000000000001</v>
      </c>
      <c r="F9" s="9">
        <f t="shared" si="1"/>
        <v>0.12650000000000006</v>
      </c>
    </row>
    <row r="10" spans="1:6" ht="15.75">
      <c r="A10" s="7">
        <v>1030225001</v>
      </c>
      <c r="B10" s="8" t="s">
        <v>286</v>
      </c>
      <c r="C10" s="9">
        <v>193.13</v>
      </c>
      <c r="D10" s="371">
        <v>203.35323</v>
      </c>
      <c r="E10" s="9">
        <f t="shared" si="2"/>
        <v>105.29344482990733</v>
      </c>
      <c r="F10" s="9">
        <f t="shared" si="1"/>
        <v>10.223230000000001</v>
      </c>
    </row>
    <row r="11" spans="1:6" ht="15.75">
      <c r="A11" s="7">
        <v>1030226001</v>
      </c>
      <c r="B11" s="8" t="s">
        <v>295</v>
      </c>
      <c r="C11" s="9">
        <v>0</v>
      </c>
      <c r="D11" s="371">
        <v>-24.35347</v>
      </c>
      <c r="E11" s="9" t="e">
        <f t="shared" si="2"/>
        <v>#DIV/0!</v>
      </c>
      <c r="F11" s="9">
        <f t="shared" si="1"/>
        <v>-24.35347</v>
      </c>
    </row>
    <row r="12" spans="1:6" s="6" customFormat="1" ht="15.75">
      <c r="A12" s="68">
        <v>1050000000</v>
      </c>
      <c r="B12" s="67" t="s">
        <v>7</v>
      </c>
      <c r="C12" s="5">
        <f>SUM(C13:C13)</f>
        <v>65</v>
      </c>
      <c r="D12" s="316">
        <f>SUM(D13:D13)</f>
        <v>33.46647</v>
      </c>
      <c r="E12" s="5">
        <f t="shared" si="0"/>
        <v>51.48687692307693</v>
      </c>
      <c r="F12" s="5">
        <f t="shared" si="1"/>
        <v>-31.53353</v>
      </c>
    </row>
    <row r="13" spans="1:6" ht="15.75" customHeight="1">
      <c r="A13" s="7">
        <v>1050300000</v>
      </c>
      <c r="B13" s="11" t="s">
        <v>232</v>
      </c>
      <c r="C13" s="12">
        <v>65</v>
      </c>
      <c r="D13" s="371">
        <v>33.46647</v>
      </c>
      <c r="E13" s="9">
        <f t="shared" si="0"/>
        <v>51.48687692307693</v>
      </c>
      <c r="F13" s="9">
        <f t="shared" si="1"/>
        <v>-31.53353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490</v>
      </c>
      <c r="D14" s="316">
        <f>D15+D16</f>
        <v>568.90807</v>
      </c>
      <c r="E14" s="9">
        <f t="shared" si="0"/>
        <v>116.10368775510203</v>
      </c>
      <c r="F14" s="9">
        <f t="shared" si="1"/>
        <v>78.90806999999995</v>
      </c>
    </row>
    <row r="15" spans="1:6" s="6" customFormat="1" ht="15.75" customHeight="1">
      <c r="A15" s="7">
        <v>1060100000</v>
      </c>
      <c r="B15" s="11" t="s">
        <v>9</v>
      </c>
      <c r="C15" s="297">
        <v>50</v>
      </c>
      <c r="D15" s="371">
        <v>61.38604</v>
      </c>
      <c r="E15" s="9">
        <f>SUM(D15/C15*100)</f>
        <v>122.77207999999999</v>
      </c>
      <c r="F15" s="9">
        <f>SUM(D15-C14)</f>
        <v>-428.61396</v>
      </c>
    </row>
    <row r="16" spans="1:6" ht="15.75" customHeight="1">
      <c r="A16" s="7">
        <v>1060600000</v>
      </c>
      <c r="B16" s="11" t="s">
        <v>8</v>
      </c>
      <c r="C16" s="9">
        <v>440</v>
      </c>
      <c r="D16" s="371">
        <v>507.52203</v>
      </c>
      <c r="E16" s="9">
        <f t="shared" si="0"/>
        <v>115.3459159090909</v>
      </c>
      <c r="F16" s="9">
        <f t="shared" si="1"/>
        <v>67.52202999999997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316">
        <f>D18</f>
        <v>8.75</v>
      </c>
      <c r="E17" s="5">
        <f t="shared" si="0"/>
        <v>87.5</v>
      </c>
      <c r="F17" s="5">
        <f t="shared" si="1"/>
        <v>-1.25</v>
      </c>
    </row>
    <row r="18" spans="1:6" ht="15.75" customHeight="1">
      <c r="A18" s="7">
        <v>1080400001</v>
      </c>
      <c r="B18" s="8" t="s">
        <v>230</v>
      </c>
      <c r="C18" s="9">
        <v>10</v>
      </c>
      <c r="D18" s="371">
        <v>8.75</v>
      </c>
      <c r="E18" s="9">
        <f t="shared" si="0"/>
        <v>87.5</v>
      </c>
      <c r="F18" s="9">
        <f t="shared" si="1"/>
        <v>-1.25</v>
      </c>
    </row>
    <row r="19" spans="1:6" ht="15.75" customHeight="1" hidden="1">
      <c r="A19" s="7">
        <v>1080714001</v>
      </c>
      <c r="B19" s="8" t="s">
        <v>12</v>
      </c>
      <c r="C19" s="9"/>
      <c r="D19" s="371"/>
      <c r="E19" s="9" t="e">
        <f t="shared" si="0"/>
        <v>#DIV/0!</v>
      </c>
      <c r="F19" s="9">
        <f t="shared" si="1"/>
        <v>0</v>
      </c>
    </row>
    <row r="20" spans="1:6" s="15" customFormat="1" ht="31.5" customHeight="1">
      <c r="A20" s="68">
        <v>1090000000</v>
      </c>
      <c r="B20" s="69" t="s">
        <v>233</v>
      </c>
      <c r="C20" s="5">
        <f>C21+C22+C23+C24</f>
        <v>0</v>
      </c>
      <c r="D20" s="316">
        <f>D22</f>
        <v>7.29313</v>
      </c>
      <c r="E20" s="5" t="e">
        <f t="shared" si="0"/>
        <v>#DIV/0!</v>
      </c>
      <c r="F20" s="5">
        <f t="shared" si="1"/>
        <v>7.29313</v>
      </c>
    </row>
    <row r="21" spans="1:6" s="15" customFormat="1" ht="15.75" customHeight="1" hidden="1">
      <c r="A21" s="7">
        <v>1090100000</v>
      </c>
      <c r="B21" s="8" t="s">
        <v>125</v>
      </c>
      <c r="C21" s="5"/>
      <c r="D21" s="372"/>
      <c r="E21" s="9" t="e">
        <f t="shared" si="0"/>
        <v>#DIV/0!</v>
      </c>
      <c r="F21" s="9">
        <f t="shared" si="1"/>
        <v>0</v>
      </c>
    </row>
    <row r="22" spans="1:6" s="15" customFormat="1" ht="16.5" customHeight="1">
      <c r="A22" s="7">
        <v>1090400000</v>
      </c>
      <c r="B22" s="8" t="s">
        <v>235</v>
      </c>
      <c r="C22" s="9">
        <v>0</v>
      </c>
      <c r="D22" s="371">
        <v>7.29313</v>
      </c>
      <c r="E22" s="9" t="e">
        <f t="shared" si="0"/>
        <v>#DIV/0!</v>
      </c>
      <c r="F22" s="9">
        <f t="shared" si="1"/>
        <v>7.29313</v>
      </c>
    </row>
    <row r="23" spans="1:6" s="15" customFormat="1" ht="0.75" customHeight="1" hidden="1">
      <c r="A23" s="7">
        <v>1090600000</v>
      </c>
      <c r="B23" s="8" t="s">
        <v>127</v>
      </c>
      <c r="C23" s="5"/>
      <c r="D23" s="372"/>
      <c r="E23" s="9" t="e">
        <f t="shared" si="0"/>
        <v>#DIV/0!</v>
      </c>
      <c r="F23" s="9">
        <f t="shared" si="1"/>
        <v>0</v>
      </c>
    </row>
    <row r="24" spans="1:6" s="15" customFormat="1" ht="15.75" customHeight="1" hidden="1">
      <c r="A24" s="7">
        <v>1090700000</v>
      </c>
      <c r="B24" s="8" t="s">
        <v>128</v>
      </c>
      <c r="C24" s="5"/>
      <c r="D24" s="372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352</v>
      </c>
      <c r="D25" s="316">
        <f>D26+D29+D31+D37+D34</f>
        <v>91.62620999999999</v>
      </c>
      <c r="E25" s="5">
        <f t="shared" si="0"/>
        <v>26.03017329545454</v>
      </c>
      <c r="F25" s="5">
        <f t="shared" si="1"/>
        <v>-260.37379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352</v>
      </c>
      <c r="D26" s="316">
        <f>D27+D28</f>
        <v>82.276</v>
      </c>
      <c r="E26" s="5">
        <f t="shared" si="0"/>
        <v>23.373863636363634</v>
      </c>
      <c r="F26" s="5">
        <f t="shared" si="1"/>
        <v>-269.724</v>
      </c>
    </row>
    <row r="27" spans="1:6" ht="15.75" customHeight="1">
      <c r="A27" s="16">
        <v>1110501101</v>
      </c>
      <c r="B27" s="17" t="s">
        <v>228</v>
      </c>
      <c r="C27" s="12">
        <v>350</v>
      </c>
      <c r="D27" s="371">
        <v>82.276</v>
      </c>
      <c r="E27" s="9">
        <f t="shared" si="0"/>
        <v>23.50742857142857</v>
      </c>
      <c r="F27" s="9">
        <f t="shared" si="1"/>
        <v>-267.724</v>
      </c>
    </row>
    <row r="28" spans="1:6" ht="17.25" customHeight="1">
      <c r="A28" s="7">
        <v>1110503505</v>
      </c>
      <c r="B28" s="11" t="s">
        <v>14</v>
      </c>
      <c r="C28" s="12">
        <v>2</v>
      </c>
      <c r="D28" s="371">
        <v>0</v>
      </c>
      <c r="E28" s="9">
        <f t="shared" si="0"/>
        <v>0</v>
      </c>
      <c r="F28" s="9">
        <f t="shared" si="1"/>
        <v>-2</v>
      </c>
    </row>
    <row r="29" spans="1:6" s="15" customFormat="1" ht="26.25" customHeight="1">
      <c r="A29" s="68">
        <v>1130000000</v>
      </c>
      <c r="B29" s="69" t="s">
        <v>131</v>
      </c>
      <c r="C29" s="5">
        <f>C30</f>
        <v>0</v>
      </c>
      <c r="D29" s="316">
        <f>D30</f>
        <v>9.11402</v>
      </c>
      <c r="E29" s="5" t="e">
        <f t="shared" si="0"/>
        <v>#DIV/0!</v>
      </c>
      <c r="F29" s="5">
        <f t="shared" si="1"/>
        <v>9.11402</v>
      </c>
    </row>
    <row r="30" spans="1:6" ht="18" customHeight="1">
      <c r="A30" s="7">
        <v>1130206005</v>
      </c>
      <c r="B30" s="8" t="s">
        <v>15</v>
      </c>
      <c r="C30" s="9">
        <v>0</v>
      </c>
      <c r="D30" s="371">
        <v>9.11402</v>
      </c>
      <c r="E30" s="9" t="e">
        <f t="shared" si="0"/>
        <v>#DIV/0!</v>
      </c>
      <c r="F30" s="9">
        <f t="shared" si="1"/>
        <v>9.11402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316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133</v>
      </c>
      <c r="C32" s="9">
        <v>0</v>
      </c>
      <c r="D32" s="371">
        <v>0</v>
      </c>
      <c r="E32" s="9" t="e">
        <f t="shared" si="0"/>
        <v>#DIV/0!</v>
      </c>
      <c r="F32" s="9">
        <f t="shared" si="1"/>
        <v>0</v>
      </c>
    </row>
    <row r="33" spans="1:6" ht="18" customHeight="1">
      <c r="A33" s="7">
        <v>1140600000</v>
      </c>
      <c r="B33" s="8" t="s">
        <v>225</v>
      </c>
      <c r="C33" s="9">
        <v>0</v>
      </c>
      <c r="D33" s="371">
        <v>0</v>
      </c>
      <c r="E33" s="9" t="e">
        <f t="shared" si="0"/>
        <v>#DIV/0!</v>
      </c>
      <c r="F33" s="9">
        <f t="shared" si="1"/>
        <v>0</v>
      </c>
    </row>
    <row r="34" spans="1:6" ht="18" customHeight="1">
      <c r="A34" s="3">
        <v>1160000000</v>
      </c>
      <c r="B34" s="13" t="s">
        <v>254</v>
      </c>
      <c r="C34" s="14">
        <f>C35</f>
        <v>0</v>
      </c>
      <c r="D34" s="372">
        <f>D35+D36</f>
        <v>0.23503</v>
      </c>
      <c r="E34" s="14" t="e">
        <f>E35</f>
        <v>#DIV/0!</v>
      </c>
      <c r="F34" s="14">
        <f>F35</f>
        <v>0.00116</v>
      </c>
    </row>
    <row r="35" spans="1:6" ht="47.25">
      <c r="A35" s="7">
        <v>1163305010</v>
      </c>
      <c r="B35" s="8" t="s">
        <v>270</v>
      </c>
      <c r="C35" s="9">
        <v>0</v>
      </c>
      <c r="D35" s="371">
        <v>0</v>
      </c>
      <c r="E35" s="10" t="e">
        <f>E37</f>
        <v>#DIV/0!</v>
      </c>
      <c r="F35" s="10">
        <f>F37</f>
        <v>0.00116</v>
      </c>
    </row>
    <row r="36" spans="1:6" ht="47.25">
      <c r="A36" s="7">
        <v>1169005010</v>
      </c>
      <c r="B36" s="8" t="s">
        <v>351</v>
      </c>
      <c r="C36" s="9">
        <v>0</v>
      </c>
      <c r="D36" s="371">
        <v>0.23503</v>
      </c>
      <c r="E36" s="10" t="e">
        <f>E38</f>
        <v>#DIV/0!</v>
      </c>
      <c r="F36" s="10">
        <f>F38</f>
        <v>0.00116</v>
      </c>
    </row>
    <row r="37" spans="1:6" ht="24.75" customHeight="1">
      <c r="A37" s="3">
        <v>1170000000</v>
      </c>
      <c r="B37" s="13" t="s">
        <v>135</v>
      </c>
      <c r="C37" s="5">
        <f>C38+C39</f>
        <v>0</v>
      </c>
      <c r="D37" s="316">
        <f>D38+D39</f>
        <v>0.00116</v>
      </c>
      <c r="E37" s="9" t="e">
        <f t="shared" si="0"/>
        <v>#DIV/0!</v>
      </c>
      <c r="F37" s="5">
        <f t="shared" si="1"/>
        <v>0.00116</v>
      </c>
    </row>
    <row r="38" spans="1:6" ht="15" customHeight="1">
      <c r="A38" s="7">
        <v>1170105005</v>
      </c>
      <c r="B38" s="8" t="s">
        <v>18</v>
      </c>
      <c r="C38" s="9">
        <v>0</v>
      </c>
      <c r="D38" s="373">
        <v>0.00116</v>
      </c>
      <c r="E38" s="9" t="e">
        <f t="shared" si="0"/>
        <v>#DIV/0!</v>
      </c>
      <c r="F38" s="9">
        <f t="shared" si="1"/>
        <v>0.00116</v>
      </c>
    </row>
    <row r="39" spans="1:6" ht="17.25" customHeight="1">
      <c r="A39" s="7">
        <v>1170505005</v>
      </c>
      <c r="B39" s="11" t="s">
        <v>223</v>
      </c>
      <c r="C39" s="9">
        <v>0</v>
      </c>
      <c r="D39" s="371"/>
      <c r="E39" s="9" t="e">
        <f t="shared" si="0"/>
        <v>#DIV/0!</v>
      </c>
      <c r="F39" s="9">
        <f t="shared" si="1"/>
        <v>0</v>
      </c>
    </row>
    <row r="40" spans="1:6" s="6" customFormat="1" ht="17.25" customHeight="1">
      <c r="A40" s="3">
        <v>1000000000</v>
      </c>
      <c r="B40" s="4" t="s">
        <v>19</v>
      </c>
      <c r="C40" s="128">
        <f>SUM(C4,C25)</f>
        <v>1287.23</v>
      </c>
      <c r="D40" s="128">
        <f>D4+D25</f>
        <v>1104.2216499999997</v>
      </c>
      <c r="E40" s="5">
        <f t="shared" si="0"/>
        <v>85.78277774756646</v>
      </c>
      <c r="F40" s="5">
        <f t="shared" si="1"/>
        <v>-183.0083500000003</v>
      </c>
    </row>
    <row r="41" spans="1:7" s="6" customFormat="1" ht="15.75">
      <c r="A41" s="3">
        <v>2000000000</v>
      </c>
      <c r="B41" s="4" t="s">
        <v>20</v>
      </c>
      <c r="C41" s="5">
        <f>C42+C44+C45+C46+C47+C48+C43</f>
        <v>4631.316159999999</v>
      </c>
      <c r="D41" s="367">
        <f>D42+D44+D45+D46+D47+D48+D43</f>
        <v>4631.316159999999</v>
      </c>
      <c r="E41" s="5">
        <f t="shared" si="0"/>
        <v>100</v>
      </c>
      <c r="F41" s="5">
        <f t="shared" si="1"/>
        <v>0</v>
      </c>
      <c r="G41" s="19"/>
    </row>
    <row r="42" spans="1:6" ht="16.5" customHeight="1">
      <c r="A42" s="16">
        <v>2020100000</v>
      </c>
      <c r="B42" s="17" t="s">
        <v>21</v>
      </c>
      <c r="C42" s="12">
        <v>1541.84</v>
      </c>
      <c r="D42" s="20">
        <v>1541.84</v>
      </c>
      <c r="E42" s="9">
        <f t="shared" si="0"/>
        <v>100</v>
      </c>
      <c r="F42" s="9">
        <f t="shared" si="1"/>
        <v>0</v>
      </c>
    </row>
    <row r="43" spans="1:6" ht="17.25" customHeight="1">
      <c r="A43" s="16">
        <v>2020100310</v>
      </c>
      <c r="B43" s="17" t="s">
        <v>234</v>
      </c>
      <c r="C43" s="12">
        <v>144.146</v>
      </c>
      <c r="D43" s="20">
        <v>144.146</v>
      </c>
      <c r="E43" s="9">
        <f t="shared" si="0"/>
        <v>100</v>
      </c>
      <c r="F43" s="9">
        <f t="shared" si="1"/>
        <v>0</v>
      </c>
    </row>
    <row r="44" spans="1:6" ht="15.75">
      <c r="A44" s="16">
        <v>2020200000</v>
      </c>
      <c r="B44" s="17" t="s">
        <v>22</v>
      </c>
      <c r="C44" s="12">
        <v>289.63308</v>
      </c>
      <c r="D44" s="10">
        <v>289.63308</v>
      </c>
      <c r="E44" s="9">
        <f t="shared" si="0"/>
        <v>100</v>
      </c>
      <c r="F44" s="9">
        <f t="shared" si="1"/>
        <v>0</v>
      </c>
    </row>
    <row r="45" spans="1:6" ht="15.75">
      <c r="A45" s="16">
        <v>2020300000</v>
      </c>
      <c r="B45" s="17" t="s">
        <v>23</v>
      </c>
      <c r="C45" s="12">
        <v>2655.69708</v>
      </c>
      <c r="D45" s="258">
        <v>2655.69708</v>
      </c>
      <c r="E45" s="9">
        <f t="shared" si="0"/>
        <v>100</v>
      </c>
      <c r="F45" s="9">
        <f t="shared" si="1"/>
        <v>0</v>
      </c>
    </row>
    <row r="46" spans="1:6" ht="15.75">
      <c r="A46" s="16">
        <v>2020400000</v>
      </c>
      <c r="B46" s="17" t="s">
        <v>24</v>
      </c>
      <c r="C46" s="12">
        <v>0</v>
      </c>
      <c r="D46" s="259">
        <v>0</v>
      </c>
      <c r="E46" s="9" t="e">
        <f t="shared" si="0"/>
        <v>#DIV/0!</v>
      </c>
      <c r="F46" s="9">
        <f t="shared" si="1"/>
        <v>0</v>
      </c>
    </row>
    <row r="47" spans="1:6" ht="23.25" customHeight="1" hidden="1">
      <c r="A47" s="16">
        <v>2020900000</v>
      </c>
      <c r="B47" s="18" t="s">
        <v>25</v>
      </c>
      <c r="C47" s="12"/>
      <c r="D47" s="259"/>
      <c r="E47" s="9" t="e">
        <f t="shared" si="0"/>
        <v>#DIV/0!</v>
      </c>
      <c r="F47" s="9">
        <f t="shared" si="1"/>
        <v>0</v>
      </c>
    </row>
    <row r="48" spans="1:6" ht="23.25" customHeight="1" hidden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6" s="6" customFormat="1" ht="27.75" customHeight="1" hidden="1">
      <c r="A49" s="3">
        <v>3000000000</v>
      </c>
      <c r="B49" s="13" t="s">
        <v>27</v>
      </c>
      <c r="C49" s="295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3"/>
      <c r="B50" s="4" t="s">
        <v>28</v>
      </c>
      <c r="C50" s="369">
        <f>C40+C41</f>
        <v>5918.54616</v>
      </c>
      <c r="D50" s="370">
        <f>D40+D41</f>
        <v>5735.537809999999</v>
      </c>
      <c r="E50" s="93">
        <f t="shared" si="0"/>
        <v>96.90788337114192</v>
      </c>
      <c r="F50" s="93">
        <f t="shared" si="1"/>
        <v>-183.00835000000097</v>
      </c>
      <c r="G50" s="318"/>
    </row>
    <row r="51" spans="1:6" s="6" customFormat="1" ht="15.75">
      <c r="A51" s="3"/>
      <c r="B51" s="21" t="s">
        <v>326</v>
      </c>
      <c r="C51" s="93">
        <f>C50-C96</f>
        <v>-84.83600000000024</v>
      </c>
      <c r="D51" s="93">
        <f>D50-D96</f>
        <v>-70.69672000000082</v>
      </c>
      <c r="E51" s="22"/>
      <c r="F51" s="22"/>
    </row>
    <row r="52" spans="1:6" ht="15.75">
      <c r="A52" s="23"/>
      <c r="B52" s="24"/>
      <c r="C52" s="257"/>
      <c r="D52" s="257"/>
      <c r="E52" s="26"/>
      <c r="F52" s="27"/>
    </row>
    <row r="53" spans="1:6" ht="46.5" customHeight="1">
      <c r="A53" s="28" t="s">
        <v>1</v>
      </c>
      <c r="B53" s="28" t="s">
        <v>29</v>
      </c>
      <c r="C53" s="250" t="s">
        <v>340</v>
      </c>
      <c r="D53" s="251" t="s">
        <v>353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253">
        <f>C56+C57+C58+C59+C60+C62+C61</f>
        <v>1130.181</v>
      </c>
      <c r="D55" s="33">
        <f>D56+D57+D58+D59+D60+D62+D61</f>
        <v>1113.3282900000002</v>
      </c>
      <c r="E55" s="34">
        <f>SUM(D55/C55*100)</f>
        <v>98.50884858266068</v>
      </c>
      <c r="F55" s="34">
        <f>SUM(D55-C55)</f>
        <v>-16.852709999999888</v>
      </c>
    </row>
    <row r="56" spans="1:6" s="6" customFormat="1" ht="31.5" hidden="1">
      <c r="A56" s="35" t="s">
        <v>32</v>
      </c>
      <c r="B56" s="36" t="s">
        <v>33</v>
      </c>
      <c r="C56" s="37"/>
      <c r="D56" s="138"/>
      <c r="E56" s="38"/>
      <c r="F56" s="38"/>
    </row>
    <row r="57" spans="1:6" ht="18" customHeight="1">
      <c r="A57" s="35" t="s">
        <v>34</v>
      </c>
      <c r="B57" s="39" t="s">
        <v>35</v>
      </c>
      <c r="C57" s="37">
        <v>1118.833</v>
      </c>
      <c r="D57" s="37">
        <v>1106.98079</v>
      </c>
      <c r="E57" s="38">
        <f aca="true" t="shared" si="3" ref="E57:E96">SUM(D57/C57*100)</f>
        <v>98.9406631731456</v>
      </c>
      <c r="F57" s="38">
        <f aca="true" t="shared" si="4" ref="F57:F96">SUM(D57-C57)</f>
        <v>-11.852210000000014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5" customHeight="1">
      <c r="A60" s="35" t="s">
        <v>40</v>
      </c>
      <c r="B60" s="39" t="s">
        <v>41</v>
      </c>
      <c r="C60" s="37">
        <v>3</v>
      </c>
      <c r="D60" s="37">
        <v>3</v>
      </c>
      <c r="E60" s="38">
        <f t="shared" si="3"/>
        <v>100</v>
      </c>
      <c r="F60" s="38">
        <f t="shared" si="4"/>
        <v>0</v>
      </c>
    </row>
    <row r="61" spans="1:6" ht="15" customHeight="1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3"/>
        <v>0</v>
      </c>
      <c r="F61" s="38">
        <f t="shared" si="4"/>
        <v>-5</v>
      </c>
    </row>
    <row r="62" spans="1:6" ht="18" customHeight="1">
      <c r="A62" s="35" t="s">
        <v>44</v>
      </c>
      <c r="B62" s="39" t="s">
        <v>45</v>
      </c>
      <c r="C62" s="37">
        <v>3.348</v>
      </c>
      <c r="D62" s="37">
        <v>3.3475</v>
      </c>
      <c r="E62" s="38">
        <f t="shared" si="3"/>
        <v>99.98506571087216</v>
      </c>
      <c r="F62" s="38">
        <f t="shared" si="4"/>
        <v>-0.0004999999999997229</v>
      </c>
    </row>
    <row r="63" spans="1:6" s="6" customFormat="1" ht="15.75">
      <c r="A63" s="41" t="s">
        <v>46</v>
      </c>
      <c r="B63" s="42" t="s">
        <v>47</v>
      </c>
      <c r="C63" s="32">
        <f>C64</f>
        <v>66.25198</v>
      </c>
      <c r="D63" s="32">
        <f>D64</f>
        <v>66.25198</v>
      </c>
      <c r="E63" s="34">
        <f t="shared" si="3"/>
        <v>100</v>
      </c>
      <c r="F63" s="34">
        <f t="shared" si="4"/>
        <v>0</v>
      </c>
    </row>
    <row r="64" spans="1:6" ht="15.75">
      <c r="A64" s="43" t="s">
        <v>48</v>
      </c>
      <c r="B64" s="44" t="s">
        <v>49</v>
      </c>
      <c r="C64" s="37">
        <v>66.25198</v>
      </c>
      <c r="D64" s="37">
        <v>66.25198</v>
      </c>
      <c r="E64" s="38">
        <f t="shared" si="3"/>
        <v>100</v>
      </c>
      <c r="F64" s="38">
        <f t="shared" si="4"/>
        <v>0</v>
      </c>
    </row>
    <row r="65" spans="1:6" s="6" customFormat="1" ht="19.5" customHeight="1">
      <c r="A65" s="30" t="s">
        <v>50</v>
      </c>
      <c r="B65" s="31" t="s">
        <v>51</v>
      </c>
      <c r="C65" s="32">
        <f>C68+C69</f>
        <v>7.334999999999999</v>
      </c>
      <c r="D65" s="32">
        <f>D68+D69</f>
        <v>7.33437</v>
      </c>
      <c r="E65" s="34">
        <f t="shared" si="3"/>
        <v>99.9914110429448</v>
      </c>
      <c r="F65" s="34">
        <f t="shared" si="4"/>
        <v>-0.0006299999999992423</v>
      </c>
    </row>
    <row r="66" spans="1:6" ht="15.75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6.5" customHeight="1">
      <c r="A68" s="46" t="s">
        <v>56</v>
      </c>
      <c r="B68" s="47" t="s">
        <v>57</v>
      </c>
      <c r="C68" s="97">
        <v>4.935</v>
      </c>
      <c r="D68" s="37">
        <v>4.93437</v>
      </c>
      <c r="E68" s="38">
        <f t="shared" si="3"/>
        <v>99.98723404255321</v>
      </c>
      <c r="F68" s="38">
        <f t="shared" si="4"/>
        <v>-0.0006299999999992423</v>
      </c>
    </row>
    <row r="69" spans="1:6" ht="15.75" customHeight="1">
      <c r="A69" s="46" t="s">
        <v>221</v>
      </c>
      <c r="B69" s="47" t="s">
        <v>222</v>
      </c>
      <c r="C69" s="37">
        <v>2.4</v>
      </c>
      <c r="D69" s="37">
        <v>2.4</v>
      </c>
      <c r="E69" s="38">
        <f t="shared" si="3"/>
        <v>100</v>
      </c>
      <c r="F69" s="38">
        <f t="shared" si="4"/>
        <v>0</v>
      </c>
    </row>
    <row r="70" spans="1:6" s="6" customFormat="1" ht="16.5" customHeight="1">
      <c r="A70" s="30" t="s">
        <v>58</v>
      </c>
      <c r="B70" s="31" t="s">
        <v>59</v>
      </c>
      <c r="C70" s="48">
        <f>SUM(C71:C74)</f>
        <v>1025.87118</v>
      </c>
      <c r="D70" s="48">
        <f>SUM(D71:D74)</f>
        <v>890.02855</v>
      </c>
      <c r="E70" s="34">
        <f t="shared" si="3"/>
        <v>86.7583150157313</v>
      </c>
      <c r="F70" s="34">
        <f t="shared" si="4"/>
        <v>-135.8426300000001</v>
      </c>
    </row>
    <row r="71" spans="1:6" ht="13.5" customHeight="1">
      <c r="A71" s="35" t="s">
        <v>60</v>
      </c>
      <c r="B71" s="39" t="s">
        <v>61</v>
      </c>
      <c r="C71" s="49">
        <f>0.5651+1.9349</f>
        <v>2.5</v>
      </c>
      <c r="D71" s="37">
        <v>2.5</v>
      </c>
      <c r="E71" s="38">
        <f t="shared" si="3"/>
        <v>100</v>
      </c>
      <c r="F71" s="38">
        <f t="shared" si="4"/>
        <v>0</v>
      </c>
    </row>
    <row r="72" spans="1:7" s="6" customFormat="1" ht="19.5" customHeight="1">
      <c r="A72" s="35" t="s">
        <v>62</v>
      </c>
      <c r="B72" s="39" t="s">
        <v>63</v>
      </c>
      <c r="C72" s="49">
        <v>43.84</v>
      </c>
      <c r="D72" s="37">
        <v>43.83397</v>
      </c>
      <c r="E72" s="38">
        <f t="shared" si="3"/>
        <v>99.9862454379562</v>
      </c>
      <c r="F72" s="38">
        <f t="shared" si="4"/>
        <v>-0.006030000000002644</v>
      </c>
      <c r="G72" s="50"/>
    </row>
    <row r="73" spans="1:6" ht="15.75">
      <c r="A73" s="35" t="s">
        <v>64</v>
      </c>
      <c r="B73" s="39" t="s">
        <v>65</v>
      </c>
      <c r="C73" s="49">
        <v>669.055</v>
      </c>
      <c r="D73" s="37">
        <v>572.6015</v>
      </c>
      <c r="E73" s="38">
        <f t="shared" si="3"/>
        <v>85.58362167534807</v>
      </c>
      <c r="F73" s="38">
        <f t="shared" si="4"/>
        <v>-96.45349999999996</v>
      </c>
    </row>
    <row r="74" spans="1:6" ht="16.5" customHeight="1">
      <c r="A74" s="35" t="s">
        <v>66</v>
      </c>
      <c r="B74" s="39" t="s">
        <v>67</v>
      </c>
      <c r="C74" s="49">
        <f>89.4451+221.03108</f>
        <v>310.47618</v>
      </c>
      <c r="D74" s="37">
        <v>271.09308</v>
      </c>
      <c r="E74" s="38">
        <f t="shared" si="3"/>
        <v>87.31525877444125</v>
      </c>
      <c r="F74" s="38">
        <f t="shared" si="4"/>
        <v>-39.38310000000001</v>
      </c>
    </row>
    <row r="75" spans="1:6" s="6" customFormat="1" ht="15.75">
      <c r="A75" s="30" t="s">
        <v>68</v>
      </c>
      <c r="B75" s="31" t="s">
        <v>69</v>
      </c>
      <c r="C75" s="32">
        <f>SUM(C76:C78)</f>
        <v>2945.543</v>
      </c>
      <c r="D75" s="32">
        <f>SUM(D76:D78)</f>
        <v>2901.1463400000002</v>
      </c>
      <c r="E75" s="34">
        <f t="shared" si="3"/>
        <v>98.4927512516368</v>
      </c>
      <c r="F75" s="34">
        <f t="shared" si="4"/>
        <v>-44.39665999999988</v>
      </c>
    </row>
    <row r="76" spans="1:6" ht="18" customHeight="1">
      <c r="A76" s="35" t="s">
        <v>70</v>
      </c>
      <c r="B76" s="51" t="s">
        <v>71</v>
      </c>
      <c r="C76" s="37">
        <f>2588.88+5.503</f>
        <v>2594.3830000000003</v>
      </c>
      <c r="D76" s="37">
        <v>2594.38234</v>
      </c>
      <c r="E76" s="38">
        <f t="shared" si="3"/>
        <v>99.99997456042534</v>
      </c>
      <c r="F76" s="38">
        <f t="shared" si="4"/>
        <v>-0.0006600000001526496</v>
      </c>
    </row>
    <row r="77" spans="1:6" ht="18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6" ht="15.75">
      <c r="A78" s="35" t="s">
        <v>74</v>
      </c>
      <c r="B78" s="39" t="s">
        <v>75</v>
      </c>
      <c r="C78" s="37">
        <f>209.72+122.023+19.417</f>
        <v>351.15999999999997</v>
      </c>
      <c r="D78" s="37">
        <v>306.764</v>
      </c>
      <c r="E78" s="38">
        <f t="shared" si="3"/>
        <v>87.35732999202644</v>
      </c>
      <c r="F78" s="38">
        <f t="shared" si="4"/>
        <v>-44.39599999999996</v>
      </c>
    </row>
    <row r="79" spans="1:6" s="6" customFormat="1" ht="15.75">
      <c r="A79" s="30" t="s">
        <v>86</v>
      </c>
      <c r="B79" s="31" t="s">
        <v>87</v>
      </c>
      <c r="C79" s="32">
        <f>C80</f>
        <v>826.2</v>
      </c>
      <c r="D79" s="32">
        <f>SUM(D80)</f>
        <v>826.2</v>
      </c>
      <c r="E79" s="34">
        <f t="shared" si="3"/>
        <v>100</v>
      </c>
      <c r="F79" s="34">
        <f t="shared" si="4"/>
        <v>0</v>
      </c>
    </row>
    <row r="80" spans="1:6" ht="18" customHeight="1">
      <c r="A80" s="35" t="s">
        <v>88</v>
      </c>
      <c r="B80" s="39" t="s">
        <v>236</v>
      </c>
      <c r="C80" s="37">
        <v>826.2</v>
      </c>
      <c r="D80" s="37">
        <v>826.2</v>
      </c>
      <c r="E80" s="38">
        <f t="shared" si="3"/>
        <v>100</v>
      </c>
      <c r="F80" s="38">
        <f t="shared" si="4"/>
        <v>0</v>
      </c>
    </row>
    <row r="81" spans="1:6" s="6" customFormat="1" ht="21.75" customHeight="1" hidden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8" customHeight="1" hidden="1">
      <c r="A82" s="53">
        <v>1001</v>
      </c>
      <c r="B82" s="54" t="s">
        <v>90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17.25" customHeight="1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3.25" customHeight="1" hidden="1">
      <c r="A84" s="53">
        <v>1004</v>
      </c>
      <c r="B84" s="54" t="s">
        <v>92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17.25" customHeight="1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4"/>
        <v>0</v>
      </c>
    </row>
    <row r="86" spans="1:6" ht="15.75">
      <c r="A86" s="30" t="s">
        <v>95</v>
      </c>
      <c r="B86" s="31" t="s">
        <v>96</v>
      </c>
      <c r="C86" s="32">
        <f>C87+C88+C89+C90+C91</f>
        <v>2</v>
      </c>
      <c r="D86" s="32">
        <f>D87</f>
        <v>1.945</v>
      </c>
      <c r="E86" s="38">
        <f t="shared" si="3"/>
        <v>97.25</v>
      </c>
      <c r="F86" s="22">
        <f>F87+F88+F89+F90+F91</f>
        <v>-0.05499999999999994</v>
      </c>
    </row>
    <row r="87" spans="1:6" ht="15" customHeight="1">
      <c r="A87" s="35" t="s">
        <v>97</v>
      </c>
      <c r="B87" s="39" t="s">
        <v>98</v>
      </c>
      <c r="C87" s="37">
        <v>2</v>
      </c>
      <c r="D87" s="37">
        <v>1.945</v>
      </c>
      <c r="E87" s="38">
        <f t="shared" si="3"/>
        <v>97.25</v>
      </c>
      <c r="F87" s="38">
        <f>SUM(D87-C87)</f>
        <v>-0.05499999999999994</v>
      </c>
    </row>
    <row r="88" spans="1:6" ht="15.75" customHeight="1" hidden="1">
      <c r="A88" s="35" t="s">
        <v>99</v>
      </c>
      <c r="B88" s="39" t="s">
        <v>100</v>
      </c>
      <c r="C88" s="37"/>
      <c r="D88" s="37"/>
      <c r="E88" s="38" t="e">
        <f t="shared" si="3"/>
        <v>#DIV/0!</v>
      </c>
      <c r="F88" s="38">
        <f>SUM(D88-C88)</f>
        <v>0</v>
      </c>
    </row>
    <row r="89" spans="1:6" ht="15.75" customHeight="1" hidden="1">
      <c r="A89" s="35" t="s">
        <v>101</v>
      </c>
      <c r="B89" s="39" t="s">
        <v>102</v>
      </c>
      <c r="C89" s="37"/>
      <c r="D89" s="37" t="s">
        <v>347</v>
      </c>
      <c r="E89" s="38" t="e">
        <f t="shared" si="3"/>
        <v>#VALUE!</v>
      </c>
      <c r="F89" s="38"/>
    </row>
    <row r="90" spans="1:6" ht="15.75" customHeight="1" hidden="1">
      <c r="A90" s="35" t="s">
        <v>103</v>
      </c>
      <c r="B90" s="39" t="s">
        <v>104</v>
      </c>
      <c r="C90" s="37"/>
      <c r="D90" s="37"/>
      <c r="E90" s="38" t="e">
        <f t="shared" si="3"/>
        <v>#DIV/0!</v>
      </c>
      <c r="F90" s="38"/>
    </row>
    <row r="91" spans="1:6" ht="15.75" customHeight="1" hidden="1">
      <c r="A91" s="35" t="s">
        <v>105</v>
      </c>
      <c r="B91" s="39" t="s">
        <v>106</v>
      </c>
      <c r="C91" s="37"/>
      <c r="D91" s="37"/>
      <c r="E91" s="38" t="e">
        <f t="shared" si="3"/>
        <v>#DIV/0!</v>
      </c>
      <c r="F91" s="38"/>
    </row>
    <row r="92" spans="1:6" s="6" customFormat="1" ht="15.75" customHeight="1" hidden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15.75" customHeight="1" hidden="1">
      <c r="A93" s="53">
        <v>1401</v>
      </c>
      <c r="B93" s="54" t="s">
        <v>116</v>
      </c>
      <c r="C93" s="49"/>
      <c r="D93" s="37"/>
      <c r="E93" s="38" t="e">
        <f t="shared" si="3"/>
        <v>#DIV/0!</v>
      </c>
      <c r="F93" s="38">
        <f t="shared" si="4"/>
        <v>0</v>
      </c>
    </row>
    <row r="94" spans="1:6" ht="15.75" customHeight="1" hidden="1">
      <c r="A94" s="53">
        <v>1402</v>
      </c>
      <c r="B94" s="54" t="s">
        <v>117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5.75" customHeight="1" hidden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119</v>
      </c>
      <c r="C96" s="317">
        <f>C55+C63+C65+C70+C75+C79+C81+C86+C92</f>
        <v>6003.38216</v>
      </c>
      <c r="D96" s="317">
        <f>D55+D63+D65+D70+D75+D79+D81+D86+D92</f>
        <v>5806.23453</v>
      </c>
      <c r="E96" s="34">
        <f t="shared" si="3"/>
        <v>96.71605730327185</v>
      </c>
      <c r="F96" s="34">
        <f t="shared" si="4"/>
        <v>-197.1476300000004</v>
      </c>
    </row>
    <row r="97" spans="3:4" ht="15.75">
      <c r="C97" s="127"/>
      <c r="D97" s="102"/>
    </row>
    <row r="98" spans="1:4" s="65" customFormat="1" ht="16.5" customHeight="1">
      <c r="A98" s="63" t="s">
        <v>120</v>
      </c>
      <c r="B98" s="63"/>
      <c r="C98" s="256"/>
      <c r="D98" s="256"/>
    </row>
    <row r="99" spans="1:3" s="65" customFormat="1" ht="20.25" customHeight="1">
      <c r="A99" s="66" t="s">
        <v>121</v>
      </c>
      <c r="B99" s="66"/>
      <c r="C99" s="65" t="s">
        <v>122</v>
      </c>
    </row>
    <row r="100" ht="13.5" customHeight="1">
      <c r="C100" s="121"/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70" zoomScaleSheetLayoutView="70" zoomScalePageLayoutView="0" workbookViewId="0" topLeftCell="A31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5.00390625" style="62" customWidth="1"/>
    <col min="4" max="4" width="15.421875" style="62" customWidth="1"/>
    <col min="5" max="5" width="10.8515625" style="62" customWidth="1"/>
    <col min="6" max="6" width="12.57421875" style="62" customWidth="1"/>
    <col min="7" max="7" width="15.421875" style="1" bestFit="1" customWidth="1"/>
    <col min="8" max="16384" width="9.140625" style="1" customWidth="1"/>
  </cols>
  <sheetData>
    <row r="1" spans="1:6" ht="15.75">
      <c r="A1" s="471" t="s">
        <v>357</v>
      </c>
      <c r="B1" s="471"/>
      <c r="C1" s="471"/>
      <c r="D1" s="471"/>
      <c r="E1" s="471"/>
      <c r="F1" s="471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716.2</v>
      </c>
      <c r="D4" s="5">
        <f>D5+D12+D14+D17+D7</f>
        <v>704.3569</v>
      </c>
      <c r="E4" s="5">
        <f>SUM(D4/C4*100)</f>
        <v>98.3463976542865</v>
      </c>
      <c r="F4" s="5">
        <f>SUM(D4-C4)</f>
        <v>-11.84310000000005</v>
      </c>
    </row>
    <row r="5" spans="1:6" s="6" customFormat="1" ht="15.75">
      <c r="A5" s="68">
        <v>1010000000</v>
      </c>
      <c r="B5" s="67" t="s">
        <v>6</v>
      </c>
      <c r="C5" s="5">
        <f>C6</f>
        <v>32.54</v>
      </c>
      <c r="D5" s="5">
        <f>D6</f>
        <v>34.65288</v>
      </c>
      <c r="E5" s="5">
        <f aca="true" t="shared" si="0" ref="E5:E50">SUM(D5/C5*100)</f>
        <v>106.49317762753536</v>
      </c>
      <c r="F5" s="5">
        <f aca="true" t="shared" si="1" ref="F5:F50">SUM(D5-C5)</f>
        <v>2.112880000000004</v>
      </c>
    </row>
    <row r="6" spans="1:6" ht="15.75">
      <c r="A6" s="7">
        <v>1010200001</v>
      </c>
      <c r="B6" s="8" t="s">
        <v>231</v>
      </c>
      <c r="C6" s="9">
        <v>32.54</v>
      </c>
      <c r="D6" s="10">
        <v>34.65288</v>
      </c>
      <c r="E6" s="9">
        <f aca="true" t="shared" si="2" ref="E6:E11">SUM(D6/C6*100)</f>
        <v>106.49317762753536</v>
      </c>
      <c r="F6" s="9">
        <f t="shared" si="1"/>
        <v>2.112880000000004</v>
      </c>
    </row>
    <row r="7" spans="1:6" ht="31.5">
      <c r="A7" s="3">
        <v>1030000000</v>
      </c>
      <c r="B7" s="13" t="s">
        <v>285</v>
      </c>
      <c r="C7" s="5">
        <f>C8+C10+C9</f>
        <v>295.66</v>
      </c>
      <c r="D7" s="5">
        <f>D8+D10+D9+D11</f>
        <v>314.34652</v>
      </c>
      <c r="E7" s="5">
        <f t="shared" si="2"/>
        <v>106.32027328688358</v>
      </c>
      <c r="F7" s="5">
        <f t="shared" si="1"/>
        <v>18.686519999999973</v>
      </c>
    </row>
    <row r="8" spans="1:6" ht="15.75">
      <c r="A8" s="7">
        <v>1030223001</v>
      </c>
      <c r="B8" s="8" t="s">
        <v>287</v>
      </c>
      <c r="C8" s="9">
        <v>96.09</v>
      </c>
      <c r="D8" s="10">
        <v>129.1648</v>
      </c>
      <c r="E8" s="9">
        <f t="shared" si="2"/>
        <v>134.42064730981375</v>
      </c>
      <c r="F8" s="9">
        <f t="shared" si="1"/>
        <v>33.07480000000001</v>
      </c>
    </row>
    <row r="9" spans="1:6" ht="15.75">
      <c r="A9" s="7">
        <v>1030224001</v>
      </c>
      <c r="B9" s="8" t="s">
        <v>293</v>
      </c>
      <c r="C9" s="9">
        <v>1.18</v>
      </c>
      <c r="D9" s="10">
        <v>1.31125</v>
      </c>
      <c r="E9" s="9">
        <f t="shared" si="2"/>
        <v>111.12288135593221</v>
      </c>
      <c r="F9" s="9">
        <f t="shared" si="1"/>
        <v>0.1312500000000001</v>
      </c>
    </row>
    <row r="10" spans="1:6" ht="15.75">
      <c r="A10" s="7">
        <v>1030225001</v>
      </c>
      <c r="B10" s="8" t="s">
        <v>286</v>
      </c>
      <c r="C10" s="9">
        <v>198.39</v>
      </c>
      <c r="D10" s="10">
        <v>208.88665</v>
      </c>
      <c r="E10" s="9">
        <f t="shared" si="2"/>
        <v>105.29091688089119</v>
      </c>
      <c r="F10" s="9">
        <f t="shared" si="1"/>
        <v>10.496650000000017</v>
      </c>
    </row>
    <row r="11" spans="1:6" ht="15.75">
      <c r="A11" s="7">
        <v>1030226001</v>
      </c>
      <c r="B11" s="8" t="s">
        <v>295</v>
      </c>
      <c r="C11" s="9">
        <v>0</v>
      </c>
      <c r="D11" s="10">
        <v>-25.01618</v>
      </c>
      <c r="E11" s="9" t="e">
        <f t="shared" si="2"/>
        <v>#DIV/0!</v>
      </c>
      <c r="F11" s="9">
        <f t="shared" si="1"/>
        <v>-25.01618</v>
      </c>
    </row>
    <row r="12" spans="1:6" s="6" customFormat="1" ht="15.75">
      <c r="A12" s="68">
        <v>1050000000</v>
      </c>
      <c r="B12" s="67" t="s">
        <v>7</v>
      </c>
      <c r="C12" s="5">
        <f>SUM(C13:C13)</f>
        <v>30</v>
      </c>
      <c r="D12" s="5">
        <f>SUM(D13:D13)</f>
        <v>11.93531</v>
      </c>
      <c r="E12" s="5">
        <f t="shared" si="0"/>
        <v>39.78436666666666</v>
      </c>
      <c r="F12" s="5">
        <f t="shared" si="1"/>
        <v>-18.06469</v>
      </c>
    </row>
    <row r="13" spans="1:6" ht="15.75" customHeight="1">
      <c r="A13" s="7">
        <v>1050300000</v>
      </c>
      <c r="B13" s="11" t="s">
        <v>232</v>
      </c>
      <c r="C13" s="12">
        <v>30</v>
      </c>
      <c r="D13" s="10">
        <v>11.93531</v>
      </c>
      <c r="E13" s="9">
        <f t="shared" si="0"/>
        <v>39.78436666666666</v>
      </c>
      <c r="F13" s="9">
        <f t="shared" si="1"/>
        <v>-18.06469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348</v>
      </c>
      <c r="D14" s="5">
        <f>D15+D16</f>
        <v>339.22218999999996</v>
      </c>
      <c r="E14" s="5">
        <f t="shared" si="0"/>
        <v>97.47764080459768</v>
      </c>
      <c r="F14" s="5">
        <f t="shared" si="1"/>
        <v>-8.777810000000045</v>
      </c>
    </row>
    <row r="15" spans="1:6" s="6" customFormat="1" ht="15.75" customHeight="1">
      <c r="A15" s="7">
        <v>1060100000</v>
      </c>
      <c r="B15" s="11" t="s">
        <v>9</v>
      </c>
      <c r="C15" s="9">
        <v>38</v>
      </c>
      <c r="D15" s="10">
        <v>22.06564</v>
      </c>
      <c r="E15" s="9">
        <f t="shared" si="0"/>
        <v>58.067473684210526</v>
      </c>
      <c r="F15" s="9">
        <f>SUM(D15-C15)</f>
        <v>-15.934360000000002</v>
      </c>
    </row>
    <row r="16" spans="1:6" ht="15.75" customHeight="1">
      <c r="A16" s="7">
        <v>1060600000</v>
      </c>
      <c r="B16" s="11" t="s">
        <v>8</v>
      </c>
      <c r="C16" s="9">
        <v>310</v>
      </c>
      <c r="D16" s="10">
        <v>317.15655</v>
      </c>
      <c r="E16" s="9">
        <f t="shared" si="0"/>
        <v>102.30856451612902</v>
      </c>
      <c r="F16" s="9">
        <f t="shared" si="1"/>
        <v>7.1565499999999815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4.2</v>
      </c>
      <c r="E17" s="5">
        <f t="shared" si="0"/>
        <v>42.00000000000001</v>
      </c>
      <c r="F17" s="5">
        <f t="shared" si="1"/>
        <v>-5.8</v>
      </c>
    </row>
    <row r="18" spans="1:6" ht="16.5" customHeight="1">
      <c r="A18" s="7">
        <v>1080400001</v>
      </c>
      <c r="B18" s="8" t="s">
        <v>230</v>
      </c>
      <c r="C18" s="9">
        <v>10</v>
      </c>
      <c r="D18" s="10">
        <v>4.2</v>
      </c>
      <c r="E18" s="9">
        <f t="shared" si="0"/>
        <v>42.00000000000001</v>
      </c>
      <c r="F18" s="9">
        <f t="shared" si="1"/>
        <v>-5.8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0.55</v>
      </c>
      <c r="E20" s="5" t="e">
        <f t="shared" si="0"/>
        <v>#DIV/0!</v>
      </c>
      <c r="F20" s="5">
        <f t="shared" si="1"/>
        <v>0.55</v>
      </c>
    </row>
    <row r="21" spans="1:6" s="15" customFormat="1" ht="0.75" customHeight="1" hidden="1">
      <c r="A21" s="7">
        <v>1090100000</v>
      </c>
      <c r="B21" s="8" t="s">
        <v>125</v>
      </c>
      <c r="C21" s="5"/>
      <c r="D21" s="14">
        <v>0.55</v>
      </c>
      <c r="E21" s="9" t="e">
        <f t="shared" si="0"/>
        <v>#DIV/0!</v>
      </c>
      <c r="F21" s="9">
        <f t="shared" si="1"/>
        <v>0.55</v>
      </c>
    </row>
    <row r="22" spans="1:6" s="15" customFormat="1" ht="30" customHeight="1" hidden="1">
      <c r="A22" s="7">
        <v>1090400000</v>
      </c>
      <c r="B22" s="8" t="s">
        <v>235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C26+C29+C31+C37+C34</f>
        <v>287</v>
      </c>
      <c r="D25" s="5">
        <f>D26+D29+D31+D37+D34</f>
        <v>89.57693</v>
      </c>
      <c r="E25" s="5">
        <f t="shared" si="0"/>
        <v>31.211473867595817</v>
      </c>
      <c r="F25" s="5">
        <f t="shared" si="1"/>
        <v>-197.42307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215</v>
      </c>
      <c r="D26" s="5">
        <f>D27+D28</f>
        <v>26.0112</v>
      </c>
      <c r="E26" s="5">
        <f t="shared" si="0"/>
        <v>12.098232558139534</v>
      </c>
      <c r="F26" s="5">
        <f t="shared" si="1"/>
        <v>-188.9888</v>
      </c>
    </row>
    <row r="27" spans="1:6" ht="15.75">
      <c r="A27" s="16">
        <v>1110501101</v>
      </c>
      <c r="B27" s="17" t="s">
        <v>228</v>
      </c>
      <c r="C27" s="12">
        <v>200</v>
      </c>
      <c r="D27" s="10">
        <v>0</v>
      </c>
      <c r="E27" s="9">
        <f t="shared" si="0"/>
        <v>0</v>
      </c>
      <c r="F27" s="9">
        <f t="shared" si="1"/>
        <v>-200</v>
      </c>
    </row>
    <row r="28" spans="1:6" ht="21" customHeight="1">
      <c r="A28" s="7">
        <v>1110503505</v>
      </c>
      <c r="B28" s="11" t="s">
        <v>227</v>
      </c>
      <c r="C28" s="12">
        <v>15</v>
      </c>
      <c r="D28" s="10">
        <v>26.0112</v>
      </c>
      <c r="E28" s="9">
        <f t="shared" si="0"/>
        <v>173.408</v>
      </c>
      <c r="F28" s="9">
        <f t="shared" si="1"/>
        <v>11.011199999999999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50</v>
      </c>
      <c r="D29" s="5">
        <f>D30</f>
        <v>41.37441</v>
      </c>
      <c r="E29" s="5">
        <f t="shared" si="0"/>
        <v>82.74882</v>
      </c>
      <c r="F29" s="5">
        <f t="shared" si="1"/>
        <v>-8.625590000000003</v>
      </c>
    </row>
    <row r="30" spans="1:6" ht="25.5" customHeight="1">
      <c r="A30" s="7">
        <v>1130206005</v>
      </c>
      <c r="B30" s="8" t="s">
        <v>226</v>
      </c>
      <c r="C30" s="9">
        <v>50</v>
      </c>
      <c r="D30" s="10">
        <v>41.37441</v>
      </c>
      <c r="E30" s="9">
        <f t="shared" si="0"/>
        <v>82.74882</v>
      </c>
      <c r="F30" s="9">
        <f t="shared" si="1"/>
        <v>-8.625590000000003</v>
      </c>
    </row>
    <row r="31" spans="1:6" ht="15.75" customHeight="1">
      <c r="A31" s="70">
        <v>1140000000</v>
      </c>
      <c r="B31" s="71" t="s">
        <v>132</v>
      </c>
      <c r="C31" s="5">
        <f>C32+C33</f>
        <v>1</v>
      </c>
      <c r="D31" s="5">
        <f>D32+D33</f>
        <v>0.96513</v>
      </c>
      <c r="E31" s="5">
        <f t="shared" si="0"/>
        <v>96.513</v>
      </c>
      <c r="F31" s="5">
        <f t="shared" si="1"/>
        <v>-0.03486999999999996</v>
      </c>
    </row>
    <row r="32" spans="1:6" ht="19.5" customHeight="1">
      <c r="A32" s="16">
        <v>1140200000</v>
      </c>
      <c r="B32" s="18" t="s">
        <v>224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9.25" customHeight="1">
      <c r="A33" s="7">
        <v>1140600000</v>
      </c>
      <c r="B33" s="8" t="s">
        <v>225</v>
      </c>
      <c r="C33" s="9">
        <v>1</v>
      </c>
      <c r="D33" s="10">
        <v>0.96513</v>
      </c>
      <c r="E33" s="9">
        <f t="shared" si="0"/>
        <v>96.513</v>
      </c>
      <c r="F33" s="9">
        <f t="shared" si="1"/>
        <v>-0.03486999999999996</v>
      </c>
    </row>
    <row r="34" spans="1:6" ht="22.5" customHeight="1">
      <c r="A34" s="3">
        <v>1160000000</v>
      </c>
      <c r="B34" s="13" t="s">
        <v>254</v>
      </c>
      <c r="C34" s="14">
        <f>C35+C36</f>
        <v>21</v>
      </c>
      <c r="D34" s="14">
        <f>D35+D36</f>
        <v>21.09809</v>
      </c>
      <c r="E34" s="5">
        <f t="shared" si="0"/>
        <v>100.46709523809523</v>
      </c>
      <c r="F34" s="5">
        <f t="shared" si="1"/>
        <v>0.09808999999999912</v>
      </c>
    </row>
    <row r="35" spans="1:6" ht="51.75" customHeight="1">
      <c r="A35" s="7">
        <v>1163305010</v>
      </c>
      <c r="B35" s="8" t="s">
        <v>270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6" ht="51.75" customHeight="1">
      <c r="A36" s="7">
        <v>1169005010</v>
      </c>
      <c r="B36" s="8" t="s">
        <v>352</v>
      </c>
      <c r="C36" s="9">
        <v>21</v>
      </c>
      <c r="D36" s="10">
        <v>21.09809</v>
      </c>
      <c r="E36" s="9">
        <f>SUM(D36/C36*100)</f>
        <v>100.46709523809523</v>
      </c>
      <c r="F36" s="9">
        <f>SUM(D36-C36)</f>
        <v>0.09808999999999912</v>
      </c>
    </row>
    <row r="37" spans="1:6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0.1281</v>
      </c>
      <c r="E37" s="5" t="e">
        <f t="shared" si="0"/>
        <v>#DIV/0!</v>
      </c>
      <c r="F37" s="5">
        <f t="shared" si="1"/>
        <v>0.1281</v>
      </c>
    </row>
    <row r="38" spans="1:6" ht="14.25" customHeight="1">
      <c r="A38" s="7">
        <v>1170105005</v>
      </c>
      <c r="B38" s="8" t="s">
        <v>18</v>
      </c>
      <c r="C38" s="9">
        <v>0</v>
      </c>
      <c r="D38" s="9">
        <v>0.1281</v>
      </c>
      <c r="E38" s="9" t="e">
        <f t="shared" si="0"/>
        <v>#DIV/0!</v>
      </c>
      <c r="F38" s="9">
        <f t="shared" si="1"/>
        <v>0.1281</v>
      </c>
    </row>
    <row r="39" spans="1:6" ht="18" customHeight="1">
      <c r="A39" s="7">
        <v>1170505005</v>
      </c>
      <c r="B39" s="11" t="s">
        <v>223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6" s="6" customFormat="1" ht="15.75">
      <c r="A40" s="3">
        <v>1000000000</v>
      </c>
      <c r="B40" s="4" t="s">
        <v>19</v>
      </c>
      <c r="C40" s="128">
        <f>SUM(C4,C25)</f>
        <v>1003.2</v>
      </c>
      <c r="D40" s="128">
        <f>D4+D25</f>
        <v>793.93383</v>
      </c>
      <c r="E40" s="5">
        <f t="shared" si="0"/>
        <v>79.14013456937798</v>
      </c>
      <c r="F40" s="5">
        <f t="shared" si="1"/>
        <v>-209.2661700000001</v>
      </c>
    </row>
    <row r="41" spans="1:7" s="6" customFormat="1" ht="15.75">
      <c r="A41" s="3">
        <v>2000000000</v>
      </c>
      <c r="B41" s="4" t="s">
        <v>20</v>
      </c>
      <c r="C41" s="5">
        <f>C42+C43+C44+C45+C46+C47</f>
        <v>2723.57778</v>
      </c>
      <c r="D41" s="316">
        <f>D42+D43+D44+D45+D46+D47</f>
        <v>2717.81778</v>
      </c>
      <c r="E41" s="5">
        <f t="shared" si="0"/>
        <v>99.78851347509524</v>
      </c>
      <c r="F41" s="5">
        <f t="shared" si="1"/>
        <v>-5.760000000000218</v>
      </c>
      <c r="G41" s="19"/>
    </row>
    <row r="42" spans="1:6" ht="16.5" customHeight="1">
      <c r="A42" s="16">
        <v>2020100000</v>
      </c>
      <c r="B42" s="17" t="s">
        <v>21</v>
      </c>
      <c r="C42" s="12">
        <v>990.59</v>
      </c>
      <c r="D42" s="20">
        <v>990.59</v>
      </c>
      <c r="E42" s="9">
        <f t="shared" si="0"/>
        <v>100</v>
      </c>
      <c r="F42" s="9">
        <f t="shared" si="1"/>
        <v>0</v>
      </c>
    </row>
    <row r="43" spans="1:6" ht="15.75" customHeight="1">
      <c r="A43" s="16">
        <v>2020100310</v>
      </c>
      <c r="B43" s="17" t="s">
        <v>234</v>
      </c>
      <c r="C43" s="12">
        <v>540</v>
      </c>
      <c r="D43" s="20">
        <v>540</v>
      </c>
      <c r="E43" s="9">
        <f t="shared" si="0"/>
        <v>100</v>
      </c>
      <c r="F43" s="9">
        <f t="shared" si="1"/>
        <v>0</v>
      </c>
    </row>
    <row r="44" spans="1:6" ht="15.75">
      <c r="A44" s="16">
        <v>2020200000</v>
      </c>
      <c r="B44" s="17" t="s">
        <v>22</v>
      </c>
      <c r="C44" s="12">
        <v>1118.023</v>
      </c>
      <c r="D44" s="10">
        <v>1112.263</v>
      </c>
      <c r="E44" s="9">
        <f t="shared" si="0"/>
        <v>99.48480487431833</v>
      </c>
      <c r="F44" s="9">
        <f t="shared" si="1"/>
        <v>-5.759999999999991</v>
      </c>
    </row>
    <row r="45" spans="1:6" ht="15" customHeight="1">
      <c r="A45" s="16">
        <v>2020300000</v>
      </c>
      <c r="B45" s="17" t="s">
        <v>23</v>
      </c>
      <c r="C45" s="12">
        <v>74.96478</v>
      </c>
      <c r="D45" s="258">
        <v>74.96478</v>
      </c>
      <c r="E45" s="9">
        <f t="shared" si="0"/>
        <v>100</v>
      </c>
      <c r="F45" s="9">
        <f t="shared" si="1"/>
        <v>0</v>
      </c>
    </row>
    <row r="46" spans="1:6" ht="17.25" customHeight="1">
      <c r="A46" s="16">
        <v>2020400000</v>
      </c>
      <c r="B46" s="17" t="s">
        <v>24</v>
      </c>
      <c r="C46" s="12">
        <v>0</v>
      </c>
      <c r="D46" s="259">
        <v>0</v>
      </c>
      <c r="E46" s="9" t="e">
        <f t="shared" si="0"/>
        <v>#DIV/0!</v>
      </c>
      <c r="F46" s="9">
        <f t="shared" si="1"/>
        <v>0</v>
      </c>
    </row>
    <row r="47" spans="1:6" ht="17.25" customHeight="1" hidden="1">
      <c r="A47" s="16">
        <v>2020900000</v>
      </c>
      <c r="B47" s="18" t="s">
        <v>25</v>
      </c>
      <c r="C47" s="12"/>
      <c r="D47" s="259"/>
      <c r="E47" s="9" t="e">
        <f t="shared" si="0"/>
        <v>#DIV/0!</v>
      </c>
      <c r="F47" s="9">
        <f t="shared" si="1"/>
        <v>0</v>
      </c>
    </row>
    <row r="48" spans="1:6" ht="17.25" customHeight="1" hidden="1">
      <c r="A48" s="16">
        <v>2080500010</v>
      </c>
      <c r="B48" s="18" t="s">
        <v>258</v>
      </c>
      <c r="C48" s="12"/>
      <c r="D48" s="259"/>
      <c r="E48" s="9"/>
      <c r="F48" s="9"/>
    </row>
    <row r="49" spans="1:6" s="6" customFormat="1" ht="17.25" customHeight="1" hidden="1">
      <c r="A49" s="3">
        <v>3000000000</v>
      </c>
      <c r="B49" s="13" t="s">
        <v>27</v>
      </c>
      <c r="C49" s="295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7.25" customHeight="1">
      <c r="A50" s="3"/>
      <c r="B50" s="4" t="s">
        <v>28</v>
      </c>
      <c r="C50" s="369">
        <f>C40+C41</f>
        <v>3726.7777800000003</v>
      </c>
      <c r="D50" s="370">
        <f>D40+D41</f>
        <v>3511.75161</v>
      </c>
      <c r="E50" s="93">
        <f t="shared" si="0"/>
        <v>94.23023902434021</v>
      </c>
      <c r="F50" s="93">
        <f t="shared" si="1"/>
        <v>-215.02617000000055</v>
      </c>
      <c r="G50" s="94"/>
    </row>
    <row r="51" spans="1:6" s="6" customFormat="1" ht="23.25" customHeight="1">
      <c r="A51" s="3"/>
      <c r="B51" s="21" t="s">
        <v>327</v>
      </c>
      <c r="C51" s="93">
        <f>C50-C96</f>
        <v>-175.01999999999953</v>
      </c>
      <c r="D51" s="93">
        <f>D50-D96</f>
        <v>-337.3276599999999</v>
      </c>
      <c r="E51" s="300"/>
      <c r="F51" s="300"/>
    </row>
    <row r="52" spans="1:6" ht="15.75">
      <c r="A52" s="23"/>
      <c r="B52" s="24"/>
      <c r="C52" s="116"/>
      <c r="D52" s="25"/>
      <c r="E52" s="26"/>
      <c r="F52" s="27"/>
    </row>
    <row r="53" spans="1:6" ht="32.25" customHeight="1">
      <c r="A53" s="28" t="s">
        <v>1</v>
      </c>
      <c r="B53" s="28" t="s">
        <v>29</v>
      </c>
      <c r="C53" s="255" t="s">
        <v>340</v>
      </c>
      <c r="D53" s="73" t="s">
        <v>353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15.75">
      <c r="A55" s="30" t="s">
        <v>30</v>
      </c>
      <c r="B55" s="31" t="s">
        <v>31</v>
      </c>
      <c r="C55" s="33">
        <f>C56+C57+C58+C59+C60+C62+C61</f>
        <v>1010.743</v>
      </c>
      <c r="D55" s="33">
        <f>D56+D57+D58+D59+D60+D62+D61</f>
        <v>999.8725900000001</v>
      </c>
      <c r="E55" s="34">
        <f>SUM(D55/C55*100)</f>
        <v>98.92451295729973</v>
      </c>
      <c r="F55" s="34">
        <f>SUM(D55-C55)</f>
        <v>-10.870409999999993</v>
      </c>
    </row>
    <row r="56" spans="1:6" s="6" customFormat="1" ht="15.75" customHeight="1" hidden="1">
      <c r="A56" s="35" t="s">
        <v>32</v>
      </c>
      <c r="B56" s="36" t="s">
        <v>33</v>
      </c>
      <c r="C56" s="303"/>
      <c r="D56" s="303"/>
      <c r="E56" s="38"/>
      <c r="F56" s="38"/>
    </row>
    <row r="57" spans="1:6" ht="15" customHeight="1">
      <c r="A57" s="35" t="s">
        <v>34</v>
      </c>
      <c r="B57" s="39" t="s">
        <v>35</v>
      </c>
      <c r="C57" s="303">
        <v>1003.1</v>
      </c>
      <c r="D57" s="303">
        <v>997.23009</v>
      </c>
      <c r="E57" s="38">
        <f aca="true" t="shared" si="3" ref="E57:E96">SUM(D57/C57*100)</f>
        <v>99.4148230485495</v>
      </c>
      <c r="F57" s="38">
        <f aca="true" t="shared" si="4" ref="F57:F96">SUM(D57-C57)</f>
        <v>-5.869910000000004</v>
      </c>
    </row>
    <row r="58" spans="1:6" ht="17.25" customHeight="1" hidden="1">
      <c r="A58" s="35" t="s">
        <v>36</v>
      </c>
      <c r="B58" s="39" t="s">
        <v>37</v>
      </c>
      <c r="C58" s="303"/>
      <c r="D58" s="303"/>
      <c r="E58" s="38"/>
      <c r="F58" s="38">
        <f t="shared" si="4"/>
        <v>0</v>
      </c>
    </row>
    <row r="59" spans="1:6" ht="15.75" customHeight="1" hidden="1">
      <c r="A59" s="35" t="s">
        <v>38</v>
      </c>
      <c r="B59" s="39" t="s">
        <v>39</v>
      </c>
      <c r="C59" s="303"/>
      <c r="D59" s="303"/>
      <c r="E59" s="38" t="e">
        <f t="shared" si="3"/>
        <v>#DIV/0!</v>
      </c>
      <c r="F59" s="38">
        <f t="shared" si="4"/>
        <v>0</v>
      </c>
    </row>
    <row r="60" spans="1:6" ht="15" customHeight="1">
      <c r="A60" s="35" t="s">
        <v>40</v>
      </c>
      <c r="B60" s="39" t="s">
        <v>41</v>
      </c>
      <c r="C60" s="303">
        <v>0</v>
      </c>
      <c r="D60" s="303">
        <v>0</v>
      </c>
      <c r="E60" s="38" t="e">
        <f t="shared" si="3"/>
        <v>#DIV/0!</v>
      </c>
      <c r="F60" s="38">
        <f t="shared" si="4"/>
        <v>0</v>
      </c>
    </row>
    <row r="61" spans="1:6" ht="15" customHeight="1">
      <c r="A61" s="35" t="s">
        <v>42</v>
      </c>
      <c r="B61" s="39" t="s">
        <v>43</v>
      </c>
      <c r="C61" s="304">
        <v>5</v>
      </c>
      <c r="D61" s="304">
        <v>0</v>
      </c>
      <c r="E61" s="38">
        <f t="shared" si="3"/>
        <v>0</v>
      </c>
      <c r="F61" s="38">
        <f t="shared" si="4"/>
        <v>-5</v>
      </c>
    </row>
    <row r="62" spans="1:6" ht="19.5" customHeight="1">
      <c r="A62" s="35" t="s">
        <v>44</v>
      </c>
      <c r="B62" s="39" t="s">
        <v>45</v>
      </c>
      <c r="C62" s="303">
        <v>2.643</v>
      </c>
      <c r="D62" s="303">
        <v>2.6425</v>
      </c>
      <c r="E62" s="38">
        <f t="shared" si="3"/>
        <v>99.98108210367008</v>
      </c>
      <c r="F62" s="38">
        <f t="shared" si="4"/>
        <v>-0.0004999999999997229</v>
      </c>
    </row>
    <row r="63" spans="1:6" s="6" customFormat="1" ht="15.75">
      <c r="A63" s="41" t="s">
        <v>46</v>
      </c>
      <c r="B63" s="42" t="s">
        <v>47</v>
      </c>
      <c r="C63" s="33">
        <f>C64</f>
        <v>74.63238</v>
      </c>
      <c r="D63" s="33">
        <f>D64</f>
        <v>74.63238</v>
      </c>
      <c r="E63" s="34">
        <f t="shared" si="3"/>
        <v>100</v>
      </c>
      <c r="F63" s="34">
        <f t="shared" si="4"/>
        <v>0</v>
      </c>
    </row>
    <row r="64" spans="1:6" ht="15.75">
      <c r="A64" s="43" t="s">
        <v>48</v>
      </c>
      <c r="B64" s="44" t="s">
        <v>49</v>
      </c>
      <c r="C64" s="303">
        <v>74.63238</v>
      </c>
      <c r="D64" s="303">
        <v>74.63238</v>
      </c>
      <c r="E64" s="38">
        <f t="shared" si="3"/>
        <v>100</v>
      </c>
      <c r="F64" s="38">
        <f t="shared" si="4"/>
        <v>0</v>
      </c>
    </row>
    <row r="65" spans="1:6" s="6" customFormat="1" ht="18.75" customHeight="1">
      <c r="A65" s="30" t="s">
        <v>50</v>
      </c>
      <c r="B65" s="31" t="s">
        <v>51</v>
      </c>
      <c r="C65" s="33">
        <f>C68+C69</f>
        <v>2.557</v>
      </c>
      <c r="D65" s="33">
        <f>D68+D69</f>
        <v>2.5</v>
      </c>
      <c r="E65" s="34">
        <f t="shared" si="3"/>
        <v>97.77082518576456</v>
      </c>
      <c r="F65" s="34">
        <f t="shared" si="4"/>
        <v>-0.05699999999999994</v>
      </c>
    </row>
    <row r="66" spans="1:6" ht="1.5" customHeight="1" hidden="1">
      <c r="A66" s="35" t="s">
        <v>52</v>
      </c>
      <c r="B66" s="39" t="s">
        <v>53</v>
      </c>
      <c r="C66" s="303">
        <v>0</v>
      </c>
      <c r="D66" s="33">
        <v>0</v>
      </c>
      <c r="E66" s="34" t="e">
        <f t="shared" si="3"/>
        <v>#DIV/0!</v>
      </c>
      <c r="F66" s="34">
        <f t="shared" si="4"/>
        <v>0</v>
      </c>
    </row>
    <row r="67" spans="1:6" ht="20.25" customHeight="1" hidden="1">
      <c r="A67" s="45" t="s">
        <v>54</v>
      </c>
      <c r="B67" s="39" t="s">
        <v>55</v>
      </c>
      <c r="C67" s="30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6" ht="17.25" customHeight="1">
      <c r="A68" s="46" t="s">
        <v>56</v>
      </c>
      <c r="B68" s="47" t="s">
        <v>57</v>
      </c>
      <c r="C68" s="305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6" ht="15.75">
      <c r="A69" s="46" t="s">
        <v>221</v>
      </c>
      <c r="B69" s="47" t="s">
        <v>222</v>
      </c>
      <c r="C69" s="303">
        <v>2.557</v>
      </c>
      <c r="D69" s="303">
        <v>2.5</v>
      </c>
      <c r="E69" s="34">
        <f t="shared" si="3"/>
        <v>97.77082518576456</v>
      </c>
      <c r="F69" s="34">
        <f t="shared" si="4"/>
        <v>-0.05699999999999994</v>
      </c>
    </row>
    <row r="70" spans="1:9" s="6" customFormat="1" ht="17.25" customHeight="1">
      <c r="A70" s="30" t="s">
        <v>58</v>
      </c>
      <c r="B70" s="31" t="s">
        <v>59</v>
      </c>
      <c r="C70" s="33">
        <f>SUM(C71:C74)</f>
        <v>1905.353</v>
      </c>
      <c r="D70" s="33">
        <f>SUM(D71:D74)</f>
        <v>1863.703</v>
      </c>
      <c r="E70" s="34">
        <f t="shared" si="3"/>
        <v>97.81405335389294</v>
      </c>
      <c r="F70" s="34">
        <f t="shared" si="4"/>
        <v>-41.65000000000009</v>
      </c>
      <c r="I70" s="109"/>
    </row>
    <row r="71" spans="1:6" ht="15.75" customHeight="1">
      <c r="A71" s="35" t="s">
        <v>60</v>
      </c>
      <c r="B71" s="39" t="s">
        <v>61</v>
      </c>
      <c r="C71" s="303">
        <v>1.25</v>
      </c>
      <c r="D71" s="303">
        <v>1.25</v>
      </c>
      <c r="E71" s="38">
        <f t="shared" si="3"/>
        <v>100</v>
      </c>
      <c r="F71" s="38">
        <f t="shared" si="4"/>
        <v>0</v>
      </c>
    </row>
    <row r="72" spans="1:7" s="6" customFormat="1" ht="19.5" customHeight="1">
      <c r="A72" s="35" t="s">
        <v>62</v>
      </c>
      <c r="B72" s="39" t="s">
        <v>63</v>
      </c>
      <c r="C72" s="303">
        <v>140</v>
      </c>
      <c r="D72" s="303">
        <v>140</v>
      </c>
      <c r="E72" s="38">
        <f t="shared" si="3"/>
        <v>100</v>
      </c>
      <c r="F72" s="38">
        <f t="shared" si="4"/>
        <v>0</v>
      </c>
      <c r="G72" s="50"/>
    </row>
    <row r="73" spans="1:6" ht="15.75">
      <c r="A73" s="35" t="s">
        <v>64</v>
      </c>
      <c r="B73" s="39" t="s">
        <v>65</v>
      </c>
      <c r="C73" s="303">
        <v>1559.703</v>
      </c>
      <c r="D73" s="303">
        <v>1559.703</v>
      </c>
      <c r="E73" s="38">
        <f t="shared" si="3"/>
        <v>100</v>
      </c>
      <c r="F73" s="38">
        <f t="shared" si="4"/>
        <v>0</v>
      </c>
    </row>
    <row r="74" spans="1:6" ht="15.75">
      <c r="A74" s="35" t="s">
        <v>66</v>
      </c>
      <c r="B74" s="39" t="s">
        <v>67</v>
      </c>
      <c r="C74" s="303">
        <f>124.4+80</f>
        <v>204.4</v>
      </c>
      <c r="D74" s="303">
        <v>162.75</v>
      </c>
      <c r="E74" s="38">
        <f t="shared" si="3"/>
        <v>79.62328767123287</v>
      </c>
      <c r="F74" s="38">
        <f t="shared" si="4"/>
        <v>-41.650000000000006</v>
      </c>
    </row>
    <row r="75" spans="1:6" s="6" customFormat="1" ht="19.5" customHeight="1">
      <c r="A75" s="30" t="s">
        <v>68</v>
      </c>
      <c r="B75" s="31" t="s">
        <v>69</v>
      </c>
      <c r="C75" s="33">
        <f>SUM(C76:C78)</f>
        <v>220.43540000000002</v>
      </c>
      <c r="D75" s="33">
        <f>SUM(D76:D78)</f>
        <v>220.3383</v>
      </c>
      <c r="E75" s="34">
        <f t="shared" si="3"/>
        <v>99.95595081370777</v>
      </c>
      <c r="F75" s="34">
        <f t="shared" si="4"/>
        <v>-0.09710000000001173</v>
      </c>
    </row>
    <row r="76" spans="1:6" ht="15" customHeight="1" hidden="1">
      <c r="A76" s="35" t="s">
        <v>70</v>
      </c>
      <c r="B76" s="51" t="s">
        <v>71</v>
      </c>
      <c r="C76" s="303"/>
      <c r="D76" s="303"/>
      <c r="E76" s="38" t="e">
        <f t="shared" si="3"/>
        <v>#DIV/0!</v>
      </c>
      <c r="F76" s="38">
        <f t="shared" si="4"/>
        <v>0</v>
      </c>
    </row>
    <row r="77" spans="1:6" ht="18" customHeight="1" hidden="1">
      <c r="A77" s="35" t="s">
        <v>72</v>
      </c>
      <c r="B77" s="51" t="s">
        <v>73</v>
      </c>
      <c r="C77" s="303"/>
      <c r="D77" s="303"/>
      <c r="E77" s="38" t="e">
        <f t="shared" si="3"/>
        <v>#DIV/0!</v>
      </c>
      <c r="F77" s="38">
        <f t="shared" si="4"/>
        <v>0</v>
      </c>
    </row>
    <row r="78" spans="1:6" ht="15.75">
      <c r="A78" s="35" t="s">
        <v>74</v>
      </c>
      <c r="B78" s="39" t="s">
        <v>75</v>
      </c>
      <c r="C78" s="303">
        <f>133.33+82.3054+4.8</f>
        <v>220.43540000000002</v>
      </c>
      <c r="D78" s="303">
        <v>220.3383</v>
      </c>
      <c r="E78" s="38">
        <f t="shared" si="3"/>
        <v>99.95595081370777</v>
      </c>
      <c r="F78" s="38">
        <f t="shared" si="4"/>
        <v>-0.09710000000001173</v>
      </c>
    </row>
    <row r="79" spans="1:6" s="6" customFormat="1" ht="15.75">
      <c r="A79" s="30" t="s">
        <v>86</v>
      </c>
      <c r="B79" s="31" t="s">
        <v>87</v>
      </c>
      <c r="C79" s="33">
        <f>C80</f>
        <v>686.077</v>
      </c>
      <c r="D79" s="33">
        <f>SUM(D80)</f>
        <v>686.033</v>
      </c>
      <c r="E79" s="34">
        <f t="shared" si="3"/>
        <v>99.99358672568822</v>
      </c>
      <c r="F79" s="34">
        <f t="shared" si="4"/>
        <v>-0.04399999999998272</v>
      </c>
    </row>
    <row r="80" spans="1:12" ht="16.5" customHeight="1">
      <c r="A80" s="35" t="s">
        <v>88</v>
      </c>
      <c r="B80" s="39" t="s">
        <v>236</v>
      </c>
      <c r="C80" s="303">
        <v>686.077</v>
      </c>
      <c r="D80" s="303">
        <v>686.033</v>
      </c>
      <c r="E80" s="38">
        <f t="shared" si="3"/>
        <v>99.99358672568822</v>
      </c>
      <c r="F80" s="38">
        <f t="shared" si="4"/>
        <v>-0.04399999999998272</v>
      </c>
      <c r="L80" s="108"/>
    </row>
    <row r="81" spans="1:6" s="6" customFormat="1" ht="1.5" customHeight="1" hidden="1">
      <c r="A81" s="52">
        <v>1000</v>
      </c>
      <c r="B81" s="31" t="s">
        <v>89</v>
      </c>
      <c r="C81" s="33">
        <f>SUM(C82:C85)</f>
        <v>0</v>
      </c>
      <c r="D81" s="33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5" customHeight="1" hidden="1">
      <c r="A82" s="53">
        <v>1001</v>
      </c>
      <c r="B82" s="54" t="s">
        <v>90</v>
      </c>
      <c r="C82" s="303"/>
      <c r="D82" s="303"/>
      <c r="E82" s="38" t="e">
        <f t="shared" si="3"/>
        <v>#DIV/0!</v>
      </c>
      <c r="F82" s="38">
        <f t="shared" si="4"/>
        <v>0</v>
      </c>
    </row>
    <row r="83" spans="1:6" ht="17.25" customHeight="1" hidden="1">
      <c r="A83" s="53">
        <v>1003</v>
      </c>
      <c r="B83" s="54" t="s">
        <v>91</v>
      </c>
      <c r="C83" s="303"/>
      <c r="D83" s="303"/>
      <c r="E83" s="38" t="e">
        <f t="shared" si="3"/>
        <v>#DIV/0!</v>
      </c>
      <c r="F83" s="38">
        <f t="shared" si="4"/>
        <v>0</v>
      </c>
    </row>
    <row r="84" spans="1:6" ht="17.25" customHeight="1" hidden="1">
      <c r="A84" s="53">
        <v>1004</v>
      </c>
      <c r="B84" s="54" t="s">
        <v>92</v>
      </c>
      <c r="C84" s="303"/>
      <c r="D84" s="306"/>
      <c r="E84" s="38" t="e">
        <f t="shared" si="3"/>
        <v>#DIV/0!</v>
      </c>
      <c r="F84" s="38">
        <f t="shared" si="4"/>
        <v>0</v>
      </c>
    </row>
    <row r="85" spans="1:6" ht="15" customHeight="1" hidden="1">
      <c r="A85" s="35" t="s">
        <v>93</v>
      </c>
      <c r="B85" s="39" t="s">
        <v>94</v>
      </c>
      <c r="C85" s="303">
        <v>0</v>
      </c>
      <c r="D85" s="303">
        <v>0</v>
      </c>
      <c r="E85" s="38"/>
      <c r="F85" s="38">
        <f t="shared" si="4"/>
        <v>0</v>
      </c>
    </row>
    <row r="86" spans="1:6" ht="19.5" customHeight="1">
      <c r="A86" s="30" t="s">
        <v>95</v>
      </c>
      <c r="B86" s="31" t="s">
        <v>96</v>
      </c>
      <c r="C86" s="33">
        <f>C87+C88+C89+C90+C91</f>
        <v>2</v>
      </c>
      <c r="D86" s="33">
        <f>D87+D88+D89+D90+D91</f>
        <v>2</v>
      </c>
      <c r="E86" s="38">
        <f t="shared" si="3"/>
        <v>100</v>
      </c>
      <c r="F86" s="22">
        <f>F87+F88+F89+F90+F91</f>
        <v>0</v>
      </c>
    </row>
    <row r="87" spans="1:6" ht="18.75" customHeight="1">
      <c r="A87" s="35" t="s">
        <v>97</v>
      </c>
      <c r="B87" s="39" t="s">
        <v>98</v>
      </c>
      <c r="C87" s="303">
        <v>2</v>
      </c>
      <c r="D87" s="303">
        <v>2</v>
      </c>
      <c r="E87" s="38">
        <f t="shared" si="3"/>
        <v>100</v>
      </c>
      <c r="F87" s="38">
        <f>SUM(D87-C87)</f>
        <v>0</v>
      </c>
    </row>
    <row r="88" spans="1:6" ht="0.75" customHeight="1" hidden="1">
      <c r="A88" s="35" t="s">
        <v>99</v>
      </c>
      <c r="B88" s="39" t="s">
        <v>100</v>
      </c>
      <c r="C88" s="303"/>
      <c r="D88" s="303">
        <v>0</v>
      </c>
      <c r="E88" s="38" t="e">
        <f t="shared" si="3"/>
        <v>#DIV/0!</v>
      </c>
      <c r="F88" s="38">
        <f>SUM(D88-C88)</f>
        <v>0</v>
      </c>
    </row>
    <row r="89" spans="1:6" ht="15.75" customHeight="1" hidden="1">
      <c r="A89" s="35" t="s">
        <v>101</v>
      </c>
      <c r="B89" s="39" t="s">
        <v>102</v>
      </c>
      <c r="C89" s="303"/>
      <c r="D89" s="303"/>
      <c r="E89" s="38" t="e">
        <f t="shared" si="3"/>
        <v>#DIV/0!</v>
      </c>
      <c r="F89" s="38"/>
    </row>
    <row r="90" spans="1:6" ht="3" customHeight="1" hidden="1">
      <c r="A90" s="35" t="s">
        <v>103</v>
      </c>
      <c r="B90" s="39" t="s">
        <v>104</v>
      </c>
      <c r="C90" s="303"/>
      <c r="D90" s="303"/>
      <c r="E90" s="38" t="e">
        <f t="shared" si="3"/>
        <v>#DIV/0!</v>
      </c>
      <c r="F90" s="38"/>
    </row>
    <row r="91" spans="1:6" ht="15" customHeight="1" hidden="1">
      <c r="A91" s="35" t="s">
        <v>105</v>
      </c>
      <c r="B91" s="39" t="s">
        <v>106</v>
      </c>
      <c r="C91" s="303"/>
      <c r="D91" s="303"/>
      <c r="E91" s="38" t="e">
        <f t="shared" si="3"/>
        <v>#DIV/0!</v>
      </c>
      <c r="F91" s="38"/>
    </row>
    <row r="92" spans="1:6" s="6" customFormat="1" ht="12" customHeight="1" hidden="1">
      <c r="A92" s="52">
        <v>1400</v>
      </c>
      <c r="B92" s="56" t="s">
        <v>115</v>
      </c>
      <c r="C92" s="33">
        <f>C93+C94+C95</f>
        <v>0</v>
      </c>
      <c r="D92" s="33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15.75" customHeight="1" hidden="1">
      <c r="A93" s="53">
        <v>1401</v>
      </c>
      <c r="B93" s="54" t="s">
        <v>116</v>
      </c>
      <c r="C93" s="303"/>
      <c r="D93" s="303"/>
      <c r="E93" s="38" t="e">
        <f t="shared" si="3"/>
        <v>#DIV/0!</v>
      </c>
      <c r="F93" s="38">
        <f t="shared" si="4"/>
        <v>0</v>
      </c>
    </row>
    <row r="94" spans="1:6" ht="57.75" customHeight="1" hidden="1">
      <c r="A94" s="53">
        <v>1402</v>
      </c>
      <c r="B94" s="54" t="s">
        <v>117</v>
      </c>
      <c r="C94" s="303"/>
      <c r="D94" s="303"/>
      <c r="E94" s="38" t="e">
        <f t="shared" si="3"/>
        <v>#DIV/0!</v>
      </c>
      <c r="F94" s="38">
        <f t="shared" si="4"/>
        <v>0</v>
      </c>
    </row>
    <row r="95" spans="1:6" ht="23.25" customHeight="1" hidden="1">
      <c r="A95" s="53">
        <v>1403</v>
      </c>
      <c r="B95" s="54" t="s">
        <v>118</v>
      </c>
      <c r="C95" s="303"/>
      <c r="D95" s="303"/>
      <c r="E95" s="38" t="e">
        <f t="shared" si="3"/>
        <v>#DIV/0!</v>
      </c>
      <c r="F95" s="38">
        <f t="shared" si="4"/>
        <v>0</v>
      </c>
    </row>
    <row r="96" spans="1:6" s="6" customFormat="1" ht="16.5" customHeight="1">
      <c r="A96" s="52"/>
      <c r="B96" s="57" t="s">
        <v>119</v>
      </c>
      <c r="C96" s="380">
        <f>C55+C63+C65+C70+C75+C79+C86</f>
        <v>3901.79778</v>
      </c>
      <c r="D96" s="317">
        <f>D55+D63+D70+D75+D79+D65+D86</f>
        <v>3849.0792699999997</v>
      </c>
      <c r="E96" s="34">
        <f t="shared" si="3"/>
        <v>98.64886616445816</v>
      </c>
      <c r="F96" s="34">
        <f t="shared" si="4"/>
        <v>-52.71851000000015</v>
      </c>
    </row>
    <row r="97" spans="3:4" ht="20.25" customHeight="1">
      <c r="C97" s="127"/>
      <c r="D97" s="102"/>
    </row>
    <row r="98" spans="1:4" s="65" customFormat="1" ht="13.5" customHeight="1">
      <c r="A98" s="63" t="s">
        <v>120</v>
      </c>
      <c r="B98" s="63"/>
      <c r="C98" s="117"/>
      <c r="D98" s="64"/>
    </row>
    <row r="99" spans="1:4" s="65" customFormat="1" ht="12.75">
      <c r="A99" s="66" t="s">
        <v>121</v>
      </c>
      <c r="B99" s="66"/>
      <c r="C99" s="135" t="s">
        <v>122</v>
      </c>
      <c r="D99" s="135"/>
    </row>
    <row r="100" ht="15.75">
      <c r="C100" s="121"/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SheetLayoutView="70" zoomScalePageLayoutView="0" workbookViewId="0" topLeftCell="A10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6.140625" style="62" customWidth="1"/>
    <col min="4" max="4" width="17.421875" style="62" customWidth="1"/>
    <col min="5" max="5" width="10.421875" style="62" customWidth="1"/>
    <col min="6" max="6" width="9.42187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358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2021.48</v>
      </c>
      <c r="D4" s="5">
        <f>D5+D12+D14+D17+D7</f>
        <v>2186.96791</v>
      </c>
      <c r="E4" s="5">
        <f>SUM(D4/C4*100)</f>
        <v>108.1864727823179</v>
      </c>
      <c r="F4" s="5">
        <f>SUM(D4-C4)</f>
        <v>165.48790999999983</v>
      </c>
    </row>
    <row r="5" spans="1:6" s="6" customFormat="1" ht="15.75">
      <c r="A5" s="68">
        <v>1010000000</v>
      </c>
      <c r="B5" s="67" t="s">
        <v>6</v>
      </c>
      <c r="C5" s="5">
        <f>C6</f>
        <v>125.27</v>
      </c>
      <c r="D5" s="5">
        <f>D6</f>
        <v>116.42383</v>
      </c>
      <c r="E5" s="5">
        <f aca="true" t="shared" si="0" ref="E5:E50">SUM(D5/C5*100)</f>
        <v>92.9383172347729</v>
      </c>
      <c r="F5" s="5">
        <f aca="true" t="shared" si="1" ref="F5:F50">SUM(D5-C5)</f>
        <v>-8.84617</v>
      </c>
    </row>
    <row r="6" spans="1:6" ht="15.75">
      <c r="A6" s="7">
        <v>1010200001</v>
      </c>
      <c r="B6" s="8" t="s">
        <v>231</v>
      </c>
      <c r="C6" s="9">
        <v>125.27</v>
      </c>
      <c r="D6" s="10">
        <v>116.42383</v>
      </c>
      <c r="E6" s="9">
        <f aca="true" t="shared" si="2" ref="E6:E11">SUM(D6/C6*100)</f>
        <v>92.9383172347729</v>
      </c>
      <c r="F6" s="9">
        <f t="shared" si="1"/>
        <v>-8.84617</v>
      </c>
    </row>
    <row r="7" spans="1:6" ht="31.5">
      <c r="A7" s="3">
        <v>1030000000</v>
      </c>
      <c r="B7" s="13" t="s">
        <v>285</v>
      </c>
      <c r="C7" s="5">
        <f>C8+C10+C9</f>
        <v>456.21</v>
      </c>
      <c r="D7" s="5">
        <f>D8+D10+D9+D11</f>
        <v>485.05127000000005</v>
      </c>
      <c r="E7" s="5">
        <f t="shared" si="2"/>
        <v>106.32192849784093</v>
      </c>
      <c r="F7" s="5">
        <f t="shared" si="1"/>
        <v>28.841270000000065</v>
      </c>
    </row>
    <row r="8" spans="1:6" ht="15.75">
      <c r="A8" s="7">
        <v>1030223001</v>
      </c>
      <c r="B8" s="8" t="s">
        <v>287</v>
      </c>
      <c r="C8" s="9">
        <v>148.27</v>
      </c>
      <c r="D8" s="10">
        <v>199.30726</v>
      </c>
      <c r="E8" s="9">
        <f t="shared" si="2"/>
        <v>134.42183853780264</v>
      </c>
      <c r="F8" s="9">
        <f t="shared" si="1"/>
        <v>51.03726</v>
      </c>
    </row>
    <row r="9" spans="1:6" ht="15.75">
      <c r="A9" s="7">
        <v>1030224001</v>
      </c>
      <c r="B9" s="8" t="s">
        <v>293</v>
      </c>
      <c r="C9" s="9">
        <v>1.82</v>
      </c>
      <c r="D9" s="10">
        <v>2.02331</v>
      </c>
      <c r="E9" s="9">
        <f t="shared" si="2"/>
        <v>111.1708791208791</v>
      </c>
      <c r="F9" s="9">
        <f t="shared" si="1"/>
        <v>0.20330999999999988</v>
      </c>
    </row>
    <row r="10" spans="1:6" ht="15.75">
      <c r="A10" s="7">
        <v>1030225001</v>
      </c>
      <c r="B10" s="8" t="s">
        <v>286</v>
      </c>
      <c r="C10" s="9">
        <v>306.12</v>
      </c>
      <c r="D10" s="10">
        <v>322.3218</v>
      </c>
      <c r="E10" s="9">
        <f t="shared" si="2"/>
        <v>105.29263034104272</v>
      </c>
      <c r="F10" s="9">
        <f t="shared" si="1"/>
        <v>16.20179999999999</v>
      </c>
    </row>
    <row r="11" spans="1:6" ht="15.75">
      <c r="A11" s="7">
        <v>1030226001</v>
      </c>
      <c r="B11" s="8" t="s">
        <v>295</v>
      </c>
      <c r="C11" s="9">
        <v>0</v>
      </c>
      <c r="D11" s="10">
        <v>-38.6011</v>
      </c>
      <c r="E11" s="9" t="e">
        <f t="shared" si="2"/>
        <v>#DIV/0!</v>
      </c>
      <c r="F11" s="9">
        <f t="shared" si="1"/>
        <v>-38.6011</v>
      </c>
    </row>
    <row r="12" spans="1:6" s="6" customFormat="1" ht="15.75">
      <c r="A12" s="68">
        <v>1050000000</v>
      </c>
      <c r="B12" s="67" t="s">
        <v>7</v>
      </c>
      <c r="C12" s="5">
        <f>SUM(C13:C13)</f>
        <v>15</v>
      </c>
      <c r="D12" s="5">
        <f>SUM(D13:D13)</f>
        <v>9.74188</v>
      </c>
      <c r="E12" s="5">
        <f t="shared" si="0"/>
        <v>64.94586666666666</v>
      </c>
      <c r="F12" s="5">
        <f t="shared" si="1"/>
        <v>-5.25812</v>
      </c>
    </row>
    <row r="13" spans="1:6" ht="15.75" customHeight="1">
      <c r="A13" s="7">
        <v>1050300000</v>
      </c>
      <c r="B13" s="11" t="s">
        <v>232</v>
      </c>
      <c r="C13" s="12">
        <v>15</v>
      </c>
      <c r="D13" s="10">
        <v>9.74188</v>
      </c>
      <c r="E13" s="9">
        <f t="shared" si="0"/>
        <v>64.94586666666666</v>
      </c>
      <c r="F13" s="9">
        <f t="shared" si="1"/>
        <v>-5.25812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1410</v>
      </c>
      <c r="D14" s="5">
        <f>D15+D16</f>
        <v>1564.4259299999999</v>
      </c>
      <c r="E14" s="5">
        <f t="shared" si="0"/>
        <v>110.95219361702127</v>
      </c>
      <c r="F14" s="5">
        <f t="shared" si="1"/>
        <v>154.42592999999988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89.31837</v>
      </c>
      <c r="E15" s="9">
        <f t="shared" si="0"/>
        <v>81.19851818181817</v>
      </c>
      <c r="F15" s="9">
        <f>SUM(D15-C15)</f>
        <v>-20.68163</v>
      </c>
    </row>
    <row r="16" spans="1:6" ht="15.75" customHeight="1">
      <c r="A16" s="7">
        <v>1060600000</v>
      </c>
      <c r="B16" s="11" t="s">
        <v>8</v>
      </c>
      <c r="C16" s="9">
        <v>1300</v>
      </c>
      <c r="D16" s="10">
        <v>1475.10756</v>
      </c>
      <c r="E16" s="9">
        <f t="shared" si="0"/>
        <v>113.46981230769231</v>
      </c>
      <c r="F16" s="9">
        <f t="shared" si="1"/>
        <v>175.10755999999992</v>
      </c>
    </row>
    <row r="17" spans="1:6" s="6" customFormat="1" ht="15.75">
      <c r="A17" s="3">
        <v>1080000000</v>
      </c>
      <c r="B17" s="4" t="s">
        <v>11</v>
      </c>
      <c r="C17" s="5">
        <f>C18</f>
        <v>15</v>
      </c>
      <c r="D17" s="5">
        <f>D18</f>
        <v>11.325</v>
      </c>
      <c r="E17" s="5">
        <f t="shared" si="0"/>
        <v>75.5</v>
      </c>
      <c r="F17" s="5">
        <f t="shared" si="1"/>
        <v>-3.6750000000000007</v>
      </c>
    </row>
    <row r="18" spans="1:6" ht="15.75">
      <c r="A18" s="7">
        <v>1080400001</v>
      </c>
      <c r="B18" s="8" t="s">
        <v>230</v>
      </c>
      <c r="C18" s="9">
        <v>15</v>
      </c>
      <c r="D18" s="10">
        <v>11.325</v>
      </c>
      <c r="E18" s="9">
        <f t="shared" si="0"/>
        <v>75.5</v>
      </c>
      <c r="F18" s="9">
        <f t="shared" si="1"/>
        <v>-3.6750000000000007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235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360</v>
      </c>
      <c r="D25" s="5">
        <f>D26+D29+D31+D36+D34</f>
        <v>492.99888</v>
      </c>
      <c r="E25" s="5">
        <f t="shared" si="0"/>
        <v>136.94413333333333</v>
      </c>
      <c r="F25" s="5">
        <f t="shared" si="1"/>
        <v>132.99887999999999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280</v>
      </c>
      <c r="D26" s="5">
        <f>D27+D28</f>
        <v>164.6</v>
      </c>
      <c r="E26" s="5">
        <f t="shared" si="0"/>
        <v>58.785714285714285</v>
      </c>
      <c r="F26" s="5">
        <f t="shared" si="1"/>
        <v>-115.4</v>
      </c>
    </row>
    <row r="27" spans="1:6" ht="15.75">
      <c r="A27" s="16">
        <v>1110502001</v>
      </c>
      <c r="B27" s="17" t="s">
        <v>228</v>
      </c>
      <c r="C27" s="12">
        <v>250</v>
      </c>
      <c r="D27" s="10">
        <v>113.678</v>
      </c>
      <c r="E27" s="9">
        <f t="shared" si="0"/>
        <v>45.4712</v>
      </c>
      <c r="F27" s="9">
        <f t="shared" si="1"/>
        <v>-136.322</v>
      </c>
    </row>
    <row r="28" spans="1:6" ht="15.75">
      <c r="A28" s="7">
        <v>1110503505</v>
      </c>
      <c r="B28" s="11" t="s">
        <v>227</v>
      </c>
      <c r="C28" s="12">
        <v>30</v>
      </c>
      <c r="D28" s="10">
        <v>50.922</v>
      </c>
      <c r="E28" s="9">
        <f t="shared" si="0"/>
        <v>169.73999999999998</v>
      </c>
      <c r="F28" s="9">
        <f t="shared" si="1"/>
        <v>20.921999999999997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80</v>
      </c>
      <c r="D29" s="5">
        <f>D30</f>
        <v>34.83844</v>
      </c>
      <c r="E29" s="5">
        <f t="shared" si="0"/>
        <v>43.548049999999996</v>
      </c>
      <c r="F29" s="5">
        <f t="shared" si="1"/>
        <v>-45.16156</v>
      </c>
    </row>
    <row r="30" spans="1:6" ht="15.75" customHeight="1">
      <c r="A30" s="7">
        <v>1130206005</v>
      </c>
      <c r="B30" s="8" t="s">
        <v>15</v>
      </c>
      <c r="C30" s="9">
        <v>80</v>
      </c>
      <c r="D30" s="10">
        <v>34.83844</v>
      </c>
      <c r="E30" s="9">
        <f t="shared" si="0"/>
        <v>43.548049999999996</v>
      </c>
      <c r="F30" s="9">
        <f t="shared" si="1"/>
        <v>-45.16156</v>
      </c>
    </row>
    <row r="31" spans="1:6" ht="1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16.5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6.5" customHeight="1">
      <c r="A34" s="3">
        <v>1160000000</v>
      </c>
      <c r="B34" s="13" t="s">
        <v>254</v>
      </c>
      <c r="C34" s="9">
        <v>0</v>
      </c>
      <c r="D34" s="10">
        <f>D35</f>
        <v>293.56044</v>
      </c>
      <c r="E34" s="9" t="e">
        <f t="shared" si="0"/>
        <v>#DIV/0!</v>
      </c>
      <c r="F34" s="9">
        <f t="shared" si="1"/>
        <v>293.56044</v>
      </c>
    </row>
    <row r="35" spans="1:6" ht="16.5" customHeight="1">
      <c r="A35" s="7">
        <v>1163305010</v>
      </c>
      <c r="B35" s="8" t="s">
        <v>270</v>
      </c>
      <c r="C35" s="9">
        <v>0</v>
      </c>
      <c r="D35" s="10">
        <v>293.56044</v>
      </c>
      <c r="E35" s="9" t="e">
        <f t="shared" si="0"/>
        <v>#DIV/0!</v>
      </c>
      <c r="F35" s="9">
        <f t="shared" si="1"/>
        <v>293.56044</v>
      </c>
    </row>
    <row r="36" spans="1:6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6" ht="18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6" ht="15" customHeight="1">
      <c r="A38" s="7">
        <v>1170505005</v>
      </c>
      <c r="B38" s="11" t="s">
        <v>223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15" customHeight="1">
      <c r="A39" s="3">
        <v>1000000000</v>
      </c>
      <c r="B39" s="4" t="s">
        <v>19</v>
      </c>
      <c r="C39" s="128">
        <f>SUM(C4,C25)</f>
        <v>2381.48</v>
      </c>
      <c r="D39" s="128">
        <f>SUM(D4,D25)</f>
        <v>2679.96679</v>
      </c>
      <c r="E39" s="5">
        <f t="shared" si="0"/>
        <v>112.5336677192334</v>
      </c>
      <c r="F39" s="5">
        <f t="shared" si="1"/>
        <v>298.4867899999999</v>
      </c>
    </row>
    <row r="40" spans="1:7" s="6" customFormat="1" ht="15.75">
      <c r="A40" s="3">
        <v>2000000000</v>
      </c>
      <c r="B40" s="4" t="s">
        <v>20</v>
      </c>
      <c r="C40" s="378">
        <f>C41+C43+C44+C45+C46+C47+C48+C42</f>
        <v>6599.5524</v>
      </c>
      <c r="D40" s="316">
        <f>D41+D42+D43+D44+D48</f>
        <v>6599.4044</v>
      </c>
      <c r="E40" s="5">
        <f t="shared" si="0"/>
        <v>99.99775742367014</v>
      </c>
      <c r="F40" s="5">
        <f t="shared" si="1"/>
        <v>-0.14799999999922875</v>
      </c>
      <c r="G40" s="19"/>
    </row>
    <row r="41" spans="1:6" ht="15" customHeight="1">
      <c r="A41" s="16">
        <v>2020100000</v>
      </c>
      <c r="B41" s="17" t="s">
        <v>21</v>
      </c>
      <c r="C41" s="12">
        <v>946.23</v>
      </c>
      <c r="D41" s="20">
        <v>946.23</v>
      </c>
      <c r="E41" s="9">
        <f t="shared" si="0"/>
        <v>100</v>
      </c>
      <c r="F41" s="9">
        <f t="shared" si="1"/>
        <v>0</v>
      </c>
    </row>
    <row r="42" spans="1:6" ht="15" customHeight="1">
      <c r="A42" s="16">
        <v>2020100310</v>
      </c>
      <c r="B42" s="17" t="s">
        <v>234</v>
      </c>
      <c r="C42" s="12">
        <v>109.2</v>
      </c>
      <c r="D42" s="20">
        <v>109.2</v>
      </c>
      <c r="E42" s="9">
        <f>SUM(D42/C42*100)</f>
        <v>100</v>
      </c>
      <c r="F42" s="9">
        <f>SUM(D42-C42)</f>
        <v>0</v>
      </c>
    </row>
    <row r="43" spans="1:6" ht="15.75">
      <c r="A43" s="16">
        <v>2020200000</v>
      </c>
      <c r="B43" s="17" t="s">
        <v>22</v>
      </c>
      <c r="C43" s="12">
        <v>5146.24</v>
      </c>
      <c r="D43" s="10">
        <v>5146.222</v>
      </c>
      <c r="E43" s="9">
        <f t="shared" si="0"/>
        <v>99.9996502300709</v>
      </c>
      <c r="F43" s="9">
        <f t="shared" si="1"/>
        <v>-0.018000000000029104</v>
      </c>
    </row>
    <row r="44" spans="1:6" ht="15" customHeight="1">
      <c r="A44" s="16">
        <v>2020300000</v>
      </c>
      <c r="B44" s="17" t="s">
        <v>23</v>
      </c>
      <c r="C44" s="12">
        <v>70.2284</v>
      </c>
      <c r="D44" s="258">
        <v>70.2284</v>
      </c>
      <c r="E44" s="9">
        <f t="shared" si="0"/>
        <v>100</v>
      </c>
      <c r="F44" s="9">
        <f t="shared" si="1"/>
        <v>0</v>
      </c>
    </row>
    <row r="45" spans="1:6" ht="15.75" customHeight="1">
      <c r="A45" s="16">
        <v>2020400000</v>
      </c>
      <c r="B45" s="17" t="s">
        <v>24</v>
      </c>
      <c r="C45" s="12">
        <v>0</v>
      </c>
      <c r="D45" s="259">
        <v>0</v>
      </c>
      <c r="E45" s="9" t="e">
        <f t="shared" si="0"/>
        <v>#DIV/0!</v>
      </c>
      <c r="F45" s="9">
        <f t="shared" si="1"/>
        <v>0</v>
      </c>
    </row>
    <row r="46" spans="1:6" ht="0.75" customHeight="1" hidden="1">
      <c r="A46" s="16">
        <v>2020900000</v>
      </c>
      <c r="B46" s="18" t="s">
        <v>25</v>
      </c>
      <c r="C46" s="12"/>
      <c r="D46" s="259"/>
      <c r="E46" s="9" t="e">
        <f t="shared" si="0"/>
        <v>#DIV/0!</v>
      </c>
      <c r="F46" s="9">
        <f t="shared" si="1"/>
        <v>0</v>
      </c>
    </row>
    <row r="47" spans="1:6" ht="16.5" customHeight="1">
      <c r="A47" s="7">
        <v>2190500005</v>
      </c>
      <c r="B47" s="11" t="s">
        <v>26</v>
      </c>
      <c r="C47" s="10">
        <v>0</v>
      </c>
      <c r="D47" s="10">
        <v>0</v>
      </c>
      <c r="E47" s="5" t="e">
        <f t="shared" si="0"/>
        <v>#DIV/0!</v>
      </c>
      <c r="F47" s="5">
        <f>SUM(D47-C47)</f>
        <v>0</v>
      </c>
    </row>
    <row r="48" spans="1:6" ht="15.75" customHeight="1">
      <c r="A48" s="7">
        <v>2070502010</v>
      </c>
      <c r="B48" s="11" t="s">
        <v>307</v>
      </c>
      <c r="C48" s="10">
        <v>327.654</v>
      </c>
      <c r="D48" s="10">
        <v>327.524</v>
      </c>
      <c r="E48" s="5">
        <f>SUM(D48/C48*100)</f>
        <v>99.96032400031741</v>
      </c>
      <c r="F48" s="5">
        <f>SUM(D48-C48)</f>
        <v>-0.12999999999999545</v>
      </c>
    </row>
    <row r="49" spans="1:6" s="6" customFormat="1" ht="33.75" customHeight="1">
      <c r="A49" s="3">
        <v>3000000000</v>
      </c>
      <c r="B49" s="13" t="s">
        <v>27</v>
      </c>
      <c r="C49" s="295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3"/>
      <c r="B50" s="4" t="s">
        <v>28</v>
      </c>
      <c r="C50" s="378">
        <f>C39+C40</f>
        <v>8981.0324</v>
      </c>
      <c r="D50" s="382">
        <f>D39+D40</f>
        <v>9279.37119</v>
      </c>
      <c r="E50" s="5">
        <f t="shared" si="0"/>
        <v>103.32187633573173</v>
      </c>
      <c r="F50" s="5">
        <f t="shared" si="1"/>
        <v>298.3387899999998</v>
      </c>
      <c r="G50" s="94"/>
    </row>
    <row r="51" spans="1:6" s="6" customFormat="1" ht="15.75">
      <c r="A51" s="3"/>
      <c r="B51" s="21" t="s">
        <v>326</v>
      </c>
      <c r="C51" s="5">
        <f>C50-C96</f>
        <v>-900.3545999999988</v>
      </c>
      <c r="D51" s="5">
        <f>D50-D96</f>
        <v>-496.35769000000073</v>
      </c>
      <c r="E51" s="22"/>
      <c r="F51" s="22"/>
    </row>
    <row r="52" spans="1:6" ht="15.75">
      <c r="A52" s="23"/>
      <c r="B52" s="24"/>
      <c r="C52" s="257"/>
      <c r="D52" s="257" t="s">
        <v>345</v>
      </c>
      <c r="E52" s="26"/>
      <c r="F52" s="92"/>
    </row>
    <row r="53" spans="1:6" ht="50.25" customHeight="1">
      <c r="A53" s="28" t="s">
        <v>1</v>
      </c>
      <c r="B53" s="28" t="s">
        <v>29</v>
      </c>
      <c r="C53" s="250" t="s">
        <v>340</v>
      </c>
      <c r="D53" s="251" t="s">
        <v>353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253">
        <f>C56+C57+C58+C59+C60+C62+C61</f>
        <v>1239.87</v>
      </c>
      <c r="D55" s="32">
        <f>D56+D57+D58+D59+D60+D62+D61</f>
        <v>1232.25435</v>
      </c>
      <c r="E55" s="34">
        <f>SUM(D55/C55*100)</f>
        <v>99.38577028236831</v>
      </c>
      <c r="F55" s="34">
        <f>SUM(D55-C55)</f>
        <v>-7.61564999999996</v>
      </c>
    </row>
    <row r="56" spans="1:6" s="6" customFormat="1" ht="31.5" hidden="1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6" ht="15.75">
      <c r="A57" s="35" t="s">
        <v>34</v>
      </c>
      <c r="B57" s="39" t="s">
        <v>35</v>
      </c>
      <c r="C57" s="37">
        <v>1226.11</v>
      </c>
      <c r="D57" s="37">
        <v>1220.58961</v>
      </c>
      <c r="E57" s="34">
        <f>SUM(D57/C57*100)</f>
        <v>99.5497638874163</v>
      </c>
      <c r="F57" s="38">
        <f aca="true" t="shared" si="3" ref="F57:F96">SUM(D57-C57)</f>
        <v>-5.520389999999907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6" ht="15.75">
      <c r="A60" s="35" t="s">
        <v>40</v>
      </c>
      <c r="B60" s="39" t="s">
        <v>41</v>
      </c>
      <c r="C60" s="37">
        <v>0</v>
      </c>
      <c r="D60" s="37">
        <v>0</v>
      </c>
      <c r="E60" s="38" t="e">
        <f aca="true" t="shared" si="4" ref="E60:E96">SUM(D60/C60*100)</f>
        <v>#DIV/0!</v>
      </c>
      <c r="F60" s="38">
        <f t="shared" si="3"/>
        <v>0</v>
      </c>
    </row>
    <row r="61" spans="1:6" ht="15.75">
      <c r="A61" s="35" t="s">
        <v>42</v>
      </c>
      <c r="B61" s="39" t="s">
        <v>43</v>
      </c>
      <c r="C61" s="40">
        <v>1</v>
      </c>
      <c r="D61" s="40">
        <v>0</v>
      </c>
      <c r="E61" s="38">
        <f t="shared" si="4"/>
        <v>0</v>
      </c>
      <c r="F61" s="38">
        <f t="shared" si="3"/>
        <v>-1</v>
      </c>
    </row>
    <row r="62" spans="1:6" ht="19.5" customHeight="1">
      <c r="A62" s="35" t="s">
        <v>44</v>
      </c>
      <c r="B62" s="39" t="s">
        <v>45</v>
      </c>
      <c r="C62" s="37">
        <v>12.76</v>
      </c>
      <c r="D62" s="37">
        <v>11.66474</v>
      </c>
      <c r="E62" s="38">
        <f t="shared" si="4"/>
        <v>91.41645768025079</v>
      </c>
      <c r="F62" s="38">
        <f t="shared" si="3"/>
        <v>-1.0952599999999997</v>
      </c>
    </row>
    <row r="63" spans="1:6" s="6" customFormat="1" ht="15.75">
      <c r="A63" s="41" t="s">
        <v>46</v>
      </c>
      <c r="B63" s="42" t="s">
        <v>47</v>
      </c>
      <c r="C63" s="32">
        <f>C64</f>
        <v>69.896</v>
      </c>
      <c r="D63" s="32">
        <f>D64</f>
        <v>69.896</v>
      </c>
      <c r="E63" s="34">
        <f t="shared" si="4"/>
        <v>100</v>
      </c>
      <c r="F63" s="34">
        <f t="shared" si="3"/>
        <v>0</v>
      </c>
    </row>
    <row r="64" spans="1:6" ht="15.75">
      <c r="A64" s="43" t="s">
        <v>48</v>
      </c>
      <c r="B64" s="44" t="s">
        <v>49</v>
      </c>
      <c r="C64" s="37">
        <v>69.896</v>
      </c>
      <c r="D64" s="37">
        <v>69.896</v>
      </c>
      <c r="E64" s="38">
        <f t="shared" si="4"/>
        <v>100</v>
      </c>
      <c r="F64" s="38">
        <f t="shared" si="3"/>
        <v>0</v>
      </c>
    </row>
    <row r="65" spans="1:6" s="6" customFormat="1" ht="15.75" customHeight="1">
      <c r="A65" s="30" t="s">
        <v>50</v>
      </c>
      <c r="B65" s="31" t="s">
        <v>51</v>
      </c>
      <c r="C65" s="32">
        <f>C68+C69</f>
        <v>93.534</v>
      </c>
      <c r="D65" s="32">
        <f>D68+D69</f>
        <v>93.12547</v>
      </c>
      <c r="E65" s="34">
        <f t="shared" si="4"/>
        <v>99.56322834477302</v>
      </c>
      <c r="F65" s="34">
        <f t="shared" si="3"/>
        <v>-0.40852999999999895</v>
      </c>
    </row>
    <row r="66" spans="1:6" ht="15.75" hidden="1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6" ht="15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6" ht="15.75">
      <c r="A69" s="46" t="s">
        <v>221</v>
      </c>
      <c r="B69" s="47" t="s">
        <v>222</v>
      </c>
      <c r="C69" s="37">
        <v>93.534</v>
      </c>
      <c r="D69" s="37">
        <v>93.12547</v>
      </c>
      <c r="E69" s="34">
        <f t="shared" si="4"/>
        <v>99.56322834477302</v>
      </c>
      <c r="F69" s="34">
        <f t="shared" si="3"/>
        <v>-0.40852999999999895</v>
      </c>
    </row>
    <row r="70" spans="1:6" s="6" customFormat="1" ht="17.25" customHeight="1">
      <c r="A70" s="30" t="s">
        <v>58</v>
      </c>
      <c r="B70" s="31" t="s">
        <v>59</v>
      </c>
      <c r="C70" s="48">
        <f>SUM(C71:C74)</f>
        <v>5380.356999999999</v>
      </c>
      <c r="D70" s="48">
        <f>SUM(D71:D74)</f>
        <v>5283.3492</v>
      </c>
      <c r="E70" s="34">
        <f t="shared" si="4"/>
        <v>98.19700068229675</v>
      </c>
      <c r="F70" s="34">
        <f t="shared" si="3"/>
        <v>-97.0077999999994</v>
      </c>
    </row>
    <row r="71" spans="1:6" ht="15.75">
      <c r="A71" s="35" t="s">
        <v>60</v>
      </c>
      <c r="B71" s="39" t="s">
        <v>61</v>
      </c>
      <c r="C71" s="49">
        <v>1.25</v>
      </c>
      <c r="D71" s="37">
        <v>1.25</v>
      </c>
      <c r="E71" s="38">
        <f t="shared" si="4"/>
        <v>100</v>
      </c>
      <c r="F71" s="38">
        <f t="shared" si="3"/>
        <v>0</v>
      </c>
    </row>
    <row r="72" spans="1:7" s="6" customFormat="1" ht="15.75">
      <c r="A72" s="35" t="s">
        <v>62</v>
      </c>
      <c r="B72" s="39" t="s">
        <v>63</v>
      </c>
      <c r="C72" s="49">
        <v>212.69</v>
      </c>
      <c r="D72" s="37">
        <v>211.7002</v>
      </c>
      <c r="E72" s="38">
        <f t="shared" si="4"/>
        <v>99.53462786214679</v>
      </c>
      <c r="F72" s="38">
        <f t="shared" si="3"/>
        <v>-0.9898000000000025</v>
      </c>
      <c r="G72" s="50"/>
    </row>
    <row r="73" spans="1:6" ht="15.75">
      <c r="A73" s="35" t="s">
        <v>64</v>
      </c>
      <c r="B73" s="39" t="s">
        <v>65</v>
      </c>
      <c r="C73" s="49">
        <f>3687.59+737.003+476.115</f>
        <v>4900.708</v>
      </c>
      <c r="D73" s="37">
        <v>4804.69</v>
      </c>
      <c r="E73" s="38">
        <f t="shared" si="4"/>
        <v>98.04073207381464</v>
      </c>
      <c r="F73" s="38">
        <f t="shared" si="3"/>
        <v>-96.01800000000003</v>
      </c>
    </row>
    <row r="74" spans="1:6" ht="15.75">
      <c r="A74" s="35" t="s">
        <v>66</v>
      </c>
      <c r="B74" s="39" t="s">
        <v>67</v>
      </c>
      <c r="C74" s="49">
        <f>95.519+170.19</f>
        <v>265.709</v>
      </c>
      <c r="D74" s="37">
        <v>265.709</v>
      </c>
      <c r="E74" s="38">
        <f t="shared" si="4"/>
        <v>100</v>
      </c>
      <c r="F74" s="38">
        <f t="shared" si="3"/>
        <v>0</v>
      </c>
    </row>
    <row r="75" spans="1:6" s="6" customFormat="1" ht="14.25" customHeight="1">
      <c r="A75" s="30" t="s">
        <v>68</v>
      </c>
      <c r="B75" s="31" t="s">
        <v>69</v>
      </c>
      <c r="C75" s="32">
        <f>SUM(C76:C78)</f>
        <v>538.696</v>
      </c>
      <c r="D75" s="32">
        <f>SUM(D76:D78)</f>
        <v>538.56008</v>
      </c>
      <c r="E75" s="34">
        <f t="shared" si="4"/>
        <v>99.9747687007143</v>
      </c>
      <c r="F75" s="34">
        <f t="shared" si="3"/>
        <v>-0.13592000000005555</v>
      </c>
    </row>
    <row r="76" spans="1:6" ht="15.75" customHeight="1">
      <c r="A76" s="35" t="s">
        <v>70</v>
      </c>
      <c r="B76" s="51" t="s">
        <v>71</v>
      </c>
      <c r="C76" s="37">
        <v>2.2</v>
      </c>
      <c r="D76" s="37">
        <v>2.136</v>
      </c>
      <c r="E76" s="38">
        <f t="shared" si="4"/>
        <v>97.09090909090908</v>
      </c>
      <c r="F76" s="38">
        <f t="shared" si="3"/>
        <v>-0.06400000000000006</v>
      </c>
    </row>
    <row r="77" spans="1:6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6" ht="15.75">
      <c r="A78" s="35" t="s">
        <v>74</v>
      </c>
      <c r="B78" s="39" t="s">
        <v>75</v>
      </c>
      <c r="C78" s="37">
        <v>536.496</v>
      </c>
      <c r="D78" s="37">
        <v>536.42408</v>
      </c>
      <c r="E78" s="38">
        <f t="shared" si="4"/>
        <v>99.98659449464675</v>
      </c>
      <c r="F78" s="38">
        <f t="shared" si="3"/>
        <v>-0.07191999999997734</v>
      </c>
    </row>
    <row r="79" spans="1:6" s="6" customFormat="1" ht="15.75">
      <c r="A79" s="30" t="s">
        <v>86</v>
      </c>
      <c r="B79" s="31" t="s">
        <v>87</v>
      </c>
      <c r="C79" s="32">
        <f>C80</f>
        <v>879.981</v>
      </c>
      <c r="D79" s="32">
        <f>SUM(D80)</f>
        <v>879.907</v>
      </c>
      <c r="E79" s="34">
        <f t="shared" si="4"/>
        <v>99.99159072752708</v>
      </c>
      <c r="F79" s="34">
        <f t="shared" si="3"/>
        <v>-0.07399999999995543</v>
      </c>
    </row>
    <row r="80" spans="1:6" ht="16.5" customHeight="1">
      <c r="A80" s="35" t="s">
        <v>88</v>
      </c>
      <c r="B80" s="39" t="s">
        <v>236</v>
      </c>
      <c r="C80" s="37">
        <v>879.981</v>
      </c>
      <c r="D80" s="37">
        <v>879.907</v>
      </c>
      <c r="E80" s="38">
        <f t="shared" si="4"/>
        <v>99.99159072752708</v>
      </c>
      <c r="F80" s="38">
        <f t="shared" si="3"/>
        <v>-0.07399999999995543</v>
      </c>
    </row>
    <row r="81" spans="1:6" s="6" customFormat="1" ht="1.5" customHeight="1" hidden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6" ht="1.5" customHeight="1" hidden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6" ht="22.5" customHeight="1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6" ht="0.75" customHeight="1" hidden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6" ht="30.75" customHeight="1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6" ht="15.75">
      <c r="A86" s="30" t="s">
        <v>95</v>
      </c>
      <c r="B86" s="31" t="s">
        <v>96</v>
      </c>
      <c r="C86" s="32">
        <f>C87+C88+C89+C90+C91</f>
        <v>1679.053</v>
      </c>
      <c r="D86" s="32">
        <f>D87+D88+D89+D90+D91</f>
        <v>1678.63678</v>
      </c>
      <c r="E86" s="38">
        <f t="shared" si="4"/>
        <v>99.97521102669182</v>
      </c>
      <c r="F86" s="22">
        <f>F87+F88+F89+F90+F91</f>
        <v>-0.41622000000006665</v>
      </c>
    </row>
    <row r="87" spans="1:6" ht="15" customHeight="1">
      <c r="A87" s="35" t="s">
        <v>97</v>
      </c>
      <c r="B87" s="39" t="s">
        <v>98</v>
      </c>
      <c r="C87" s="37">
        <f>15+7.499+1656.554</f>
        <v>1679.053</v>
      </c>
      <c r="D87" s="37">
        <v>1678.63678</v>
      </c>
      <c r="E87" s="38">
        <f t="shared" si="4"/>
        <v>99.97521102669182</v>
      </c>
      <c r="F87" s="38">
        <f>SUM(D87-C87)</f>
        <v>-0.41622000000006665</v>
      </c>
    </row>
    <row r="88" spans="1:6" ht="15.75" customHeight="1" hidden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6" ht="15.75" customHeight="1" hidden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6" ht="15.75" customHeight="1" hidden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6" ht="15.75" customHeight="1" hidden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6" s="6" customFormat="1" ht="15.75" customHeight="1" hidden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6" ht="15.75" customHeight="1" hidden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6" ht="15.75" customHeight="1" hidden="1">
      <c r="A94" s="53">
        <v>1402</v>
      </c>
      <c r="B94" s="54" t="s">
        <v>117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customHeight="1" hidden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6" s="6" customFormat="1" ht="15.75" customHeight="1">
      <c r="A96" s="52"/>
      <c r="B96" s="57" t="s">
        <v>119</v>
      </c>
      <c r="C96" s="380">
        <f>C55+C63+C70+C75+C79+C81+C86+C65+C92</f>
        <v>9881.386999999999</v>
      </c>
      <c r="D96" s="317">
        <f>D55+D63+D70+D75+D79+D81+D86+D65+D92</f>
        <v>9775.72888</v>
      </c>
      <c r="E96" s="34">
        <f t="shared" si="4"/>
        <v>98.93073593818359</v>
      </c>
      <c r="F96" s="34">
        <f t="shared" si="3"/>
        <v>-105.65811999999823</v>
      </c>
    </row>
    <row r="97" spans="3:4" ht="15.75">
      <c r="C97" s="127"/>
      <c r="D97" s="102"/>
    </row>
    <row r="98" spans="1:4" s="65" customFormat="1" ht="16.5" customHeight="1">
      <c r="A98" s="63" t="s">
        <v>120</v>
      </c>
      <c r="B98" s="63"/>
      <c r="C98" s="256"/>
      <c r="D98" s="256"/>
    </row>
    <row r="99" spans="1:3" s="65" customFormat="1" ht="20.25" customHeight="1">
      <c r="A99" s="66" t="s">
        <v>121</v>
      </c>
      <c r="B99" s="66"/>
      <c r="C99" s="65" t="s">
        <v>122</v>
      </c>
    </row>
    <row r="100" ht="13.5" customHeight="1">
      <c r="C100" s="121"/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70" zoomScaleSheetLayoutView="70" zoomScalePageLayoutView="0" workbookViewId="0" topLeftCell="A10">
      <selection activeCell="D34" sqref="D34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421875" style="62" customWidth="1"/>
    <col min="4" max="4" width="15.28125" style="62" customWidth="1"/>
    <col min="5" max="5" width="10.7109375" style="62" customWidth="1"/>
    <col min="6" max="6" width="9.00390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359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1264.9700000000003</v>
      </c>
      <c r="D4" s="5">
        <f>D5+D12+D14+D17+D7</f>
        <v>1200.5418600000003</v>
      </c>
      <c r="E4" s="5">
        <f>SUM(D4/C4*100)</f>
        <v>94.9067456145205</v>
      </c>
      <c r="F4" s="5">
        <f>SUM(D4-C4)</f>
        <v>-64.42813999999998</v>
      </c>
    </row>
    <row r="5" spans="1:6" s="6" customFormat="1" ht="15.75">
      <c r="A5" s="68">
        <v>1010000000</v>
      </c>
      <c r="B5" s="67" t="s">
        <v>6</v>
      </c>
      <c r="C5" s="5">
        <f>C6</f>
        <v>97.12</v>
      </c>
      <c r="D5" s="5">
        <f>D6</f>
        <v>108.87259</v>
      </c>
      <c r="E5" s="5">
        <f aca="true" t="shared" si="0" ref="E5:E51">SUM(D5/C5*100)</f>
        <v>112.10110172981878</v>
      </c>
      <c r="F5" s="5">
        <f aca="true" t="shared" si="1" ref="F5:F51">SUM(D5-C5)</f>
        <v>11.752589999999998</v>
      </c>
    </row>
    <row r="6" spans="1:6" ht="15.75">
      <c r="A6" s="7">
        <v>1010200001</v>
      </c>
      <c r="B6" s="8" t="s">
        <v>231</v>
      </c>
      <c r="C6" s="9">
        <v>97.12</v>
      </c>
      <c r="D6" s="10">
        <v>108.87259</v>
      </c>
      <c r="E6" s="9">
        <f aca="true" t="shared" si="2" ref="E6:E11">SUM(D6/C6*100)</f>
        <v>112.10110172981878</v>
      </c>
      <c r="F6" s="9">
        <f t="shared" si="1"/>
        <v>11.752589999999998</v>
      </c>
    </row>
    <row r="7" spans="1:6" ht="31.5">
      <c r="A7" s="3">
        <v>1030000000</v>
      </c>
      <c r="B7" s="13" t="s">
        <v>285</v>
      </c>
      <c r="C7" s="5">
        <f>C8+C10+C9</f>
        <v>612.8500000000001</v>
      </c>
      <c r="D7" s="5">
        <f>D8+D10+D9+D11</f>
        <v>651.5924600000001</v>
      </c>
      <c r="E7" s="5">
        <f t="shared" si="2"/>
        <v>106.3216871991515</v>
      </c>
      <c r="F7" s="5">
        <f t="shared" si="1"/>
        <v>38.74245999999994</v>
      </c>
    </row>
    <row r="8" spans="1:6" ht="15.75">
      <c r="A8" s="7">
        <v>1030223001</v>
      </c>
      <c r="B8" s="8" t="s">
        <v>287</v>
      </c>
      <c r="C8" s="9">
        <v>199.18</v>
      </c>
      <c r="D8" s="10">
        <v>267.73893</v>
      </c>
      <c r="E8" s="9">
        <f t="shared" si="2"/>
        <v>134.4205894166081</v>
      </c>
      <c r="F8" s="9">
        <f t="shared" si="1"/>
        <v>68.55892999999998</v>
      </c>
    </row>
    <row r="9" spans="1:6" ht="15.75">
      <c r="A9" s="7">
        <v>1030224001</v>
      </c>
      <c r="B9" s="8" t="s">
        <v>293</v>
      </c>
      <c r="C9" s="9">
        <v>2.45</v>
      </c>
      <c r="D9" s="10">
        <v>2.71801</v>
      </c>
      <c r="E9" s="9">
        <f t="shared" si="2"/>
        <v>110.93918367346937</v>
      </c>
      <c r="F9" s="9">
        <f t="shared" si="1"/>
        <v>0.26800999999999986</v>
      </c>
    </row>
    <row r="10" spans="1:6" ht="15.75">
      <c r="A10" s="7">
        <v>1030225001</v>
      </c>
      <c r="B10" s="8" t="s">
        <v>286</v>
      </c>
      <c r="C10" s="9">
        <v>411.22</v>
      </c>
      <c r="D10" s="10">
        <v>432.99022</v>
      </c>
      <c r="E10" s="9">
        <f t="shared" si="2"/>
        <v>105.29405670930403</v>
      </c>
      <c r="F10" s="9">
        <f t="shared" si="1"/>
        <v>21.770219999999995</v>
      </c>
    </row>
    <row r="11" spans="1:6" ht="15.75">
      <c r="A11" s="7">
        <v>1030226001</v>
      </c>
      <c r="B11" s="8" t="s">
        <v>295</v>
      </c>
      <c r="C11" s="9">
        <v>0</v>
      </c>
      <c r="D11" s="10">
        <v>-51.8547</v>
      </c>
      <c r="E11" s="9" t="e">
        <f t="shared" si="2"/>
        <v>#DIV/0!</v>
      </c>
      <c r="F11" s="9">
        <f t="shared" si="1"/>
        <v>-51.8547</v>
      </c>
    </row>
    <row r="12" spans="1:6" s="6" customFormat="1" ht="15.75">
      <c r="A12" s="68">
        <v>1050000000</v>
      </c>
      <c r="B12" s="67" t="s">
        <v>7</v>
      </c>
      <c r="C12" s="5">
        <f>SUM(C13:C13)</f>
        <v>30</v>
      </c>
      <c r="D12" s="5">
        <f>SUM(D13:D13)</f>
        <v>12.0273</v>
      </c>
      <c r="E12" s="5">
        <f t="shared" si="0"/>
        <v>40.091</v>
      </c>
      <c r="F12" s="5">
        <f t="shared" si="1"/>
        <v>-17.9727</v>
      </c>
    </row>
    <row r="13" spans="1:6" ht="15.75" customHeight="1">
      <c r="A13" s="7">
        <v>1050300000</v>
      </c>
      <c r="B13" s="11" t="s">
        <v>232</v>
      </c>
      <c r="C13" s="12">
        <v>30</v>
      </c>
      <c r="D13" s="10">
        <v>12.0273</v>
      </c>
      <c r="E13" s="9">
        <f t="shared" si="0"/>
        <v>40.091</v>
      </c>
      <c r="F13" s="9">
        <f t="shared" si="1"/>
        <v>-17.9727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515</v>
      </c>
      <c r="D14" s="5">
        <f>D15+D16</f>
        <v>422.32451000000003</v>
      </c>
      <c r="E14" s="5">
        <f t="shared" si="0"/>
        <v>82.00475922330098</v>
      </c>
      <c r="F14" s="5">
        <f t="shared" si="1"/>
        <v>-92.67548999999997</v>
      </c>
    </row>
    <row r="15" spans="1:6" s="6" customFormat="1" ht="15.75" customHeight="1">
      <c r="A15" s="7">
        <v>1060100000</v>
      </c>
      <c r="B15" s="11" t="s">
        <v>9</v>
      </c>
      <c r="C15" s="9">
        <v>95</v>
      </c>
      <c r="D15" s="10">
        <v>94.22788</v>
      </c>
      <c r="E15" s="9">
        <f t="shared" si="0"/>
        <v>99.18724210526315</v>
      </c>
      <c r="F15" s="9">
        <f>SUM(D15-C15)</f>
        <v>-0.772120000000001</v>
      </c>
    </row>
    <row r="16" spans="1:6" ht="15.75" customHeight="1">
      <c r="A16" s="7">
        <v>1060600000</v>
      </c>
      <c r="B16" s="11" t="s">
        <v>8</v>
      </c>
      <c r="C16" s="9">
        <v>420</v>
      </c>
      <c r="D16" s="10">
        <v>328.09663</v>
      </c>
      <c r="E16" s="9">
        <f t="shared" si="0"/>
        <v>78.11824523809524</v>
      </c>
      <c r="F16" s="9">
        <f t="shared" si="1"/>
        <v>-91.90337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5.725</v>
      </c>
      <c r="E17" s="5">
        <f t="shared" si="0"/>
        <v>57.25</v>
      </c>
      <c r="F17" s="5">
        <f t="shared" si="1"/>
        <v>-4.275</v>
      </c>
    </row>
    <row r="18" spans="1:6" ht="27" customHeight="1">
      <c r="A18" s="7">
        <v>1080400001</v>
      </c>
      <c r="B18" s="8" t="s">
        <v>274</v>
      </c>
      <c r="C18" s="9">
        <v>10</v>
      </c>
      <c r="D18" s="10">
        <v>5.725</v>
      </c>
      <c r="E18" s="9">
        <f t="shared" si="0"/>
        <v>57.25</v>
      </c>
      <c r="F18" s="9">
        <f t="shared" si="1"/>
        <v>-4.275</v>
      </c>
    </row>
    <row r="19" spans="1:6" ht="50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customHeight="1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585.904</v>
      </c>
      <c r="D25" s="5">
        <f>D26+D29+D31+D34</f>
        <v>797.4410399999999</v>
      </c>
      <c r="E25" s="5">
        <f t="shared" si="0"/>
        <v>136.10438570141184</v>
      </c>
      <c r="F25" s="5">
        <f t="shared" si="1"/>
        <v>211.53703999999993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60</v>
      </c>
      <c r="D26" s="5">
        <f>D27+D28</f>
        <v>78.24065</v>
      </c>
      <c r="E26" s="5">
        <f t="shared" si="0"/>
        <v>130.40108333333333</v>
      </c>
      <c r="F26" s="5">
        <f t="shared" si="1"/>
        <v>18.240650000000002</v>
      </c>
    </row>
    <row r="27" spans="1:6" ht="15.75">
      <c r="A27" s="16">
        <v>1110502501</v>
      </c>
      <c r="B27" s="17" t="s">
        <v>228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>
      <c r="A28" s="7">
        <v>1110503505</v>
      </c>
      <c r="B28" s="11" t="s">
        <v>227</v>
      </c>
      <c r="C28" s="12">
        <v>60</v>
      </c>
      <c r="D28" s="10">
        <v>78.24065</v>
      </c>
      <c r="E28" s="9">
        <f t="shared" si="0"/>
        <v>130.40108333333333</v>
      </c>
      <c r="F28" s="9">
        <f t="shared" si="1"/>
        <v>18.240650000000002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211.904</v>
      </c>
      <c r="D29" s="5">
        <f>D30</f>
        <v>263.26029</v>
      </c>
      <c r="E29" s="5">
        <f t="shared" si="0"/>
        <v>124.23563972364843</v>
      </c>
      <c r="F29" s="5">
        <f t="shared" si="1"/>
        <v>51.35629</v>
      </c>
    </row>
    <row r="30" spans="1:6" ht="29.25" customHeight="1">
      <c r="A30" s="7">
        <v>1130206005</v>
      </c>
      <c r="B30" s="8" t="s">
        <v>15</v>
      </c>
      <c r="C30" s="9">
        <v>211.904</v>
      </c>
      <c r="D30" s="10">
        <v>263.26029</v>
      </c>
      <c r="E30" s="9">
        <f t="shared" si="0"/>
        <v>124.23563972364843</v>
      </c>
      <c r="F30" s="9">
        <f t="shared" si="1"/>
        <v>51.35629</v>
      </c>
    </row>
    <row r="31" spans="1:6" ht="20.25" customHeight="1">
      <c r="A31" s="70">
        <v>1140000000</v>
      </c>
      <c r="B31" s="71" t="s">
        <v>132</v>
      </c>
      <c r="C31" s="5">
        <f>C32+C33</f>
        <v>314</v>
      </c>
      <c r="D31" s="5">
        <f>D32+D33</f>
        <v>455.7</v>
      </c>
      <c r="E31" s="5">
        <f t="shared" si="0"/>
        <v>145.12738853503186</v>
      </c>
      <c r="F31" s="5">
        <f t="shared" si="1"/>
        <v>141.7</v>
      </c>
    </row>
    <row r="32" spans="1:6" ht="18" customHeight="1">
      <c r="A32" s="16">
        <v>1140200000</v>
      </c>
      <c r="B32" s="18" t="s">
        <v>133</v>
      </c>
      <c r="C32" s="9">
        <v>314</v>
      </c>
      <c r="D32" s="10">
        <v>314.5</v>
      </c>
      <c r="E32" s="9">
        <f t="shared" si="0"/>
        <v>100.15923566878982</v>
      </c>
      <c r="F32" s="9">
        <f t="shared" si="1"/>
        <v>0.5</v>
      </c>
    </row>
    <row r="33" spans="1:6" ht="17.25" customHeight="1">
      <c r="A33" s="7">
        <v>1140600000</v>
      </c>
      <c r="B33" s="8" t="s">
        <v>225</v>
      </c>
      <c r="C33" s="9">
        <v>0</v>
      </c>
      <c r="D33" s="10">
        <v>141.2</v>
      </c>
      <c r="E33" s="9" t="e">
        <f t="shared" si="0"/>
        <v>#DIV/0!</v>
      </c>
      <c r="F33" s="9">
        <f t="shared" si="1"/>
        <v>141.2</v>
      </c>
    </row>
    <row r="34" spans="1:6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0.2401</v>
      </c>
      <c r="E34" s="5" t="e">
        <f t="shared" si="0"/>
        <v>#DIV/0!</v>
      </c>
      <c r="F34" s="5">
        <f t="shared" si="1"/>
        <v>0.2401</v>
      </c>
    </row>
    <row r="35" spans="1:6" ht="16.5" customHeight="1">
      <c r="A35" s="7">
        <v>1170105005</v>
      </c>
      <c r="B35" s="8" t="s">
        <v>18</v>
      </c>
      <c r="C35" s="9">
        <v>0</v>
      </c>
      <c r="D35" s="9">
        <v>0.2401</v>
      </c>
      <c r="E35" s="9" t="e">
        <f t="shared" si="0"/>
        <v>#DIV/0!</v>
      </c>
      <c r="F35" s="9">
        <f t="shared" si="1"/>
        <v>0.2401</v>
      </c>
    </row>
    <row r="36" spans="1:6" ht="17.25" customHeight="1">
      <c r="A36" s="7">
        <v>1170505005</v>
      </c>
      <c r="B36" s="11" t="s">
        <v>223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5" customHeight="1">
      <c r="A37" s="3">
        <v>1000000000</v>
      </c>
      <c r="B37" s="4" t="s">
        <v>19</v>
      </c>
      <c r="C37" s="128">
        <f>SUM(C4,C25)</f>
        <v>1850.8740000000003</v>
      </c>
      <c r="D37" s="128">
        <f>D4+D25</f>
        <v>1997.9829000000002</v>
      </c>
      <c r="E37" s="5">
        <f t="shared" si="0"/>
        <v>107.94807750284461</v>
      </c>
      <c r="F37" s="5">
        <f t="shared" si="1"/>
        <v>147.10889999999995</v>
      </c>
    </row>
    <row r="38" spans="1:7" s="6" customFormat="1" ht="15.75">
      <c r="A38" s="3">
        <v>2000000000</v>
      </c>
      <c r="B38" s="4" t="s">
        <v>20</v>
      </c>
      <c r="C38" s="5">
        <f>C39+C41+C42+C43+C50</f>
        <v>3248.6651699999998</v>
      </c>
      <c r="D38" s="5">
        <f>D39+D41+D42+D43+D50</f>
        <v>3248.6651699999998</v>
      </c>
      <c r="E38" s="5">
        <f t="shared" si="0"/>
        <v>100</v>
      </c>
      <c r="F38" s="5">
        <f t="shared" si="1"/>
        <v>0</v>
      </c>
      <c r="G38" s="19"/>
    </row>
    <row r="39" spans="1:6" ht="15.75">
      <c r="A39" s="16">
        <v>2020100000</v>
      </c>
      <c r="B39" s="17" t="s">
        <v>21</v>
      </c>
      <c r="C39" s="12">
        <v>2434.37</v>
      </c>
      <c r="D39" s="20">
        <v>2434.37</v>
      </c>
      <c r="E39" s="9">
        <v>0</v>
      </c>
      <c r="F39" s="9">
        <f t="shared" si="1"/>
        <v>0</v>
      </c>
    </row>
    <row r="40" spans="1:6" ht="14.25" customHeight="1" hidden="1">
      <c r="A40" s="16">
        <v>2020100310</v>
      </c>
      <c r="B40" s="17" t="s">
        <v>234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6" ht="14.25" customHeight="1">
      <c r="A41" s="16">
        <v>2020100000</v>
      </c>
      <c r="B41" s="17" t="s">
        <v>234</v>
      </c>
      <c r="C41" s="12">
        <v>260.7635</v>
      </c>
      <c r="D41" s="20">
        <v>260.7635</v>
      </c>
      <c r="E41" s="9">
        <f t="shared" si="0"/>
        <v>100</v>
      </c>
      <c r="F41" s="9">
        <f t="shared" si="1"/>
        <v>0</v>
      </c>
    </row>
    <row r="42" spans="1:6" ht="15.75">
      <c r="A42" s="16">
        <v>2020200000</v>
      </c>
      <c r="B42" s="17" t="s">
        <v>22</v>
      </c>
      <c r="C42" s="12">
        <v>409.21</v>
      </c>
      <c r="D42" s="10">
        <v>409.21</v>
      </c>
      <c r="E42" s="9">
        <f t="shared" si="0"/>
        <v>100</v>
      </c>
      <c r="F42" s="9">
        <f t="shared" si="1"/>
        <v>0</v>
      </c>
    </row>
    <row r="43" spans="1:6" ht="17.25" customHeight="1">
      <c r="A43" s="16">
        <v>2020300000</v>
      </c>
      <c r="B43" s="17" t="s">
        <v>23</v>
      </c>
      <c r="C43" s="12">
        <v>144.32167</v>
      </c>
      <c r="D43" s="258">
        <v>144.32167</v>
      </c>
      <c r="E43" s="9">
        <f t="shared" si="0"/>
        <v>100</v>
      </c>
      <c r="F43" s="9">
        <f t="shared" si="1"/>
        <v>0</v>
      </c>
    </row>
    <row r="44" spans="1:6" ht="18" customHeight="1" hidden="1">
      <c r="A44" s="16">
        <v>2020400000</v>
      </c>
      <c r="B44" s="17" t="s">
        <v>24</v>
      </c>
      <c r="C44" s="12"/>
      <c r="D44" s="259"/>
      <c r="E44" s="9" t="e">
        <f t="shared" si="0"/>
        <v>#DIV/0!</v>
      </c>
      <c r="F44" s="9">
        <f t="shared" si="1"/>
        <v>0</v>
      </c>
    </row>
    <row r="45" spans="1:6" ht="14.25" customHeight="1" hidden="1">
      <c r="A45" s="16">
        <v>2020900000</v>
      </c>
      <c r="B45" s="18" t="s">
        <v>25</v>
      </c>
      <c r="C45" s="12"/>
      <c r="D45" s="259"/>
      <c r="E45" s="9" t="e">
        <f t="shared" si="0"/>
        <v>#DIV/0!</v>
      </c>
      <c r="F45" s="9">
        <f t="shared" si="1"/>
        <v>0</v>
      </c>
    </row>
    <row r="46" spans="1:6" ht="16.5" customHeight="1" hidden="1">
      <c r="A46" s="125">
        <v>2180000000</v>
      </c>
      <c r="B46" s="126" t="s">
        <v>306</v>
      </c>
      <c r="C46" s="295">
        <f>C47</f>
        <v>0</v>
      </c>
      <c r="D46" s="260">
        <f>D47</f>
        <v>0</v>
      </c>
      <c r="E46" s="9" t="e">
        <f t="shared" si="0"/>
        <v>#DIV/0!</v>
      </c>
      <c r="F46" s="9">
        <f t="shared" si="1"/>
        <v>0</v>
      </c>
    </row>
    <row r="47" spans="1:6" ht="18" customHeight="1" hidden="1">
      <c r="A47" s="16">
        <v>2180501010</v>
      </c>
      <c r="B47" s="18" t="s">
        <v>305</v>
      </c>
      <c r="C47" s="12">
        <v>0</v>
      </c>
      <c r="D47" s="259">
        <v>0</v>
      </c>
      <c r="E47" s="9" t="e">
        <f t="shared" si="0"/>
        <v>#DIV/0!</v>
      </c>
      <c r="F47" s="9">
        <f t="shared" si="1"/>
        <v>0</v>
      </c>
    </row>
    <row r="48" spans="1:6" ht="17.25" customHeight="1" hidden="1">
      <c r="A48" s="7">
        <v>2190500005</v>
      </c>
      <c r="B48" s="11" t="s">
        <v>26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6" s="6" customFormat="1" ht="15.75" customHeight="1" hidden="1">
      <c r="A49" s="3">
        <v>3000000000</v>
      </c>
      <c r="B49" s="13" t="s">
        <v>27</v>
      </c>
      <c r="C49" s="123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6" s="6" customFormat="1" ht="23.25" customHeight="1">
      <c r="A50" s="7">
        <v>2020400000</v>
      </c>
      <c r="B50" s="8" t="s">
        <v>24</v>
      </c>
      <c r="C50" s="245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7" s="6" customFormat="1" ht="18" customHeight="1">
      <c r="A51" s="3"/>
      <c r="B51" s="4" t="s">
        <v>28</v>
      </c>
      <c r="C51" s="316">
        <f>C37+C38</f>
        <v>5099.53917</v>
      </c>
      <c r="D51" s="316">
        <f>D37+D38</f>
        <v>5246.64807</v>
      </c>
      <c r="E51" s="5">
        <f t="shared" si="0"/>
        <v>102.8847488978107</v>
      </c>
      <c r="F51" s="5">
        <f t="shared" si="1"/>
        <v>147.10890000000018</v>
      </c>
      <c r="G51" s="94"/>
    </row>
    <row r="52" spans="1:6" s="6" customFormat="1" ht="15.75">
      <c r="A52" s="3"/>
      <c r="B52" s="21" t="s">
        <v>326</v>
      </c>
      <c r="C52" s="5">
        <f>C51-C97</f>
        <v>-164.1800000000003</v>
      </c>
      <c r="D52" s="5">
        <f>D51-D97</f>
        <v>35.528769999999895</v>
      </c>
      <c r="E52" s="22"/>
      <c r="F52" s="22"/>
    </row>
    <row r="53" spans="1:6" ht="15.75">
      <c r="A53" s="23"/>
      <c r="B53" s="24"/>
      <c r="C53" s="116"/>
      <c r="D53" s="25"/>
      <c r="E53" s="26"/>
      <c r="F53" s="27"/>
    </row>
    <row r="54" spans="1:6" ht="63">
      <c r="A54" s="28" t="s">
        <v>1</v>
      </c>
      <c r="B54" s="28" t="s">
        <v>29</v>
      </c>
      <c r="C54" s="72" t="s">
        <v>340</v>
      </c>
      <c r="D54" s="73" t="s">
        <v>360</v>
      </c>
      <c r="E54" s="72" t="s">
        <v>3</v>
      </c>
      <c r="F54" s="74" t="s">
        <v>4</v>
      </c>
    </row>
    <row r="55" spans="1:6" ht="15.75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" customHeight="1">
      <c r="A56" s="30" t="s">
        <v>30</v>
      </c>
      <c r="B56" s="31" t="s">
        <v>31</v>
      </c>
      <c r="C56" s="253">
        <f>C57+C58+C59+C60+C61+C63+C62</f>
        <v>1102.587</v>
      </c>
      <c r="D56" s="33">
        <f>D57+D58+D59+D60+D61+D63+D62</f>
        <v>1093.77147</v>
      </c>
      <c r="E56" s="34">
        <f>SUM(D56/C56*100)</f>
        <v>99.20046853445578</v>
      </c>
      <c r="F56" s="34">
        <f>SUM(D56-C56)</f>
        <v>-8.81553000000008</v>
      </c>
    </row>
    <row r="57" spans="1:6" s="6" customFormat="1" ht="15" customHeight="1" hidden="1">
      <c r="A57" s="35" t="s">
        <v>32</v>
      </c>
      <c r="B57" s="36" t="s">
        <v>33</v>
      </c>
      <c r="C57" s="383"/>
      <c r="D57" s="37"/>
      <c r="E57" s="38"/>
      <c r="F57" s="38"/>
    </row>
    <row r="58" spans="1:6" ht="15" customHeight="1">
      <c r="A58" s="35" t="s">
        <v>34</v>
      </c>
      <c r="B58" s="39" t="s">
        <v>35</v>
      </c>
      <c r="C58" s="383">
        <v>1093.33</v>
      </c>
      <c r="D58" s="37">
        <v>1089.51497</v>
      </c>
      <c r="E58" s="38">
        <f aca="true" t="shared" si="3" ref="E58:E97">SUM(D58/C58*100)</f>
        <v>99.65106326543679</v>
      </c>
      <c r="F58" s="38">
        <f aca="true" t="shared" si="4" ref="F58:F97">SUM(D58-C58)</f>
        <v>-3.815029999999979</v>
      </c>
    </row>
    <row r="59" spans="1:6" ht="15" customHeight="1" hidden="1">
      <c r="A59" s="35" t="s">
        <v>36</v>
      </c>
      <c r="B59" s="39" t="s">
        <v>37</v>
      </c>
      <c r="C59" s="383"/>
      <c r="D59" s="37"/>
      <c r="E59" s="38"/>
      <c r="F59" s="38">
        <f t="shared" si="4"/>
        <v>0</v>
      </c>
    </row>
    <row r="60" spans="1:6" ht="15" customHeight="1" hidden="1">
      <c r="A60" s="35" t="s">
        <v>38</v>
      </c>
      <c r="B60" s="39" t="s">
        <v>39</v>
      </c>
      <c r="C60" s="383"/>
      <c r="D60" s="37"/>
      <c r="E60" s="38" t="e">
        <f t="shared" si="3"/>
        <v>#DIV/0!</v>
      </c>
      <c r="F60" s="38">
        <f t="shared" si="4"/>
        <v>0</v>
      </c>
    </row>
    <row r="61" spans="1:6" ht="14.25" customHeight="1">
      <c r="A61" s="35" t="s">
        <v>40</v>
      </c>
      <c r="B61" s="39" t="s">
        <v>41</v>
      </c>
      <c r="C61" s="383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6.5" customHeight="1">
      <c r="A62" s="35" t="s">
        <v>42</v>
      </c>
      <c r="B62" s="39" t="s">
        <v>43</v>
      </c>
      <c r="C62" s="384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8" customHeight="1">
      <c r="A63" s="35" t="s">
        <v>44</v>
      </c>
      <c r="B63" s="39" t="s">
        <v>45</v>
      </c>
      <c r="C63" s="383">
        <v>4.257</v>
      </c>
      <c r="D63" s="37">
        <v>4.2565</v>
      </c>
      <c r="E63" s="38">
        <f t="shared" si="3"/>
        <v>99.98825463941743</v>
      </c>
      <c r="F63" s="38">
        <f t="shared" si="4"/>
        <v>-0.0004999999999997229</v>
      </c>
    </row>
    <row r="64" spans="1:6" s="6" customFormat="1" ht="15" customHeight="1">
      <c r="A64" s="41" t="s">
        <v>46</v>
      </c>
      <c r="B64" s="42" t="s">
        <v>47</v>
      </c>
      <c r="C64" s="253">
        <f>C65</f>
        <v>143.01797</v>
      </c>
      <c r="D64" s="32">
        <f>D65</f>
        <v>143.01797</v>
      </c>
      <c r="E64" s="34">
        <f t="shared" si="3"/>
        <v>100</v>
      </c>
      <c r="F64" s="34">
        <f t="shared" si="4"/>
        <v>0</v>
      </c>
    </row>
    <row r="65" spans="1:6" ht="15.75">
      <c r="A65" s="43" t="s">
        <v>48</v>
      </c>
      <c r="B65" s="44" t="s">
        <v>49</v>
      </c>
      <c r="C65" s="383">
        <v>143.01797</v>
      </c>
      <c r="D65" s="37">
        <v>143.01797</v>
      </c>
      <c r="E65" s="38">
        <f t="shared" si="3"/>
        <v>100</v>
      </c>
      <c r="F65" s="38">
        <f t="shared" si="4"/>
        <v>0</v>
      </c>
    </row>
    <row r="66" spans="1:6" s="6" customFormat="1" ht="15.75">
      <c r="A66" s="30" t="s">
        <v>50</v>
      </c>
      <c r="B66" s="31" t="s">
        <v>51</v>
      </c>
      <c r="C66" s="253">
        <v>0.3037</v>
      </c>
      <c r="D66" s="32">
        <f>SUM(D67:D70)</f>
        <v>0</v>
      </c>
      <c r="E66" s="34">
        <f t="shared" si="3"/>
        <v>0</v>
      </c>
      <c r="F66" s="34">
        <f t="shared" si="4"/>
        <v>-0.3037</v>
      </c>
    </row>
    <row r="67" spans="1:6" ht="15.75" hidden="1">
      <c r="A67" s="35" t="s">
        <v>52</v>
      </c>
      <c r="B67" s="39" t="s">
        <v>53</v>
      </c>
      <c r="C67" s="383"/>
      <c r="D67" s="37"/>
      <c r="E67" s="34" t="e">
        <f t="shared" si="3"/>
        <v>#DIV/0!</v>
      </c>
      <c r="F67" s="34">
        <f t="shared" si="4"/>
        <v>0</v>
      </c>
    </row>
    <row r="68" spans="1:6" ht="15.75" hidden="1">
      <c r="A68" s="45" t="s">
        <v>54</v>
      </c>
      <c r="B68" s="39" t="s">
        <v>55</v>
      </c>
      <c r="C68" s="383"/>
      <c r="D68" s="37"/>
      <c r="E68" s="34" t="e">
        <f t="shared" si="3"/>
        <v>#DIV/0!</v>
      </c>
      <c r="F68" s="34">
        <f t="shared" si="4"/>
        <v>0</v>
      </c>
    </row>
    <row r="69" spans="1:6" ht="15.75" customHeight="1">
      <c r="A69" s="46" t="s">
        <v>56</v>
      </c>
      <c r="B69" s="47" t="s">
        <v>57</v>
      </c>
      <c r="C69" s="385">
        <v>0</v>
      </c>
      <c r="D69" s="37">
        <v>0</v>
      </c>
      <c r="E69" s="34" t="e">
        <f t="shared" si="3"/>
        <v>#DIV/0!</v>
      </c>
      <c r="F69" s="34">
        <f t="shared" si="4"/>
        <v>0</v>
      </c>
    </row>
    <row r="70" spans="1:6" ht="15.75" customHeight="1">
      <c r="A70" s="46" t="s">
        <v>221</v>
      </c>
      <c r="B70" s="47" t="s">
        <v>222</v>
      </c>
      <c r="C70" s="383">
        <v>0.3037</v>
      </c>
      <c r="D70" s="37">
        <v>0</v>
      </c>
      <c r="E70" s="34">
        <f t="shared" si="3"/>
        <v>0</v>
      </c>
      <c r="F70" s="34">
        <f t="shared" si="4"/>
        <v>-0.3037</v>
      </c>
    </row>
    <row r="71" spans="1:6" s="6" customFormat="1" ht="15" customHeight="1">
      <c r="A71" s="30" t="s">
        <v>58</v>
      </c>
      <c r="B71" s="31" t="s">
        <v>59</v>
      </c>
      <c r="C71" s="386">
        <f>SUM(C72:C75)</f>
        <v>1889.6865000000003</v>
      </c>
      <c r="D71" s="48">
        <f>SUM(D72:D75)</f>
        <v>1880.328</v>
      </c>
      <c r="E71" s="34">
        <f t="shared" si="3"/>
        <v>99.50475912274335</v>
      </c>
      <c r="F71" s="34">
        <f t="shared" si="4"/>
        <v>-9.358500000000276</v>
      </c>
    </row>
    <row r="72" spans="1:6" ht="17.25" customHeight="1">
      <c r="A72" s="35" t="s">
        <v>60</v>
      </c>
      <c r="B72" s="39" t="s">
        <v>61</v>
      </c>
      <c r="C72" s="387">
        <f>1.3037+3.6963</f>
        <v>5</v>
      </c>
      <c r="D72" s="37">
        <v>5</v>
      </c>
      <c r="E72" s="38">
        <f t="shared" si="3"/>
        <v>100</v>
      </c>
      <c r="F72" s="38">
        <f t="shared" si="4"/>
        <v>0</v>
      </c>
    </row>
    <row r="73" spans="1:7" s="6" customFormat="1" ht="14.25" customHeight="1">
      <c r="A73" s="35" t="s">
        <v>62</v>
      </c>
      <c r="B73" s="39" t="s">
        <v>63</v>
      </c>
      <c r="C73" s="387">
        <v>473.5985</v>
      </c>
      <c r="D73" s="37">
        <v>469.81095</v>
      </c>
      <c r="E73" s="38">
        <f t="shared" si="3"/>
        <v>99.20026140285495</v>
      </c>
      <c r="F73" s="38">
        <f t="shared" si="4"/>
        <v>-3.78755000000001</v>
      </c>
      <c r="G73" s="50"/>
    </row>
    <row r="74" spans="1:6" ht="15.75">
      <c r="A74" s="35" t="s">
        <v>64</v>
      </c>
      <c r="B74" s="39" t="s">
        <v>65</v>
      </c>
      <c r="C74" s="387">
        <v>1099.14</v>
      </c>
      <c r="D74" s="37">
        <v>1099.05205</v>
      </c>
      <c r="E74" s="38">
        <f t="shared" si="3"/>
        <v>99.99199828957184</v>
      </c>
      <c r="F74" s="38">
        <f t="shared" si="4"/>
        <v>-0.08795000000009168</v>
      </c>
    </row>
    <row r="75" spans="1:6" ht="15.75">
      <c r="A75" s="35" t="s">
        <v>66</v>
      </c>
      <c r="B75" s="39" t="s">
        <v>67</v>
      </c>
      <c r="C75" s="387">
        <v>311.948</v>
      </c>
      <c r="D75" s="37">
        <v>306.465</v>
      </c>
      <c r="E75" s="38">
        <f t="shared" si="3"/>
        <v>98.24233526100504</v>
      </c>
      <c r="F75" s="38">
        <f t="shared" si="4"/>
        <v>-5.483000000000004</v>
      </c>
    </row>
    <row r="76" spans="1:6" s="6" customFormat="1" ht="15.75">
      <c r="A76" s="30" t="s">
        <v>68</v>
      </c>
      <c r="B76" s="31" t="s">
        <v>69</v>
      </c>
      <c r="C76" s="253">
        <f>SUM(C77:C79)</f>
        <v>474.46999999999997</v>
      </c>
      <c r="D76" s="32">
        <f>SUM(D77:D79)</f>
        <v>474.46786</v>
      </c>
      <c r="E76" s="34">
        <f t="shared" si="3"/>
        <v>99.99954897043017</v>
      </c>
      <c r="F76" s="34">
        <f t="shared" si="4"/>
        <v>-0.002139999999997144</v>
      </c>
    </row>
    <row r="77" spans="1:6" ht="15.75" hidden="1">
      <c r="A77" s="35" t="s">
        <v>70</v>
      </c>
      <c r="B77" s="51" t="s">
        <v>71</v>
      </c>
      <c r="C77" s="383"/>
      <c r="D77" s="37"/>
      <c r="E77" s="38" t="e">
        <f t="shared" si="3"/>
        <v>#DIV/0!</v>
      </c>
      <c r="F77" s="38">
        <f t="shared" si="4"/>
        <v>0</v>
      </c>
    </row>
    <row r="78" spans="1:6" ht="15.75" hidden="1">
      <c r="A78" s="35" t="s">
        <v>72</v>
      </c>
      <c r="B78" s="51" t="s">
        <v>73</v>
      </c>
      <c r="C78" s="383"/>
      <c r="D78" s="37"/>
      <c r="E78" s="38" t="e">
        <f t="shared" si="3"/>
        <v>#DIV/0!</v>
      </c>
      <c r="F78" s="38">
        <f t="shared" si="4"/>
        <v>0</v>
      </c>
    </row>
    <row r="79" spans="1:6" ht="15.75">
      <c r="A79" s="35" t="s">
        <v>74</v>
      </c>
      <c r="B79" s="39" t="s">
        <v>75</v>
      </c>
      <c r="C79" s="383">
        <f>176.28+269.068+29.122</f>
        <v>474.46999999999997</v>
      </c>
      <c r="D79" s="37">
        <v>474.46786</v>
      </c>
      <c r="E79" s="38">
        <f t="shared" si="3"/>
        <v>99.99954897043017</v>
      </c>
      <c r="F79" s="38">
        <f t="shared" si="4"/>
        <v>-0.002139999999997144</v>
      </c>
    </row>
    <row r="80" spans="1:6" s="6" customFormat="1" ht="15.75">
      <c r="A80" s="30" t="s">
        <v>86</v>
      </c>
      <c r="B80" s="31" t="s">
        <v>87</v>
      </c>
      <c r="C80" s="253">
        <f>C81</f>
        <v>1648.6</v>
      </c>
      <c r="D80" s="32">
        <f>SUM(D81)</f>
        <v>1614.48</v>
      </c>
      <c r="E80" s="34">
        <f t="shared" si="3"/>
        <v>97.93036515831616</v>
      </c>
      <c r="F80" s="34">
        <f t="shared" si="4"/>
        <v>-34.11999999999989</v>
      </c>
    </row>
    <row r="81" spans="1:6" ht="18" customHeight="1">
      <c r="A81" s="35" t="s">
        <v>88</v>
      </c>
      <c r="B81" s="39" t="s">
        <v>236</v>
      </c>
      <c r="C81" s="383">
        <v>1648.6</v>
      </c>
      <c r="D81" s="37">
        <v>1614.48</v>
      </c>
      <c r="E81" s="38">
        <f t="shared" si="3"/>
        <v>97.93036515831616</v>
      </c>
      <c r="F81" s="38">
        <f t="shared" si="4"/>
        <v>-34.11999999999989</v>
      </c>
    </row>
    <row r="82" spans="1:6" s="6" customFormat="1" ht="15.75" customHeight="1" hidden="1">
      <c r="A82" s="52">
        <v>1000</v>
      </c>
      <c r="B82" s="31" t="s">
        <v>89</v>
      </c>
      <c r="C82" s="253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5.75" customHeight="1" hidden="1">
      <c r="A83" s="53">
        <v>1001</v>
      </c>
      <c r="B83" s="54" t="s">
        <v>90</v>
      </c>
      <c r="C83" s="383"/>
      <c r="D83" s="37"/>
      <c r="E83" s="38" t="e">
        <f t="shared" si="3"/>
        <v>#DIV/0!</v>
      </c>
      <c r="F83" s="38">
        <f t="shared" si="4"/>
        <v>0</v>
      </c>
    </row>
    <row r="84" spans="1:6" ht="15.75" customHeight="1" hidden="1">
      <c r="A84" s="53">
        <v>1003</v>
      </c>
      <c r="B84" s="54" t="s">
        <v>91</v>
      </c>
      <c r="C84" s="385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5.75" customHeight="1" hidden="1">
      <c r="A85" s="53">
        <v>1004</v>
      </c>
      <c r="B85" s="54" t="s">
        <v>92</v>
      </c>
      <c r="C85" s="383"/>
      <c r="D85" s="55"/>
      <c r="E85" s="38" t="e">
        <f t="shared" si="3"/>
        <v>#DIV/0!</v>
      </c>
      <c r="F85" s="38">
        <f t="shared" si="4"/>
        <v>0</v>
      </c>
    </row>
    <row r="86" spans="1:6" ht="15.75" customHeight="1" hidden="1">
      <c r="A86" s="35" t="s">
        <v>93</v>
      </c>
      <c r="B86" s="39" t="s">
        <v>94</v>
      </c>
      <c r="C86" s="383">
        <v>0</v>
      </c>
      <c r="D86" s="37">
        <v>0</v>
      </c>
      <c r="E86" s="38"/>
      <c r="F86" s="38">
        <f t="shared" si="4"/>
        <v>0</v>
      </c>
    </row>
    <row r="87" spans="1:6" ht="15.75" customHeight="1">
      <c r="A87" s="30" t="s">
        <v>95</v>
      </c>
      <c r="B87" s="31" t="s">
        <v>96</v>
      </c>
      <c r="C87" s="253">
        <f>C88</f>
        <v>5.054</v>
      </c>
      <c r="D87" s="32">
        <f>D88+D89+D90+D91+D92</f>
        <v>5.054</v>
      </c>
      <c r="E87" s="38"/>
      <c r="F87" s="22">
        <f>F88+F89+F90+F91+F92</f>
        <v>0</v>
      </c>
    </row>
    <row r="88" spans="1:6" ht="23.25" customHeight="1">
      <c r="A88" s="35" t="s">
        <v>97</v>
      </c>
      <c r="B88" s="39" t="s">
        <v>98</v>
      </c>
      <c r="C88" s="383">
        <v>5.054</v>
      </c>
      <c r="D88" s="37">
        <v>5.054</v>
      </c>
      <c r="E88" s="38"/>
      <c r="F88" s="38">
        <f>SUM(D88-C88)</f>
        <v>0</v>
      </c>
    </row>
    <row r="89" spans="1:6" ht="1.5" customHeight="1" hidden="1">
      <c r="A89" s="35" t="s">
        <v>99</v>
      </c>
      <c r="B89" s="39" t="s">
        <v>100</v>
      </c>
      <c r="C89" s="383"/>
      <c r="D89" s="37"/>
      <c r="E89" s="38" t="e">
        <f t="shared" si="3"/>
        <v>#DIV/0!</v>
      </c>
      <c r="F89" s="38">
        <f>SUM(D89-C89)</f>
        <v>0</v>
      </c>
    </row>
    <row r="90" spans="1:6" ht="21.75" customHeight="1" hidden="1">
      <c r="A90" s="35" t="s">
        <v>101</v>
      </c>
      <c r="B90" s="39" t="s">
        <v>102</v>
      </c>
      <c r="C90" s="383"/>
      <c r="D90" s="37"/>
      <c r="E90" s="38" t="e">
        <f t="shared" si="3"/>
        <v>#DIV/0!</v>
      </c>
      <c r="F90" s="38"/>
    </row>
    <row r="91" spans="1:6" ht="15" customHeight="1" hidden="1">
      <c r="A91" s="35" t="s">
        <v>103</v>
      </c>
      <c r="B91" s="39" t="s">
        <v>104</v>
      </c>
      <c r="C91" s="383"/>
      <c r="D91" s="37"/>
      <c r="E91" s="38" t="e">
        <f t="shared" si="3"/>
        <v>#DIV/0!</v>
      </c>
      <c r="F91" s="38"/>
    </row>
    <row r="92" spans="1:6" ht="14.25" customHeight="1" hidden="1">
      <c r="A92" s="35" t="s">
        <v>105</v>
      </c>
      <c r="B92" s="39" t="s">
        <v>106</v>
      </c>
      <c r="C92" s="383"/>
      <c r="D92" s="37"/>
      <c r="E92" s="38" t="e">
        <f t="shared" si="3"/>
        <v>#DIV/0!</v>
      </c>
      <c r="F92" s="38"/>
    </row>
    <row r="93" spans="1:6" s="6" customFormat="1" ht="19.5" customHeight="1" hidden="1">
      <c r="A93" s="52">
        <v>1400</v>
      </c>
      <c r="B93" s="56" t="s">
        <v>115</v>
      </c>
      <c r="C93" s="386">
        <f>C94+C95+C96</f>
        <v>0</v>
      </c>
      <c r="D93" s="2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" customHeight="1" hidden="1">
      <c r="A94" s="53">
        <v>1401</v>
      </c>
      <c r="B94" s="54" t="s">
        <v>116</v>
      </c>
      <c r="C94" s="387"/>
      <c r="D94" s="37"/>
      <c r="E94" s="38" t="e">
        <f t="shared" si="3"/>
        <v>#DIV/0!</v>
      </c>
      <c r="F94" s="38">
        <f t="shared" si="4"/>
        <v>0</v>
      </c>
    </row>
    <row r="95" spans="1:6" ht="16.5" customHeight="1" hidden="1">
      <c r="A95" s="53">
        <v>1402</v>
      </c>
      <c r="B95" s="54" t="s">
        <v>117</v>
      </c>
      <c r="C95" s="387"/>
      <c r="D95" s="37"/>
      <c r="E95" s="38" t="e">
        <f t="shared" si="3"/>
        <v>#DIV/0!</v>
      </c>
      <c r="F95" s="38">
        <f t="shared" si="4"/>
        <v>0</v>
      </c>
    </row>
    <row r="96" spans="1:6" ht="20.25" customHeight="1" hidden="1">
      <c r="A96" s="53">
        <v>1403</v>
      </c>
      <c r="B96" s="54" t="s">
        <v>118</v>
      </c>
      <c r="C96" s="387"/>
      <c r="D96" s="37"/>
      <c r="E96" s="38" t="e">
        <f t="shared" si="3"/>
        <v>#DIV/0!</v>
      </c>
      <c r="F96" s="38">
        <f t="shared" si="4"/>
        <v>0</v>
      </c>
    </row>
    <row r="97" spans="1:6" s="6" customFormat="1" ht="21" customHeight="1">
      <c r="A97" s="52"/>
      <c r="B97" s="57" t="s">
        <v>119</v>
      </c>
      <c r="C97" s="379">
        <f>C56+C64+C66+C71+C76+C80+C87+C82</f>
        <v>5263.71917</v>
      </c>
      <c r="D97" s="379">
        <f>D56+D64+D66+D71+D76+D80+D87+D82</f>
        <v>5211.1193</v>
      </c>
      <c r="E97" s="34">
        <f t="shared" si="3"/>
        <v>99.0007090366867</v>
      </c>
      <c r="F97" s="34">
        <f t="shared" si="4"/>
        <v>-52.59987000000001</v>
      </c>
    </row>
    <row r="98" ht="15.75">
      <c r="D98" s="252"/>
    </row>
    <row r="99" spans="1:4" s="65" customFormat="1" ht="18" customHeight="1">
      <c r="A99" s="63" t="s">
        <v>120</v>
      </c>
      <c r="B99" s="63"/>
      <c r="C99" s="132"/>
      <c r="D99" s="64"/>
    </row>
    <row r="100" spans="1:3" s="65" customFormat="1" ht="12.75">
      <c r="A100" s="66" t="s">
        <v>121</v>
      </c>
      <c r="B100" s="66"/>
      <c r="C100" s="65" t="s">
        <v>122</v>
      </c>
    </row>
    <row r="101" ht="15.75">
      <c r="C101" s="12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70" zoomScaleSheetLayoutView="70" workbookViewId="0" topLeftCell="A34">
      <selection activeCell="B145" sqref="B145"/>
    </sheetView>
  </sheetViews>
  <sheetFormatPr defaultColWidth="9.140625" defaultRowHeight="12.75"/>
  <cols>
    <col min="1" max="1" width="14.7109375" style="58" customWidth="1"/>
    <col min="2" max="2" width="58.8515625" style="59" customWidth="1"/>
    <col min="3" max="3" width="19.421875" style="62" customWidth="1"/>
    <col min="4" max="4" width="16.00390625" style="62" customWidth="1"/>
    <col min="5" max="5" width="10.8515625" style="62" customWidth="1"/>
    <col min="6" max="6" width="9.28125" style="62" customWidth="1"/>
    <col min="7" max="7" width="15.421875" style="1" bestFit="1" customWidth="1"/>
    <col min="8" max="8" width="12.8515625" style="1" bestFit="1" customWidth="1"/>
    <col min="9" max="9" width="12.421875" style="1" customWidth="1"/>
    <col min="10" max="16384" width="9.140625" style="1" customWidth="1"/>
  </cols>
  <sheetData>
    <row r="1" spans="1:6" ht="15.75">
      <c r="A1" s="470" t="s">
        <v>361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4.5" customHeight="1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2411.19</v>
      </c>
      <c r="D4" s="5">
        <f>D5+D12+D14+D17+D7</f>
        <v>2314.17197</v>
      </c>
      <c r="E4" s="5">
        <f>SUM(D4/C4*100)</f>
        <v>95.97634238695414</v>
      </c>
      <c r="F4" s="5">
        <f>SUM(D4-C4)</f>
        <v>-97.01803000000018</v>
      </c>
    </row>
    <row r="5" spans="1:6" s="6" customFormat="1" ht="15.75">
      <c r="A5" s="68">
        <v>1010000000</v>
      </c>
      <c r="B5" s="67" t="s">
        <v>6</v>
      </c>
      <c r="C5" s="5">
        <f>C6</f>
        <v>181.56</v>
      </c>
      <c r="D5" s="5">
        <f>D6</f>
        <v>110.11036</v>
      </c>
      <c r="E5" s="5">
        <f aca="true" t="shared" si="0" ref="E5:E51">SUM(D5/C5*100)</f>
        <v>60.64681647940075</v>
      </c>
      <c r="F5" s="5">
        <f aca="true" t="shared" si="1" ref="F5:F51">SUM(D5-C5)</f>
        <v>-71.44964</v>
      </c>
    </row>
    <row r="6" spans="1:6" ht="15.75">
      <c r="A6" s="7">
        <v>1010200001</v>
      </c>
      <c r="B6" s="8" t="s">
        <v>231</v>
      </c>
      <c r="C6" s="9">
        <v>181.56</v>
      </c>
      <c r="D6" s="10">
        <v>110.11036</v>
      </c>
      <c r="E6" s="9">
        <f aca="true" t="shared" si="2" ref="E6:E11">SUM(D6/C6*100)</f>
        <v>60.64681647940075</v>
      </c>
      <c r="F6" s="9">
        <f t="shared" si="1"/>
        <v>-71.44964</v>
      </c>
    </row>
    <row r="7" spans="1:6" ht="31.5">
      <c r="A7" s="3">
        <v>1030000000</v>
      </c>
      <c r="B7" s="13" t="s">
        <v>285</v>
      </c>
      <c r="C7" s="316">
        <f>C8+C10+C9</f>
        <v>699.63</v>
      </c>
      <c r="D7" s="316">
        <f>D8+D10+D9+D11</f>
        <v>711.9636499999999</v>
      </c>
      <c r="E7" s="5">
        <f t="shared" si="2"/>
        <v>101.76288180895614</v>
      </c>
      <c r="F7" s="5">
        <f t="shared" si="1"/>
        <v>12.33364999999992</v>
      </c>
    </row>
    <row r="8" spans="1:6" ht="15.75">
      <c r="A8" s="7">
        <v>1030223001</v>
      </c>
      <c r="B8" s="8" t="s">
        <v>287</v>
      </c>
      <c r="C8" s="9">
        <v>247.63</v>
      </c>
      <c r="D8" s="10">
        <v>292.54542</v>
      </c>
      <c r="E8" s="9">
        <f t="shared" si="2"/>
        <v>118.13811735250171</v>
      </c>
      <c r="F8" s="9">
        <f t="shared" si="1"/>
        <v>44.91541999999998</v>
      </c>
    </row>
    <row r="9" spans="1:6" ht="15.75">
      <c r="A9" s="7">
        <v>1030224001</v>
      </c>
      <c r="B9" s="8" t="s">
        <v>293</v>
      </c>
      <c r="C9" s="9">
        <v>2.68</v>
      </c>
      <c r="D9" s="10">
        <v>2.96983</v>
      </c>
      <c r="E9" s="9">
        <f t="shared" si="2"/>
        <v>110.81455223880596</v>
      </c>
      <c r="F9" s="9">
        <f t="shared" si="1"/>
        <v>0.2898299999999998</v>
      </c>
    </row>
    <row r="10" spans="1:6" ht="15.75">
      <c r="A10" s="7">
        <v>1030225001</v>
      </c>
      <c r="B10" s="8" t="s">
        <v>286</v>
      </c>
      <c r="C10" s="9">
        <v>449.32</v>
      </c>
      <c r="D10" s="10">
        <v>473.10753</v>
      </c>
      <c r="E10" s="9">
        <f t="shared" si="2"/>
        <v>105.29411777797561</v>
      </c>
      <c r="F10" s="9">
        <f>SUM(D10-C10)</f>
        <v>23.787530000000004</v>
      </c>
    </row>
    <row r="11" spans="1:6" ht="15.75">
      <c r="A11" s="7">
        <v>1030226001</v>
      </c>
      <c r="B11" s="8" t="s">
        <v>295</v>
      </c>
      <c r="C11" s="9">
        <v>0</v>
      </c>
      <c r="D11" s="10">
        <v>-56.65913</v>
      </c>
      <c r="E11" s="9" t="e">
        <f t="shared" si="2"/>
        <v>#DIV/0!</v>
      </c>
      <c r="F11" s="9">
        <f>SUM(D11-C11)</f>
        <v>-56.65913</v>
      </c>
    </row>
    <row r="12" spans="1:6" s="6" customFormat="1" ht="15.75">
      <c r="A12" s="68">
        <v>1050000000</v>
      </c>
      <c r="B12" s="67" t="s">
        <v>7</v>
      </c>
      <c r="C12" s="5">
        <f>SUM(C13:C13)</f>
        <v>25</v>
      </c>
      <c r="D12" s="5">
        <f>SUM(D13:D13)</f>
        <v>1.81564</v>
      </c>
      <c r="E12" s="5">
        <f t="shared" si="0"/>
        <v>7.26256</v>
      </c>
      <c r="F12" s="5">
        <f t="shared" si="1"/>
        <v>-23.18436</v>
      </c>
    </row>
    <row r="13" spans="1:6" ht="15.75" customHeight="1">
      <c r="A13" s="7">
        <v>1050300000</v>
      </c>
      <c r="B13" s="11" t="s">
        <v>232</v>
      </c>
      <c r="C13" s="12">
        <v>25</v>
      </c>
      <c r="D13" s="10">
        <v>1.81564</v>
      </c>
      <c r="E13" s="9">
        <f t="shared" si="0"/>
        <v>7.26256</v>
      </c>
      <c r="F13" s="9">
        <f t="shared" si="1"/>
        <v>-23.18436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1490</v>
      </c>
      <c r="D14" s="5">
        <f>D15+D16</f>
        <v>1477.00132</v>
      </c>
      <c r="E14" s="5">
        <f t="shared" si="0"/>
        <v>99.12760536912752</v>
      </c>
      <c r="F14" s="5">
        <f t="shared" si="1"/>
        <v>-12.998679999999922</v>
      </c>
    </row>
    <row r="15" spans="1:6" s="6" customFormat="1" ht="15.75" customHeight="1">
      <c r="A15" s="7">
        <v>1060100000</v>
      </c>
      <c r="B15" s="11" t="s">
        <v>9</v>
      </c>
      <c r="C15" s="9">
        <v>155</v>
      </c>
      <c r="D15" s="10">
        <v>127.62452</v>
      </c>
      <c r="E15" s="9">
        <f t="shared" si="0"/>
        <v>82.33840000000001</v>
      </c>
      <c r="F15" s="9">
        <f>SUM(D15-C15)</f>
        <v>-27.375479999999996</v>
      </c>
    </row>
    <row r="16" spans="1:6" ht="15.75" customHeight="1">
      <c r="A16" s="7">
        <v>1060600000</v>
      </c>
      <c r="B16" s="11" t="s">
        <v>8</v>
      </c>
      <c r="C16" s="9">
        <v>1335</v>
      </c>
      <c r="D16" s="10">
        <v>1349.3768</v>
      </c>
      <c r="E16" s="9">
        <f t="shared" si="0"/>
        <v>101.0769138576779</v>
      </c>
      <c r="F16" s="9">
        <f t="shared" si="1"/>
        <v>14.376800000000003</v>
      </c>
    </row>
    <row r="17" spans="1:6" s="6" customFormat="1" ht="15.75">
      <c r="A17" s="3">
        <v>1080000000</v>
      </c>
      <c r="B17" s="4" t="s">
        <v>11</v>
      </c>
      <c r="C17" s="5">
        <f>C18</f>
        <v>15</v>
      </c>
      <c r="D17" s="5">
        <f>D18</f>
        <v>13.281</v>
      </c>
      <c r="E17" s="5">
        <f t="shared" si="0"/>
        <v>88.54</v>
      </c>
      <c r="F17" s="5">
        <f t="shared" si="1"/>
        <v>-1.7189999999999994</v>
      </c>
    </row>
    <row r="18" spans="1:6" ht="15.75">
      <c r="A18" s="7">
        <v>1080400001</v>
      </c>
      <c r="B18" s="8" t="s">
        <v>230</v>
      </c>
      <c r="C18" s="9">
        <v>15</v>
      </c>
      <c r="D18" s="10">
        <v>13.281</v>
      </c>
      <c r="E18" s="9">
        <f t="shared" si="0"/>
        <v>88.54</v>
      </c>
      <c r="F18" s="9">
        <f t="shared" si="1"/>
        <v>-1.7189999999999994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235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C26+C29+C31+C36+C34</f>
        <v>515.544</v>
      </c>
      <c r="D25" s="5">
        <f>D26+D29+D31+D36+D34</f>
        <v>1729.09959</v>
      </c>
      <c r="E25" s="5">
        <f t="shared" si="0"/>
        <v>335.39321377030865</v>
      </c>
      <c r="F25" s="5">
        <f t="shared" si="1"/>
        <v>1213.55559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150</v>
      </c>
      <c r="D26" s="5">
        <f>D27+D28</f>
        <v>26.96983</v>
      </c>
      <c r="E26" s="5">
        <f t="shared" si="0"/>
        <v>17.979886666666665</v>
      </c>
      <c r="F26" s="5">
        <f t="shared" si="1"/>
        <v>-123.03017</v>
      </c>
    </row>
    <row r="27" spans="1:6" ht="15.75" customHeight="1">
      <c r="A27" s="16">
        <v>1110502501</v>
      </c>
      <c r="B27" s="17" t="s">
        <v>228</v>
      </c>
      <c r="C27" s="12">
        <v>150</v>
      </c>
      <c r="D27" s="10">
        <v>11.93983</v>
      </c>
      <c r="E27" s="9">
        <f t="shared" si="0"/>
        <v>7.959886666666667</v>
      </c>
      <c r="F27" s="9">
        <f t="shared" si="1"/>
        <v>-138.06017</v>
      </c>
    </row>
    <row r="28" spans="1:6" ht="21.75" customHeight="1">
      <c r="A28" s="7">
        <v>1110503505</v>
      </c>
      <c r="B28" s="11" t="s">
        <v>227</v>
      </c>
      <c r="C28" s="12">
        <v>0</v>
      </c>
      <c r="D28" s="10">
        <v>15.03</v>
      </c>
      <c r="E28" s="9" t="e">
        <f t="shared" si="0"/>
        <v>#DIV/0!</v>
      </c>
      <c r="F28" s="9">
        <f t="shared" si="1"/>
        <v>15.03</v>
      </c>
    </row>
    <row r="29" spans="1:6" s="15" customFormat="1" ht="35.25" customHeight="1">
      <c r="A29" s="68">
        <v>1130000000</v>
      </c>
      <c r="B29" s="69" t="s">
        <v>131</v>
      </c>
      <c r="C29" s="5">
        <f>C30</f>
        <v>50</v>
      </c>
      <c r="D29" s="5">
        <f>D30</f>
        <v>47.68864</v>
      </c>
      <c r="E29" s="5">
        <f t="shared" si="0"/>
        <v>95.37728</v>
      </c>
      <c r="F29" s="5">
        <f t="shared" si="1"/>
        <v>-2.3113600000000005</v>
      </c>
    </row>
    <row r="30" spans="1:6" ht="18.75" customHeight="1">
      <c r="A30" s="7">
        <v>1130206005</v>
      </c>
      <c r="B30" s="8" t="s">
        <v>226</v>
      </c>
      <c r="C30" s="9">
        <v>50</v>
      </c>
      <c r="D30" s="10">
        <v>47.68864</v>
      </c>
      <c r="E30" s="9">
        <f t="shared" si="0"/>
        <v>95.37728</v>
      </c>
      <c r="F30" s="9">
        <f t="shared" si="1"/>
        <v>-2.3113600000000005</v>
      </c>
    </row>
    <row r="31" spans="1:6" ht="17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224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0.25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0.25" customHeight="1">
      <c r="A34" s="3">
        <v>1160000000</v>
      </c>
      <c r="B34" s="13" t="s">
        <v>254</v>
      </c>
      <c r="C34" s="5">
        <f>C35</f>
        <v>315.544</v>
      </c>
      <c r="D34" s="14">
        <f>D35</f>
        <v>1654.39814</v>
      </c>
      <c r="E34" s="5">
        <f>SUM(D34/C34*100)</f>
        <v>524.300300433537</v>
      </c>
      <c r="F34" s="5">
        <f>SUM(D34-C34)</f>
        <v>1338.85414</v>
      </c>
    </row>
    <row r="35" spans="1:6" ht="47.25">
      <c r="A35" s="7">
        <v>1163305010</v>
      </c>
      <c r="B35" s="8" t="s">
        <v>270</v>
      </c>
      <c r="C35" s="9">
        <v>315.544</v>
      </c>
      <c r="D35" s="10">
        <v>1654.39814</v>
      </c>
      <c r="E35" s="9">
        <f>SUM(D35/C35*100)</f>
        <v>524.300300433537</v>
      </c>
      <c r="F35" s="9">
        <f>SUM(D35-C35)</f>
        <v>1338.85414</v>
      </c>
    </row>
    <row r="36" spans="1:6" ht="18" customHeight="1">
      <c r="A36" s="3">
        <v>1170000000</v>
      </c>
      <c r="B36" s="13" t="s">
        <v>135</v>
      </c>
      <c r="C36" s="5">
        <f>C37+C38</f>
        <v>0</v>
      </c>
      <c r="D36" s="5">
        <f>D37+D38</f>
        <v>0.04298</v>
      </c>
      <c r="E36" s="5" t="e">
        <f t="shared" si="0"/>
        <v>#DIV/0!</v>
      </c>
      <c r="F36" s="5">
        <f t="shared" si="1"/>
        <v>0.04298</v>
      </c>
    </row>
    <row r="37" spans="1:6" ht="24" customHeight="1">
      <c r="A37" s="7">
        <v>1170105005</v>
      </c>
      <c r="B37" s="8" t="s">
        <v>18</v>
      </c>
      <c r="C37" s="9">
        <v>0</v>
      </c>
      <c r="D37" s="9">
        <v>0.04298</v>
      </c>
      <c r="E37" s="9" t="e">
        <f t="shared" si="0"/>
        <v>#DIV/0!</v>
      </c>
      <c r="F37" s="9">
        <f t="shared" si="1"/>
        <v>0.04298</v>
      </c>
    </row>
    <row r="38" spans="1:6" ht="15.75" customHeight="1">
      <c r="A38" s="7">
        <v>1170505005</v>
      </c>
      <c r="B38" s="11" t="s">
        <v>223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18" customHeight="1">
      <c r="A39" s="3">
        <v>1000000000</v>
      </c>
      <c r="B39" s="4" t="s">
        <v>19</v>
      </c>
      <c r="C39" s="128">
        <f>SUM(C4,C25)</f>
        <v>2926.734</v>
      </c>
      <c r="D39" s="128">
        <f>D4+D25</f>
        <v>4043.27156</v>
      </c>
      <c r="E39" s="5">
        <f t="shared" si="0"/>
        <v>138.14960840308686</v>
      </c>
      <c r="F39" s="5">
        <f t="shared" si="1"/>
        <v>1116.5375600000002</v>
      </c>
    </row>
    <row r="40" spans="1:7" s="6" customFormat="1" ht="15.75">
      <c r="A40" s="3">
        <v>2000000000</v>
      </c>
      <c r="B40" s="4" t="s">
        <v>20</v>
      </c>
      <c r="C40" s="5">
        <f>C41+C43+C44+C46+C47+C48+C42+C50</f>
        <v>6245.21106</v>
      </c>
      <c r="D40" s="5">
        <f>D41+D43+D44+D46+D47+D48+D42+D50</f>
        <v>6217.411059999999</v>
      </c>
      <c r="E40" s="5">
        <f t="shared" si="0"/>
        <v>99.55485891937174</v>
      </c>
      <c r="F40" s="5">
        <f t="shared" si="1"/>
        <v>-27.800000000000182</v>
      </c>
      <c r="G40" s="19"/>
    </row>
    <row r="41" spans="1:6" ht="17.25" customHeight="1">
      <c r="A41" s="16">
        <v>2020100000</v>
      </c>
      <c r="B41" s="17" t="s">
        <v>21</v>
      </c>
      <c r="C41" s="12">
        <v>1583.34</v>
      </c>
      <c r="D41" s="20">
        <v>1583.34</v>
      </c>
      <c r="E41" s="9">
        <f t="shared" si="0"/>
        <v>100</v>
      </c>
      <c r="F41" s="9">
        <f t="shared" si="1"/>
        <v>0</v>
      </c>
    </row>
    <row r="42" spans="1:6" ht="14.25" customHeight="1">
      <c r="A42" s="16">
        <v>2020100310</v>
      </c>
      <c r="B42" s="17" t="s">
        <v>234</v>
      </c>
      <c r="C42" s="12">
        <v>928.9</v>
      </c>
      <c r="D42" s="20">
        <v>928.9</v>
      </c>
      <c r="E42" s="9">
        <f t="shared" si="0"/>
        <v>100</v>
      </c>
      <c r="F42" s="9">
        <f t="shared" si="1"/>
        <v>0</v>
      </c>
    </row>
    <row r="43" spans="1:6" ht="15.75">
      <c r="A43" s="16">
        <v>2020200000</v>
      </c>
      <c r="B43" s="17" t="s">
        <v>22</v>
      </c>
      <c r="C43" s="12">
        <v>3335.075</v>
      </c>
      <c r="D43" s="10">
        <v>3307.275</v>
      </c>
      <c r="E43" s="9">
        <f t="shared" si="0"/>
        <v>99.1664355374317</v>
      </c>
      <c r="F43" s="9">
        <f t="shared" si="1"/>
        <v>-27.799999999999727</v>
      </c>
    </row>
    <row r="44" spans="1:6" ht="18" customHeight="1">
      <c r="A44" s="16">
        <v>2020300000</v>
      </c>
      <c r="B44" s="17" t="s">
        <v>23</v>
      </c>
      <c r="C44" s="12">
        <v>147.89606</v>
      </c>
      <c r="D44" s="258">
        <v>147.89606</v>
      </c>
      <c r="E44" s="9">
        <f t="shared" si="0"/>
        <v>100</v>
      </c>
      <c r="F44" s="9">
        <f t="shared" si="1"/>
        <v>0</v>
      </c>
    </row>
    <row r="45" spans="1:6" ht="15" customHeight="1" hidden="1">
      <c r="A45" s="16">
        <v>2070503010</v>
      </c>
      <c r="B45" s="17" t="s">
        <v>273</v>
      </c>
      <c r="C45" s="12">
        <v>0</v>
      </c>
      <c r="D45" s="258">
        <v>0</v>
      </c>
      <c r="E45" s="9" t="e">
        <f t="shared" si="0"/>
        <v>#DIV/0!</v>
      </c>
      <c r="F45" s="9">
        <f t="shared" si="1"/>
        <v>0</v>
      </c>
    </row>
    <row r="46" spans="1:6" ht="15.75" hidden="1">
      <c r="A46" s="16">
        <v>2020400000</v>
      </c>
      <c r="B46" s="17" t="s">
        <v>24</v>
      </c>
      <c r="C46" s="12">
        <v>0</v>
      </c>
      <c r="D46" s="259">
        <v>0</v>
      </c>
      <c r="E46" s="9" t="e">
        <f t="shared" si="0"/>
        <v>#DIV/0!</v>
      </c>
      <c r="F46" s="9">
        <f t="shared" si="1"/>
        <v>0</v>
      </c>
    </row>
    <row r="47" spans="1:6" ht="31.5" hidden="1">
      <c r="A47" s="16">
        <v>2020900000</v>
      </c>
      <c r="B47" s="18" t="s">
        <v>25</v>
      </c>
      <c r="C47" s="12"/>
      <c r="D47" s="259"/>
      <c r="E47" s="9" t="e">
        <f t="shared" si="0"/>
        <v>#DIV/0!</v>
      </c>
      <c r="F47" s="9">
        <f t="shared" si="1"/>
        <v>0</v>
      </c>
    </row>
    <row r="48" spans="1:6" ht="15.75" hidden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6" s="6" customFormat="1" ht="31.5" hidden="1">
      <c r="A49" s="3">
        <v>3000000000</v>
      </c>
      <c r="B49" s="13" t="s">
        <v>27</v>
      </c>
      <c r="C49" s="123">
        <v>0</v>
      </c>
      <c r="D49" s="122">
        <v>0</v>
      </c>
      <c r="E49" s="5" t="e">
        <f t="shared" si="0"/>
        <v>#DIV/0!</v>
      </c>
      <c r="F49" s="5">
        <f t="shared" si="1"/>
        <v>0</v>
      </c>
    </row>
    <row r="50" spans="1:6" s="6" customFormat="1" ht="15.75">
      <c r="A50" s="3">
        <v>2070502010</v>
      </c>
      <c r="B50" s="13" t="s">
        <v>307</v>
      </c>
      <c r="C50" s="123">
        <v>250</v>
      </c>
      <c r="D50" s="122">
        <v>250</v>
      </c>
      <c r="E50" s="5">
        <f t="shared" si="0"/>
        <v>100</v>
      </c>
      <c r="F50" s="5">
        <f t="shared" si="1"/>
        <v>0</v>
      </c>
    </row>
    <row r="51" spans="1:7" s="6" customFormat="1" ht="15.75">
      <c r="A51" s="3"/>
      <c r="B51" s="4" t="s">
        <v>28</v>
      </c>
      <c r="C51" s="367">
        <f>SUM(C39,C40,C49)</f>
        <v>9171.94506</v>
      </c>
      <c r="D51" s="381">
        <f>D39+D40</f>
        <v>10260.68262</v>
      </c>
      <c r="E51" s="5">
        <f t="shared" si="0"/>
        <v>111.87030180488237</v>
      </c>
      <c r="F51" s="5">
        <f t="shared" si="1"/>
        <v>1088.7375599999996</v>
      </c>
      <c r="G51" s="94"/>
    </row>
    <row r="52" spans="1:6" s="6" customFormat="1" ht="15.75">
      <c r="A52" s="3"/>
      <c r="B52" s="21" t="s">
        <v>326</v>
      </c>
      <c r="C52" s="5">
        <f>C51-C97</f>
        <v>-355.4299999999985</v>
      </c>
      <c r="D52" s="5">
        <f>D51-D97</f>
        <v>1425.839469999999</v>
      </c>
      <c r="E52" s="22"/>
      <c r="F52" s="22"/>
    </row>
    <row r="53" spans="1:6" ht="32.25" customHeight="1">
      <c r="A53" s="23"/>
      <c r="B53" s="24"/>
      <c r="C53" s="254"/>
      <c r="D53" s="25"/>
      <c r="E53" s="26"/>
      <c r="F53" s="27"/>
    </row>
    <row r="54" spans="1:6" ht="63">
      <c r="A54" s="28" t="s">
        <v>1</v>
      </c>
      <c r="B54" s="28" t="s">
        <v>29</v>
      </c>
      <c r="C54" s="72" t="s">
        <v>340</v>
      </c>
      <c r="D54" s="73" t="s">
        <v>353</v>
      </c>
      <c r="E54" s="72" t="s">
        <v>3</v>
      </c>
      <c r="F54" s="74" t="s">
        <v>4</v>
      </c>
    </row>
    <row r="55" spans="1:6" ht="15.75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.75">
      <c r="A56" s="30" t="s">
        <v>30</v>
      </c>
      <c r="B56" s="31" t="s">
        <v>31</v>
      </c>
      <c r="C56" s="32">
        <f>C57+C58+C59+C60+C61+C63+C62</f>
        <v>1147.057</v>
      </c>
      <c r="D56" s="33">
        <f>D57+D58+D59+D60+D61+D63+D62</f>
        <v>1102.56683</v>
      </c>
      <c r="E56" s="34">
        <f>SUM(D56/C56*100)</f>
        <v>96.12136362883449</v>
      </c>
      <c r="F56" s="34">
        <f>SUM(D56-C56)</f>
        <v>-44.490170000000035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 ht="15" customHeight="1">
      <c r="A58" s="35" t="s">
        <v>34</v>
      </c>
      <c r="B58" s="39" t="s">
        <v>35</v>
      </c>
      <c r="C58" s="37">
        <f>1092.15+9.05</f>
        <v>1101.2</v>
      </c>
      <c r="D58" s="37">
        <v>1083.58888</v>
      </c>
      <c r="E58" s="38">
        <f aca="true" t="shared" si="3" ref="E58:E97">SUM(D58/C58*100)</f>
        <v>98.40073374500544</v>
      </c>
      <c r="F58" s="38">
        <f aca="true" t="shared" si="4" ref="F58:F97">SUM(D58-C58)</f>
        <v>-17.611120000000028</v>
      </c>
    </row>
    <row r="59" spans="1:6" ht="16.5" customHeight="1" hidden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 hidden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5" customHeight="1">
      <c r="A63" s="35" t="s">
        <v>44</v>
      </c>
      <c r="B63" s="39" t="s">
        <v>45</v>
      </c>
      <c r="C63" s="37">
        <v>40.857</v>
      </c>
      <c r="D63" s="37">
        <v>18.97795</v>
      </c>
      <c r="E63" s="38">
        <f t="shared" si="3"/>
        <v>46.44969038353281</v>
      </c>
      <c r="F63" s="38">
        <f t="shared" si="4"/>
        <v>-21.87905</v>
      </c>
    </row>
    <row r="64" spans="1:6" s="6" customFormat="1" ht="15.75">
      <c r="A64" s="41" t="s">
        <v>46</v>
      </c>
      <c r="B64" s="42" t="s">
        <v>47</v>
      </c>
      <c r="C64" s="32">
        <f>C65</f>
        <v>147.49716</v>
      </c>
      <c r="D64" s="32">
        <f>D65</f>
        <v>147.49716</v>
      </c>
      <c r="E64" s="34">
        <f t="shared" si="3"/>
        <v>100</v>
      </c>
      <c r="F64" s="34">
        <f t="shared" si="4"/>
        <v>0</v>
      </c>
    </row>
    <row r="65" spans="1:6" ht="15.75">
      <c r="A65" s="43" t="s">
        <v>48</v>
      </c>
      <c r="B65" s="44" t="s">
        <v>49</v>
      </c>
      <c r="C65" s="37">
        <v>147.49716</v>
      </c>
      <c r="D65" s="37">
        <v>147.49716</v>
      </c>
      <c r="E65" s="38">
        <f t="shared" si="3"/>
        <v>100</v>
      </c>
      <c r="F65" s="38">
        <f t="shared" si="4"/>
        <v>0</v>
      </c>
    </row>
    <row r="66" spans="1:6" s="6" customFormat="1" ht="18" customHeight="1">
      <c r="A66" s="30" t="s">
        <v>50</v>
      </c>
      <c r="B66" s="31" t="s">
        <v>51</v>
      </c>
      <c r="C66" s="32">
        <f>C70+C69</f>
        <v>2.1</v>
      </c>
      <c r="D66" s="32">
        <f>D70+D69</f>
        <v>2.08379</v>
      </c>
      <c r="E66" s="34">
        <f t="shared" si="3"/>
        <v>99.22809523809524</v>
      </c>
      <c r="F66" s="34">
        <f t="shared" si="4"/>
        <v>-0.016210000000000058</v>
      </c>
    </row>
    <row r="67" spans="1:6" ht="15.75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5.75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6" ht="17.25" customHeight="1">
      <c r="A69" s="46" t="s">
        <v>56</v>
      </c>
      <c r="B69" s="47" t="s">
        <v>57</v>
      </c>
      <c r="C69" s="96">
        <v>0</v>
      </c>
      <c r="D69" s="37">
        <v>0</v>
      </c>
      <c r="E69" s="34" t="e">
        <f t="shared" si="3"/>
        <v>#DIV/0!</v>
      </c>
      <c r="F69" s="34">
        <f t="shared" si="4"/>
        <v>0</v>
      </c>
    </row>
    <row r="70" spans="1:6" ht="15.75" customHeight="1">
      <c r="A70" s="46" t="s">
        <v>221</v>
      </c>
      <c r="B70" s="47" t="s">
        <v>222</v>
      </c>
      <c r="C70" s="37">
        <v>2.1</v>
      </c>
      <c r="D70" s="37">
        <v>2.08379</v>
      </c>
      <c r="E70" s="34">
        <f t="shared" si="3"/>
        <v>99.22809523809524</v>
      </c>
      <c r="F70" s="34">
        <f t="shared" si="4"/>
        <v>-0.016210000000000058</v>
      </c>
    </row>
    <row r="71" spans="1:6" s="6" customFormat="1" ht="24" customHeight="1">
      <c r="A71" s="30" t="s">
        <v>58</v>
      </c>
      <c r="B71" s="31" t="s">
        <v>59</v>
      </c>
      <c r="C71" s="48">
        <f>C72+C73+C74+C75</f>
        <v>4229.7789999999995</v>
      </c>
      <c r="D71" s="48">
        <f>SUM(D72:D75)</f>
        <v>3783.4509900000003</v>
      </c>
      <c r="E71" s="34">
        <f t="shared" si="3"/>
        <v>89.44795910140934</v>
      </c>
      <c r="F71" s="34">
        <f t="shared" si="4"/>
        <v>-446.32800999999927</v>
      </c>
    </row>
    <row r="72" spans="1:6" ht="14.25" customHeight="1">
      <c r="A72" s="35" t="s">
        <v>60</v>
      </c>
      <c r="B72" s="39" t="s">
        <v>61</v>
      </c>
      <c r="C72" s="49">
        <f>0.3989+2.1011</f>
        <v>2.5</v>
      </c>
      <c r="D72" s="37">
        <v>2.5</v>
      </c>
      <c r="E72" s="38">
        <f t="shared" si="3"/>
        <v>100</v>
      </c>
      <c r="F72" s="38">
        <f t="shared" si="4"/>
        <v>0</v>
      </c>
    </row>
    <row r="73" spans="1:7" s="6" customFormat="1" ht="14.25" customHeight="1">
      <c r="A73" s="35" t="s">
        <v>62</v>
      </c>
      <c r="B73" s="39" t="s">
        <v>63</v>
      </c>
      <c r="C73" s="49">
        <v>470.544</v>
      </c>
      <c r="D73" s="37">
        <v>334.83033</v>
      </c>
      <c r="E73" s="38">
        <f t="shared" si="3"/>
        <v>71.15813398959503</v>
      </c>
      <c r="F73" s="38">
        <f t="shared" si="4"/>
        <v>-135.71366999999998</v>
      </c>
      <c r="G73" s="50"/>
    </row>
    <row r="74" spans="1:6" ht="15.75">
      <c r="A74" s="35" t="s">
        <v>64</v>
      </c>
      <c r="B74" s="39" t="s">
        <v>65</v>
      </c>
      <c r="C74" s="49">
        <v>3386.535</v>
      </c>
      <c r="D74" s="37">
        <v>3096.72666</v>
      </c>
      <c r="E74" s="38">
        <f t="shared" si="3"/>
        <v>91.44233442146619</v>
      </c>
      <c r="F74" s="38">
        <f t="shared" si="4"/>
        <v>-289.80834000000004</v>
      </c>
    </row>
    <row r="75" spans="1:6" ht="15.75">
      <c r="A75" s="35" t="s">
        <v>66</v>
      </c>
      <c r="B75" s="39" t="s">
        <v>67</v>
      </c>
      <c r="C75" s="49">
        <f>79.694+290.506</f>
        <v>370.2</v>
      </c>
      <c r="D75" s="37">
        <v>349.394</v>
      </c>
      <c r="E75" s="38">
        <f t="shared" si="3"/>
        <v>94.37979470556456</v>
      </c>
      <c r="F75" s="38">
        <f t="shared" si="4"/>
        <v>-20.805999999999983</v>
      </c>
    </row>
    <row r="76" spans="1:6" s="6" customFormat="1" ht="14.25" customHeight="1">
      <c r="A76" s="30" t="s">
        <v>68</v>
      </c>
      <c r="B76" s="31" t="s">
        <v>69</v>
      </c>
      <c r="C76" s="32">
        <f>SUM(C77:C79)</f>
        <v>647.1419</v>
      </c>
      <c r="D76" s="32">
        <f>SUM(D77:D79)</f>
        <v>637.78802</v>
      </c>
      <c r="E76" s="34">
        <f t="shared" si="3"/>
        <v>98.55458594166132</v>
      </c>
      <c r="F76" s="34">
        <f t="shared" si="4"/>
        <v>-9.353880000000004</v>
      </c>
    </row>
    <row r="77" spans="1:6" ht="15.75" hidden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6" ht="18" customHeight="1">
      <c r="A78" s="35" t="s">
        <v>72</v>
      </c>
      <c r="B78" s="51" t="s">
        <v>73</v>
      </c>
      <c r="C78" s="37">
        <v>87.207</v>
      </c>
      <c r="D78" s="37">
        <v>87.20668</v>
      </c>
      <c r="E78" s="38">
        <f t="shared" si="3"/>
        <v>99.99963305697939</v>
      </c>
      <c r="F78" s="38">
        <f t="shared" si="4"/>
        <v>-0.00031999999998788553</v>
      </c>
    </row>
    <row r="79" spans="1:6" ht="15.75">
      <c r="A79" s="35" t="s">
        <v>74</v>
      </c>
      <c r="B79" s="39" t="s">
        <v>75</v>
      </c>
      <c r="C79" s="37">
        <v>559.9349</v>
      </c>
      <c r="D79" s="37">
        <v>550.58134</v>
      </c>
      <c r="E79" s="38">
        <f>SUM(D79/C79*100)</f>
        <v>98.32952723611263</v>
      </c>
      <c r="F79" s="38">
        <f t="shared" si="4"/>
        <v>-9.353560000000016</v>
      </c>
    </row>
    <row r="80" spans="1:6" s="6" customFormat="1" ht="15.75">
      <c r="A80" s="30" t="s">
        <v>86</v>
      </c>
      <c r="B80" s="31" t="s">
        <v>87</v>
      </c>
      <c r="C80" s="32">
        <f>C81</f>
        <v>3353.8</v>
      </c>
      <c r="D80" s="32">
        <f>D81</f>
        <v>3161.45636</v>
      </c>
      <c r="E80" s="34">
        <f t="shared" si="3"/>
        <v>94.26490428767367</v>
      </c>
      <c r="F80" s="34">
        <f t="shared" si="4"/>
        <v>-192.34364000000005</v>
      </c>
    </row>
    <row r="81" spans="1:6" ht="15" customHeight="1">
      <c r="A81" s="35" t="s">
        <v>88</v>
      </c>
      <c r="B81" s="39" t="s">
        <v>236</v>
      </c>
      <c r="C81" s="37">
        <v>3353.8</v>
      </c>
      <c r="D81" s="37">
        <v>3161.45636</v>
      </c>
      <c r="E81" s="38">
        <f t="shared" si="3"/>
        <v>94.26490428767367</v>
      </c>
      <c r="F81" s="38">
        <f t="shared" si="4"/>
        <v>-192.34364000000005</v>
      </c>
    </row>
    <row r="82" spans="1:6" s="6" customFormat="1" ht="0.75" customHeight="1" hidden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5" customHeight="1" hidden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5.75" customHeight="1" hidden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5.75" customHeight="1" hidden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customHeight="1" hidden="1">
      <c r="A86" s="35" t="s">
        <v>93</v>
      </c>
      <c r="B86" s="39" t="s">
        <v>94</v>
      </c>
      <c r="C86" s="37"/>
      <c r="D86" s="37"/>
      <c r="E86" s="38"/>
      <c r="F86" s="38">
        <f t="shared" si="4"/>
        <v>0</v>
      </c>
    </row>
    <row r="87" spans="1:6" ht="15.75">
      <c r="A87" s="30" t="s">
        <v>95</v>
      </c>
      <c r="B87" s="31" t="s">
        <v>96</v>
      </c>
      <c r="C87" s="32">
        <f>C88+C89+C90+C91+C92</f>
        <v>0</v>
      </c>
      <c r="D87" s="32">
        <f>D88+D89+D90+D91+D92</f>
        <v>0</v>
      </c>
      <c r="E87" s="38" t="e">
        <f t="shared" si="3"/>
        <v>#DIV/0!</v>
      </c>
      <c r="F87" s="22">
        <f>F88+F89+F90+F91+F92</f>
        <v>0</v>
      </c>
    </row>
    <row r="88" spans="1:6" ht="15" customHeight="1">
      <c r="A88" s="35" t="s">
        <v>97</v>
      </c>
      <c r="B88" s="39" t="s">
        <v>98</v>
      </c>
      <c r="C88" s="37">
        <v>0</v>
      </c>
      <c r="D88" s="37">
        <v>0</v>
      </c>
      <c r="E88" s="38" t="e">
        <f t="shared" si="3"/>
        <v>#DIV/0!</v>
      </c>
      <c r="F88" s="38">
        <f>SUM(D88-C88)</f>
        <v>0</v>
      </c>
    </row>
    <row r="89" spans="1:6" ht="15.75" customHeight="1" hidden="1">
      <c r="A89" s="35" t="s">
        <v>99</v>
      </c>
      <c r="B89" s="39" t="s">
        <v>100</v>
      </c>
      <c r="C89" s="37"/>
      <c r="D89" s="138"/>
      <c r="E89" s="38" t="e">
        <f t="shared" si="3"/>
        <v>#DIV/0!</v>
      </c>
      <c r="F89" s="38">
        <f>SUM(D89-C89)</f>
        <v>0</v>
      </c>
    </row>
    <row r="90" spans="1:6" ht="15.75" customHeight="1" hidden="1">
      <c r="A90" s="35" t="s">
        <v>101</v>
      </c>
      <c r="B90" s="39" t="s">
        <v>102</v>
      </c>
      <c r="C90" s="37"/>
      <c r="D90" s="138"/>
      <c r="E90" s="38" t="e">
        <f t="shared" si="3"/>
        <v>#DIV/0!</v>
      </c>
      <c r="F90" s="38"/>
    </row>
    <row r="91" spans="1:6" ht="15.75" customHeight="1" hidden="1">
      <c r="A91" s="35" t="s">
        <v>103</v>
      </c>
      <c r="B91" s="39" t="s">
        <v>104</v>
      </c>
      <c r="C91" s="37"/>
      <c r="D91" s="138"/>
      <c r="E91" s="38" t="e">
        <f t="shared" si="3"/>
        <v>#DIV/0!</v>
      </c>
      <c r="F91" s="38"/>
    </row>
    <row r="92" spans="1:6" ht="15.75" customHeight="1" hidden="1">
      <c r="A92" s="35" t="s">
        <v>105</v>
      </c>
      <c r="B92" s="39" t="s">
        <v>106</v>
      </c>
      <c r="C92" s="37"/>
      <c r="D92" s="138"/>
      <c r="E92" s="38" t="e">
        <f t="shared" si="3"/>
        <v>#DIV/0!</v>
      </c>
      <c r="F92" s="38"/>
    </row>
    <row r="93" spans="1:6" s="6" customFormat="1" ht="15.75" customHeight="1" hidden="1">
      <c r="A93" s="52">
        <v>1400</v>
      </c>
      <c r="B93" s="56" t="s">
        <v>115</v>
      </c>
      <c r="C93" s="48">
        <f>C94+C95+C96</f>
        <v>0</v>
      </c>
      <c r="D93" s="22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57.75" customHeight="1" hidden="1">
      <c r="A94" s="53">
        <v>1401</v>
      </c>
      <c r="B94" s="54" t="s">
        <v>116</v>
      </c>
      <c r="C94" s="49"/>
      <c r="D94" s="247"/>
      <c r="E94" s="38" t="e">
        <f t="shared" si="3"/>
        <v>#DIV/0!</v>
      </c>
      <c r="F94" s="38">
        <f t="shared" si="4"/>
        <v>0</v>
      </c>
    </row>
    <row r="95" spans="1:6" ht="15.75" customHeight="1" hidden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8" s="6" customFormat="1" ht="20.25" customHeight="1">
      <c r="A97" s="52"/>
      <c r="B97" s="57" t="s">
        <v>119</v>
      </c>
      <c r="C97" s="33">
        <f>C56+C64+C66+C71+C76+C80+C82+C87+C93</f>
        <v>9527.375059999998</v>
      </c>
      <c r="D97" s="33">
        <f>D56+D64+D66+D71+D76+D80+D82+D87+D93</f>
        <v>8834.84315</v>
      </c>
      <c r="E97" s="34">
        <f t="shared" si="3"/>
        <v>92.73113627165216</v>
      </c>
      <c r="F97" s="34">
        <f t="shared" si="4"/>
        <v>-692.5319099999979</v>
      </c>
      <c r="H97" s="154"/>
    </row>
    <row r="98" spans="3:4" ht="13.5" customHeight="1">
      <c r="C98" s="118"/>
      <c r="D98" s="61"/>
    </row>
    <row r="99" spans="1:4" s="65" customFormat="1" ht="12.75">
      <c r="A99" s="63" t="s">
        <v>120</v>
      </c>
      <c r="B99" s="63"/>
      <c r="C99" s="135"/>
      <c r="D99" s="135"/>
    </row>
    <row r="100" spans="1:3" s="65" customFormat="1" ht="12.75">
      <c r="A100" s="66" t="s">
        <v>121</v>
      </c>
      <c r="B100" s="66"/>
      <c r="C100" s="120" t="s">
        <v>122</v>
      </c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70" zoomScaleSheetLayoutView="70" zoomScalePageLayoutView="0" workbookViewId="0" topLeftCell="A1">
      <selection activeCell="B145" sqref="B145"/>
    </sheetView>
  </sheetViews>
  <sheetFormatPr defaultColWidth="9.140625" defaultRowHeight="12.75"/>
  <cols>
    <col min="1" max="1" width="14.7109375" style="58" customWidth="1"/>
    <col min="2" max="2" width="58.8515625" style="59" customWidth="1"/>
    <col min="3" max="3" width="19.421875" style="62" customWidth="1"/>
    <col min="4" max="4" width="17.00390625" style="62" customWidth="1"/>
    <col min="5" max="5" width="10.8515625" style="62" customWidth="1"/>
    <col min="6" max="6" width="13.7109375" style="62" customWidth="1"/>
    <col min="7" max="7" width="15.421875" style="1" bestFit="1" customWidth="1"/>
    <col min="8" max="16384" width="9.140625" style="1" customWidth="1"/>
  </cols>
  <sheetData>
    <row r="1" spans="1:6" ht="19.5" customHeight="1">
      <c r="A1" s="470" t="s">
        <v>362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4.5" customHeight="1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1614.08</v>
      </c>
      <c r="D4" s="5">
        <f>D5+D12+D14+D17+D7</f>
        <v>1553.3915799999997</v>
      </c>
      <c r="E4" s="5">
        <f>SUM(D4/C4*100)</f>
        <v>96.2400612113402</v>
      </c>
      <c r="F4" s="5">
        <f>SUM(D4-C4)</f>
        <v>-60.68842000000018</v>
      </c>
    </row>
    <row r="5" spans="1:6" s="6" customFormat="1" ht="15.75">
      <c r="A5" s="3">
        <v>1010000000</v>
      </c>
      <c r="B5" s="4" t="s">
        <v>6</v>
      </c>
      <c r="C5" s="5">
        <f>C6</f>
        <v>90.32</v>
      </c>
      <c r="D5" s="5">
        <f>D6</f>
        <v>91.37337</v>
      </c>
      <c r="E5" s="5">
        <f aca="true" t="shared" si="0" ref="E5:E48">SUM(D5/C5*100)</f>
        <v>101.16626439326839</v>
      </c>
      <c r="F5" s="5">
        <f aca="true" t="shared" si="1" ref="F5:F48">SUM(D5-C5)</f>
        <v>1.053370000000001</v>
      </c>
    </row>
    <row r="6" spans="1:6" ht="15.75">
      <c r="A6" s="7">
        <v>1010200001</v>
      </c>
      <c r="B6" s="8" t="s">
        <v>231</v>
      </c>
      <c r="C6" s="9">
        <v>90.32</v>
      </c>
      <c r="D6" s="10">
        <v>91.37337</v>
      </c>
      <c r="E6" s="9">
        <f aca="true" t="shared" si="2" ref="E6:E11">SUM(D6/C6*100)</f>
        <v>101.16626439326839</v>
      </c>
      <c r="F6" s="9">
        <f t="shared" si="1"/>
        <v>1.053370000000001</v>
      </c>
    </row>
    <row r="7" spans="1:6" ht="31.5">
      <c r="A7" s="3">
        <v>1030000000</v>
      </c>
      <c r="B7" s="13" t="s">
        <v>285</v>
      </c>
      <c r="C7" s="5">
        <f>C8+C10+C9</f>
        <v>383.76000000000005</v>
      </c>
      <c r="D7" s="5">
        <f>D8+D10+D9+D11</f>
        <v>408.02597</v>
      </c>
      <c r="E7" s="5">
        <f t="shared" si="2"/>
        <v>106.32321503022722</v>
      </c>
      <c r="F7" s="5">
        <f t="shared" si="1"/>
        <v>24.265969999999925</v>
      </c>
    </row>
    <row r="8" spans="1:6" ht="15.75">
      <c r="A8" s="7">
        <v>1030223001</v>
      </c>
      <c r="B8" s="8" t="s">
        <v>287</v>
      </c>
      <c r="C8" s="9">
        <v>124.72</v>
      </c>
      <c r="D8" s="10">
        <v>167.65759</v>
      </c>
      <c r="E8" s="9">
        <f t="shared" si="2"/>
        <v>134.42718890314305</v>
      </c>
      <c r="F8" s="9">
        <f t="shared" si="1"/>
        <v>42.93759</v>
      </c>
    </row>
    <row r="9" spans="1:6" ht="15.75">
      <c r="A9" s="7">
        <v>1030224001</v>
      </c>
      <c r="B9" s="8" t="s">
        <v>293</v>
      </c>
      <c r="C9" s="9">
        <v>1.54</v>
      </c>
      <c r="D9" s="10">
        <v>1.70201</v>
      </c>
      <c r="E9" s="9">
        <f t="shared" si="2"/>
        <v>110.52012987012986</v>
      </c>
      <c r="F9" s="9">
        <f t="shared" si="1"/>
        <v>0.16201</v>
      </c>
    </row>
    <row r="10" spans="1:6" ht="15.75">
      <c r="A10" s="7">
        <v>1030225001</v>
      </c>
      <c r="B10" s="8" t="s">
        <v>286</v>
      </c>
      <c r="C10" s="9">
        <v>257.5</v>
      </c>
      <c r="D10" s="10">
        <v>271.13762</v>
      </c>
      <c r="E10" s="9">
        <f t="shared" si="2"/>
        <v>105.29616310679613</v>
      </c>
      <c r="F10" s="9">
        <f t="shared" si="1"/>
        <v>13.637620000000027</v>
      </c>
    </row>
    <row r="11" spans="1:6" ht="15.75">
      <c r="A11" s="7">
        <v>1030226001</v>
      </c>
      <c r="B11" s="8" t="s">
        <v>295</v>
      </c>
      <c r="C11" s="9">
        <v>0</v>
      </c>
      <c r="D11" s="10">
        <v>-32.47125</v>
      </c>
      <c r="E11" s="9" t="e">
        <f t="shared" si="2"/>
        <v>#DIV/0!</v>
      </c>
      <c r="F11" s="9">
        <f t="shared" si="1"/>
        <v>-32.47125</v>
      </c>
    </row>
    <row r="12" spans="1:6" s="6" customFormat="1" ht="15.75">
      <c r="A12" s="3">
        <v>1050000000</v>
      </c>
      <c r="B12" s="4" t="s">
        <v>7</v>
      </c>
      <c r="C12" s="5">
        <f>SUM(C13:C13)</f>
        <v>10</v>
      </c>
      <c r="D12" s="5">
        <f>SUM(D13:D13)</f>
        <v>0.1011</v>
      </c>
      <c r="E12" s="5">
        <f t="shared" si="0"/>
        <v>1.011</v>
      </c>
      <c r="F12" s="5">
        <f t="shared" si="1"/>
        <v>-9.8989</v>
      </c>
    </row>
    <row r="13" spans="1:6" ht="15.75" customHeight="1">
      <c r="A13" s="7">
        <v>1050300000</v>
      </c>
      <c r="B13" s="11" t="s">
        <v>232</v>
      </c>
      <c r="C13" s="12">
        <v>10</v>
      </c>
      <c r="D13" s="10">
        <v>0.1011</v>
      </c>
      <c r="E13" s="9">
        <f t="shared" si="0"/>
        <v>1.011</v>
      </c>
      <c r="F13" s="9">
        <f t="shared" si="1"/>
        <v>-9.8989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1120</v>
      </c>
      <c r="D14" s="5">
        <f>D15+D16</f>
        <v>1045.26614</v>
      </c>
      <c r="E14" s="5">
        <f t="shared" si="0"/>
        <v>93.32733392857142</v>
      </c>
      <c r="F14" s="5">
        <f t="shared" si="1"/>
        <v>-74.73386000000005</v>
      </c>
    </row>
    <row r="15" spans="1:6" s="6" customFormat="1" ht="15.75" customHeight="1">
      <c r="A15" s="7">
        <v>1060100000</v>
      </c>
      <c r="B15" s="11" t="s">
        <v>9</v>
      </c>
      <c r="C15" s="9">
        <v>150</v>
      </c>
      <c r="D15" s="10">
        <v>58.22739</v>
      </c>
      <c r="E15" s="9">
        <f t="shared" si="0"/>
        <v>38.81826</v>
      </c>
      <c r="F15" s="9">
        <f>SUM(D15-C15)</f>
        <v>-91.77261</v>
      </c>
    </row>
    <row r="16" spans="1:6" ht="15.75" customHeight="1">
      <c r="A16" s="7">
        <v>1060600000</v>
      </c>
      <c r="B16" s="11" t="s">
        <v>8</v>
      </c>
      <c r="C16" s="9">
        <v>970</v>
      </c>
      <c r="D16" s="10">
        <v>987.03875</v>
      </c>
      <c r="E16" s="9">
        <f t="shared" si="0"/>
        <v>101.75657216494847</v>
      </c>
      <c r="F16" s="9">
        <f t="shared" si="1"/>
        <v>17.03875000000005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8.625</v>
      </c>
      <c r="E17" s="5">
        <f t="shared" si="0"/>
        <v>86.25</v>
      </c>
      <c r="F17" s="5">
        <f t="shared" si="1"/>
        <v>-1.375</v>
      </c>
    </row>
    <row r="18" spans="1:6" ht="15.75">
      <c r="A18" s="7">
        <v>1080400001</v>
      </c>
      <c r="B18" s="8" t="s">
        <v>230</v>
      </c>
      <c r="C18" s="9">
        <v>10</v>
      </c>
      <c r="D18" s="10">
        <v>8.625</v>
      </c>
      <c r="E18" s="9">
        <f t="shared" si="0"/>
        <v>86.25</v>
      </c>
      <c r="F18" s="9">
        <f t="shared" si="1"/>
        <v>-1.375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235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250</v>
      </c>
      <c r="D25" s="5">
        <f>D26+D29+D31+D34</f>
        <v>239.78756</v>
      </c>
      <c r="E25" s="5">
        <f t="shared" si="0"/>
        <v>95.915024</v>
      </c>
      <c r="F25" s="5">
        <f t="shared" si="1"/>
        <v>-10.212439999999987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250</v>
      </c>
      <c r="D26" s="5">
        <f>D27+D28+D30</f>
        <v>239.78756</v>
      </c>
      <c r="E26" s="5">
        <f t="shared" si="0"/>
        <v>95.915024</v>
      </c>
      <c r="F26" s="5">
        <f t="shared" si="1"/>
        <v>-10.212439999999987</v>
      </c>
    </row>
    <row r="27" spans="1:6" ht="18" customHeight="1">
      <c r="A27" s="16">
        <v>1110501101</v>
      </c>
      <c r="B27" s="17" t="s">
        <v>228</v>
      </c>
      <c r="C27" s="12">
        <v>250</v>
      </c>
      <c r="D27" s="10">
        <v>239.78756</v>
      </c>
      <c r="E27" s="5">
        <f t="shared" si="0"/>
        <v>95.915024</v>
      </c>
      <c r="F27" s="9">
        <f t="shared" si="1"/>
        <v>-10.212439999999987</v>
      </c>
    </row>
    <row r="28" spans="1:6" ht="24" customHeight="1">
      <c r="A28" s="7">
        <v>1110503505</v>
      </c>
      <c r="B28" s="11" t="s">
        <v>227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41.25" customHeight="1" hidden="1">
      <c r="A29" s="3">
        <v>1130000000</v>
      </c>
      <c r="B29" s="13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4" customHeight="1" hidden="1">
      <c r="A30" s="7">
        <v>1130305005</v>
      </c>
      <c r="B30" s="8" t="s">
        <v>226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110">
        <v>1140000000</v>
      </c>
      <c r="B31" s="11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.75" customHeight="1" hidden="1">
      <c r="A32" s="16">
        <v>1140200000</v>
      </c>
      <c r="B32" s="18" t="s">
        <v>224</v>
      </c>
      <c r="C32" s="9"/>
      <c r="D32" s="10">
        <v>0</v>
      </c>
      <c r="E32" s="9" t="e">
        <f t="shared" si="0"/>
        <v>#DIV/0!</v>
      </c>
      <c r="F32" s="9">
        <f t="shared" si="1"/>
        <v>0</v>
      </c>
    </row>
    <row r="33" spans="1:6" ht="15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6" ht="17.2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6" ht="15.75" customHeight="1">
      <c r="A36" s="7">
        <v>1170505005</v>
      </c>
      <c r="B36" s="11" t="s">
        <v>223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5" customHeight="1">
      <c r="A37" s="3">
        <v>1000000000</v>
      </c>
      <c r="B37" s="4" t="s">
        <v>19</v>
      </c>
      <c r="C37" s="128">
        <f>SUM(C4,C25)</f>
        <v>1864.08</v>
      </c>
      <c r="D37" s="128">
        <f>D4+D25</f>
        <v>1793.1791399999997</v>
      </c>
      <c r="E37" s="5">
        <f t="shared" si="0"/>
        <v>96.1964690356637</v>
      </c>
      <c r="F37" s="5">
        <f t="shared" si="1"/>
        <v>-70.9008600000002</v>
      </c>
    </row>
    <row r="38" spans="1:7" s="6" customFormat="1" ht="15.75">
      <c r="A38" s="3">
        <v>2000000000</v>
      </c>
      <c r="B38" s="4" t="s">
        <v>20</v>
      </c>
      <c r="C38" s="316">
        <f>C39+C41+C42+C44+C45+C46+C40</f>
        <v>2657.61182</v>
      </c>
      <c r="D38" s="316">
        <f>D39+D41+D42+D44+D45+D46+D40</f>
        <v>2657.61182</v>
      </c>
      <c r="E38" s="5">
        <f t="shared" si="0"/>
        <v>100</v>
      </c>
      <c r="F38" s="5">
        <f t="shared" si="1"/>
        <v>0</v>
      </c>
      <c r="G38" s="19"/>
    </row>
    <row r="39" spans="1:6" ht="15.75">
      <c r="A39" s="16"/>
      <c r="B39" s="17" t="s">
        <v>21</v>
      </c>
      <c r="C39" s="12">
        <v>861.33</v>
      </c>
      <c r="D39" s="20">
        <v>861.33</v>
      </c>
      <c r="E39" s="9">
        <f t="shared" si="0"/>
        <v>100</v>
      </c>
      <c r="F39" s="9">
        <f t="shared" si="1"/>
        <v>0</v>
      </c>
    </row>
    <row r="40" spans="1:6" ht="15.75" customHeight="1">
      <c r="A40" s="16">
        <v>2020100310</v>
      </c>
      <c r="B40" s="17" t="s">
        <v>234</v>
      </c>
      <c r="C40" s="12">
        <v>350</v>
      </c>
      <c r="D40" s="20">
        <v>350</v>
      </c>
      <c r="E40" s="9">
        <f t="shared" si="0"/>
        <v>100</v>
      </c>
      <c r="F40" s="9">
        <f t="shared" si="1"/>
        <v>0</v>
      </c>
    </row>
    <row r="41" spans="1:6" ht="15.75">
      <c r="A41" s="16">
        <v>2020200000</v>
      </c>
      <c r="B41" s="17" t="s">
        <v>22</v>
      </c>
      <c r="C41" s="12">
        <v>448.59</v>
      </c>
      <c r="D41" s="10">
        <v>448.59</v>
      </c>
      <c r="E41" s="9">
        <f t="shared" si="0"/>
        <v>100</v>
      </c>
      <c r="F41" s="9">
        <f t="shared" si="1"/>
        <v>0</v>
      </c>
    </row>
    <row r="42" spans="1:6" ht="15" customHeight="1">
      <c r="A42" s="16">
        <v>2020300000</v>
      </c>
      <c r="B42" s="17" t="s">
        <v>23</v>
      </c>
      <c r="C42" s="12">
        <v>72.69182</v>
      </c>
      <c r="D42" s="258">
        <v>72.69182</v>
      </c>
      <c r="E42" s="9">
        <f t="shared" si="0"/>
        <v>100</v>
      </c>
      <c r="F42" s="9">
        <f t="shared" si="1"/>
        <v>0</v>
      </c>
    </row>
    <row r="43" spans="1:6" ht="15" customHeight="1" hidden="1">
      <c r="A43" s="16">
        <v>2070503010</v>
      </c>
      <c r="B43" s="17" t="s">
        <v>273</v>
      </c>
      <c r="C43" s="12">
        <v>0</v>
      </c>
      <c r="D43" s="258"/>
      <c r="E43" s="9" t="e">
        <f t="shared" si="0"/>
        <v>#DIV/0!</v>
      </c>
      <c r="F43" s="9">
        <f t="shared" si="1"/>
        <v>0</v>
      </c>
    </row>
    <row r="44" spans="1:6" ht="15" customHeight="1">
      <c r="A44" s="16">
        <v>2020400000</v>
      </c>
      <c r="B44" s="17" t="s">
        <v>24</v>
      </c>
      <c r="C44" s="12">
        <v>925</v>
      </c>
      <c r="D44" s="259">
        <v>925</v>
      </c>
      <c r="E44" s="9">
        <f t="shared" si="0"/>
        <v>100</v>
      </c>
      <c r="F44" s="9">
        <f t="shared" si="1"/>
        <v>0</v>
      </c>
    </row>
    <row r="45" spans="1:6" ht="2.25" customHeight="1" hidden="1">
      <c r="A45" s="16">
        <v>2020900000</v>
      </c>
      <c r="B45" s="18" t="s">
        <v>25</v>
      </c>
      <c r="C45" s="12"/>
      <c r="D45" s="259"/>
      <c r="E45" s="9" t="e">
        <f t="shared" si="0"/>
        <v>#DIV/0!</v>
      </c>
      <c r="F45" s="9">
        <f t="shared" si="1"/>
        <v>0</v>
      </c>
    </row>
    <row r="46" spans="1:6" ht="17.25" customHeight="1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6" s="6" customFormat="1" ht="17.25" customHeight="1" hidden="1">
      <c r="A47" s="3">
        <v>3000000000</v>
      </c>
      <c r="B47" s="13" t="s">
        <v>27</v>
      </c>
      <c r="C47" s="295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6" s="6" customFormat="1" ht="15" customHeight="1">
      <c r="A48" s="3"/>
      <c r="B48" s="4" t="s">
        <v>28</v>
      </c>
      <c r="C48" s="5">
        <f>SUM(C37,C38,C47)</f>
        <v>4521.69182</v>
      </c>
      <c r="D48" s="296">
        <f>D37+D38</f>
        <v>4450.79096</v>
      </c>
      <c r="E48" s="5">
        <f t="shared" si="0"/>
        <v>98.43198380556595</v>
      </c>
      <c r="F48" s="5">
        <f t="shared" si="1"/>
        <v>-70.90085999999974</v>
      </c>
    </row>
    <row r="49" spans="1:6" s="6" customFormat="1" ht="15.75">
      <c r="A49" s="3"/>
      <c r="B49" s="21" t="s">
        <v>326</v>
      </c>
      <c r="C49" s="5">
        <f>C48-C94</f>
        <v>-463.34720000000016</v>
      </c>
      <c r="D49" s="5">
        <f>D48-D94</f>
        <v>-444.2647799999995</v>
      </c>
      <c r="E49" s="22"/>
      <c r="F49" s="22"/>
    </row>
    <row r="50" spans="1:6" ht="23.25" customHeight="1">
      <c r="A50" s="23"/>
      <c r="B50" s="24"/>
      <c r="C50" s="25"/>
      <c r="D50" s="25"/>
      <c r="E50" s="26"/>
      <c r="F50" s="27"/>
    </row>
    <row r="51" spans="1:6" ht="63">
      <c r="A51" s="28" t="s">
        <v>1</v>
      </c>
      <c r="B51" s="28" t="s">
        <v>29</v>
      </c>
      <c r="C51" s="72" t="s">
        <v>340</v>
      </c>
      <c r="D51" s="73" t="s">
        <v>353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 ht="15.75">
      <c r="A53" s="30" t="s">
        <v>30</v>
      </c>
      <c r="B53" s="31" t="s">
        <v>31</v>
      </c>
      <c r="C53" s="32">
        <f>C54+C55+C56+C57+C58+C60+C59</f>
        <v>1112.082</v>
      </c>
      <c r="D53" s="32">
        <f>D54+D55+D56+D57+D58+D60+D59</f>
        <v>1105.22783</v>
      </c>
      <c r="E53" s="34">
        <f>SUM(D53/C53*100)</f>
        <v>99.38366325504774</v>
      </c>
      <c r="F53" s="34">
        <f>SUM(D53-C53)</f>
        <v>-6.854170000000067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15" customHeight="1">
      <c r="A55" s="35" t="s">
        <v>34</v>
      </c>
      <c r="B55" s="39" t="s">
        <v>35</v>
      </c>
      <c r="C55" s="37">
        <v>1087.468</v>
      </c>
      <c r="D55" s="37">
        <v>1082.61383</v>
      </c>
      <c r="E55" s="38">
        <f aca="true" t="shared" si="3" ref="E55:E94">SUM(D55/C55*100)</f>
        <v>99.55362640555859</v>
      </c>
      <c r="F55" s="38">
        <f aca="true" t="shared" si="4" ref="F55:F94">SUM(D55-C55)</f>
        <v>-4.854170000000067</v>
      </c>
    </row>
    <row r="56" spans="1:6" ht="16.5" customHeight="1" hidden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customHeight="1" hidden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5" customHeight="1">
      <c r="A58" s="35" t="s">
        <v>40</v>
      </c>
      <c r="B58" s="39" t="s">
        <v>41</v>
      </c>
      <c r="C58" s="37">
        <v>19.4</v>
      </c>
      <c r="D58" s="37">
        <v>19.4</v>
      </c>
      <c r="E58" s="38">
        <f t="shared" si="3"/>
        <v>100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2</v>
      </c>
      <c r="D59" s="40">
        <v>0</v>
      </c>
      <c r="E59" s="38">
        <f t="shared" si="3"/>
        <v>0</v>
      </c>
      <c r="F59" s="38">
        <f t="shared" si="4"/>
        <v>-2</v>
      </c>
    </row>
    <row r="60" spans="1:6" ht="15.75" customHeight="1">
      <c r="A60" s="35" t="s">
        <v>44</v>
      </c>
      <c r="B60" s="39" t="s">
        <v>45</v>
      </c>
      <c r="C60" s="37">
        <v>3.214</v>
      </c>
      <c r="D60" s="37">
        <v>3.214</v>
      </c>
      <c r="E60" s="38">
        <f t="shared" si="3"/>
        <v>100</v>
      </c>
      <c r="F60" s="38">
        <f t="shared" si="4"/>
        <v>0</v>
      </c>
    </row>
    <row r="61" spans="1:6" s="6" customFormat="1" ht="15.75">
      <c r="A61" s="41" t="s">
        <v>46</v>
      </c>
      <c r="B61" s="42" t="s">
        <v>47</v>
      </c>
      <c r="C61" s="32">
        <f>C62</f>
        <v>71.89402</v>
      </c>
      <c r="D61" s="32">
        <f>D62</f>
        <v>71.89402</v>
      </c>
      <c r="E61" s="34">
        <f t="shared" si="3"/>
        <v>100</v>
      </c>
      <c r="F61" s="34">
        <f t="shared" si="4"/>
        <v>0</v>
      </c>
    </row>
    <row r="62" spans="1:6" ht="15.75">
      <c r="A62" s="43" t="s">
        <v>48</v>
      </c>
      <c r="B62" s="44" t="s">
        <v>49</v>
      </c>
      <c r="C62" s="37">
        <v>71.89402</v>
      </c>
      <c r="D62" s="37">
        <v>71.89402</v>
      </c>
      <c r="E62" s="38">
        <f t="shared" si="3"/>
        <v>100</v>
      </c>
      <c r="F62" s="38">
        <f t="shared" si="4"/>
        <v>0</v>
      </c>
    </row>
    <row r="63" spans="1:6" s="6" customFormat="1" ht="16.5" customHeight="1">
      <c r="A63" s="30" t="s">
        <v>50</v>
      </c>
      <c r="B63" s="31" t="s">
        <v>51</v>
      </c>
      <c r="C63" s="32">
        <f>C67+C66</f>
        <v>26.623</v>
      </c>
      <c r="D63" s="32">
        <f>D67+D66</f>
        <v>26.623</v>
      </c>
      <c r="E63" s="34">
        <f t="shared" si="3"/>
        <v>100</v>
      </c>
      <c r="F63" s="34">
        <f t="shared" si="4"/>
        <v>0</v>
      </c>
    </row>
    <row r="64" spans="1:6" ht="15.75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6" ht="15.75" hidden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6" ht="18" customHeight="1">
      <c r="A66" s="46" t="s">
        <v>56</v>
      </c>
      <c r="B66" s="47" t="s">
        <v>57</v>
      </c>
      <c r="C66" s="96">
        <v>7.623</v>
      </c>
      <c r="D66" s="37">
        <v>7.623</v>
      </c>
      <c r="E66" s="34">
        <f t="shared" si="3"/>
        <v>100</v>
      </c>
      <c r="F66" s="34">
        <f t="shared" si="4"/>
        <v>0</v>
      </c>
    </row>
    <row r="67" spans="1:6" ht="15.75" customHeight="1">
      <c r="A67" s="46" t="s">
        <v>221</v>
      </c>
      <c r="B67" s="47" t="s">
        <v>222</v>
      </c>
      <c r="C67" s="37">
        <v>19</v>
      </c>
      <c r="D67" s="37">
        <v>19</v>
      </c>
      <c r="E67" s="34">
        <f t="shared" si="3"/>
        <v>100</v>
      </c>
      <c r="F67" s="34">
        <f t="shared" si="4"/>
        <v>0</v>
      </c>
    </row>
    <row r="68" spans="1:6" s="6" customFormat="1" ht="15.75">
      <c r="A68" s="30" t="s">
        <v>58</v>
      </c>
      <c r="B68" s="31" t="s">
        <v>59</v>
      </c>
      <c r="C68" s="48">
        <f>SUM(C69:C72)</f>
        <v>2123.362</v>
      </c>
      <c r="D68" s="48">
        <f>SUM(D69:D72)</f>
        <v>2078.362</v>
      </c>
      <c r="E68" s="34">
        <f t="shared" si="3"/>
        <v>97.88071934978586</v>
      </c>
      <c r="F68" s="34">
        <f t="shared" si="4"/>
        <v>-45</v>
      </c>
    </row>
    <row r="69" spans="1:6" ht="15" customHeight="1">
      <c r="A69" s="35" t="s">
        <v>60</v>
      </c>
      <c r="B69" s="39" t="s">
        <v>61</v>
      </c>
      <c r="C69" s="49">
        <v>3.75</v>
      </c>
      <c r="D69" s="37">
        <v>3.75</v>
      </c>
      <c r="E69" s="38">
        <f t="shared" si="3"/>
        <v>100</v>
      </c>
      <c r="F69" s="38">
        <f t="shared" si="4"/>
        <v>0</v>
      </c>
    </row>
    <row r="70" spans="1:7" s="6" customFormat="1" ht="18" customHeight="1">
      <c r="A70" s="35" t="s">
        <v>62</v>
      </c>
      <c r="B70" s="39" t="s">
        <v>63</v>
      </c>
      <c r="C70" s="49">
        <v>0</v>
      </c>
      <c r="D70" s="37">
        <v>0</v>
      </c>
      <c r="E70" s="38" t="e">
        <f t="shared" si="3"/>
        <v>#DIV/0!</v>
      </c>
      <c r="F70" s="38">
        <f t="shared" si="4"/>
        <v>0</v>
      </c>
      <c r="G70" s="50"/>
    </row>
    <row r="71" spans="1:6" ht="15.75">
      <c r="A71" s="35" t="s">
        <v>64</v>
      </c>
      <c r="B71" s="39" t="s">
        <v>65</v>
      </c>
      <c r="C71" s="49">
        <f>925+865.508</f>
        <v>1790.508</v>
      </c>
      <c r="D71" s="37">
        <v>1765.508</v>
      </c>
      <c r="E71" s="38">
        <f t="shared" si="3"/>
        <v>98.60374821000521</v>
      </c>
      <c r="F71" s="38">
        <f t="shared" si="4"/>
        <v>-25</v>
      </c>
    </row>
    <row r="72" spans="1:6" ht="15.75">
      <c r="A72" s="35" t="s">
        <v>66</v>
      </c>
      <c r="B72" s="39" t="s">
        <v>67</v>
      </c>
      <c r="C72" s="49">
        <f>92.504+236.6</f>
        <v>329.104</v>
      </c>
      <c r="D72" s="37">
        <v>309.104</v>
      </c>
      <c r="E72" s="38">
        <f t="shared" si="3"/>
        <v>93.92289367494774</v>
      </c>
      <c r="F72" s="38">
        <f t="shared" si="4"/>
        <v>-20</v>
      </c>
    </row>
    <row r="73" spans="1:6" s="6" customFormat="1" ht="16.5" customHeight="1">
      <c r="A73" s="30" t="s">
        <v>68</v>
      </c>
      <c r="B73" s="31" t="s">
        <v>69</v>
      </c>
      <c r="C73" s="32">
        <f>SUM(C74:C76)</f>
        <v>418.278</v>
      </c>
      <c r="D73" s="32">
        <f>SUM(D75:D76)</f>
        <v>409.1437</v>
      </c>
      <c r="E73" s="34">
        <f t="shared" si="3"/>
        <v>97.8162131405429</v>
      </c>
      <c r="F73" s="34">
        <f t="shared" si="4"/>
        <v>-9.134299999999996</v>
      </c>
    </row>
    <row r="74" spans="1:6" ht="15.75" hidden="1">
      <c r="A74" s="35" t="s">
        <v>70</v>
      </c>
      <c r="B74" s="51" t="s">
        <v>71</v>
      </c>
      <c r="C74" s="37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6" ht="17.25" customHeight="1" hidden="1">
      <c r="A75" s="35" t="s">
        <v>72</v>
      </c>
      <c r="B75" s="51" t="s">
        <v>73</v>
      </c>
      <c r="C75" s="37"/>
      <c r="D75" s="37"/>
      <c r="E75" s="38" t="e">
        <f t="shared" si="3"/>
        <v>#DIV/0!</v>
      </c>
      <c r="F75" s="38">
        <f t="shared" si="4"/>
        <v>0</v>
      </c>
    </row>
    <row r="76" spans="1:6" ht="15.75">
      <c r="A76" s="35" t="s">
        <v>74</v>
      </c>
      <c r="B76" s="39" t="s">
        <v>75</v>
      </c>
      <c r="C76" s="37">
        <f>124.985+145.496+147.797</f>
        <v>418.278</v>
      </c>
      <c r="D76" s="37">
        <v>409.1437</v>
      </c>
      <c r="E76" s="38">
        <f>SUM(D76/C76*100)</f>
        <v>97.8162131405429</v>
      </c>
      <c r="F76" s="38">
        <f t="shared" si="4"/>
        <v>-9.134299999999996</v>
      </c>
    </row>
    <row r="77" spans="1:6" s="6" customFormat="1" ht="15.75">
      <c r="A77" s="30" t="s">
        <v>86</v>
      </c>
      <c r="B77" s="31" t="s">
        <v>87</v>
      </c>
      <c r="C77" s="32">
        <f>C78</f>
        <v>1227.8</v>
      </c>
      <c r="D77" s="32">
        <f>SUM(D78)</f>
        <v>1198.80519</v>
      </c>
      <c r="E77" s="34">
        <f t="shared" si="3"/>
        <v>97.63847450724874</v>
      </c>
      <c r="F77" s="34">
        <f t="shared" si="4"/>
        <v>-28.994809999999916</v>
      </c>
    </row>
    <row r="78" spans="1:6" ht="17.25" customHeight="1">
      <c r="A78" s="35" t="s">
        <v>88</v>
      </c>
      <c r="B78" s="39" t="s">
        <v>236</v>
      </c>
      <c r="C78" s="37">
        <v>1227.8</v>
      </c>
      <c r="D78" s="37">
        <v>1198.80519</v>
      </c>
      <c r="E78" s="38">
        <f t="shared" si="3"/>
        <v>97.63847450724874</v>
      </c>
      <c r="F78" s="38">
        <f t="shared" si="4"/>
        <v>-28.994809999999916</v>
      </c>
    </row>
    <row r="79" spans="1:6" s="6" customFormat="1" ht="35.25" customHeight="1" hidden="1">
      <c r="A79" s="52">
        <v>1000</v>
      </c>
      <c r="B79" s="31" t="s">
        <v>89</v>
      </c>
      <c r="C79" s="32">
        <f>SUM(C80:C83)</f>
        <v>0</v>
      </c>
      <c r="D79" s="32">
        <f>SUM(D80:D83)</f>
        <v>0</v>
      </c>
      <c r="E79" s="34" t="e">
        <f t="shared" si="3"/>
        <v>#DIV/0!</v>
      </c>
      <c r="F79" s="34">
        <f t="shared" si="4"/>
        <v>0</v>
      </c>
    </row>
    <row r="80" spans="1:6" ht="24.75" customHeight="1" hidden="1">
      <c r="A80" s="53">
        <v>1001</v>
      </c>
      <c r="B80" s="54" t="s">
        <v>90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 ht="18.75" customHeight="1" hidden="1">
      <c r="A81" s="53">
        <v>1003</v>
      </c>
      <c r="B81" s="54" t="s">
        <v>91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ht="18.75" customHeight="1" hidden="1">
      <c r="A82" s="53">
        <v>1004</v>
      </c>
      <c r="B82" s="54" t="s">
        <v>92</v>
      </c>
      <c r="C82" s="37"/>
      <c r="D82" s="55"/>
      <c r="E82" s="38" t="e">
        <f t="shared" si="3"/>
        <v>#DIV/0!</v>
      </c>
      <c r="F82" s="38">
        <f t="shared" si="4"/>
        <v>0</v>
      </c>
    </row>
    <row r="83" spans="1:6" ht="21" customHeight="1" hidden="1">
      <c r="A83" s="35" t="s">
        <v>93</v>
      </c>
      <c r="B83" s="39" t="s">
        <v>94</v>
      </c>
      <c r="C83" s="37">
        <v>0</v>
      </c>
      <c r="D83" s="37">
        <v>0</v>
      </c>
      <c r="E83" s="38"/>
      <c r="F83" s="38">
        <f t="shared" si="4"/>
        <v>0</v>
      </c>
    </row>
    <row r="84" spans="1:6" ht="17.25" customHeight="1">
      <c r="A84" s="30" t="s">
        <v>95</v>
      </c>
      <c r="B84" s="31" t="s">
        <v>96</v>
      </c>
      <c r="C84" s="32">
        <f>C85+C86+C87+C88+C89</f>
        <v>5</v>
      </c>
      <c r="D84" s="32">
        <f>D85+D86+D87+D88+D89</f>
        <v>5</v>
      </c>
      <c r="E84" s="38">
        <f t="shared" si="3"/>
        <v>100</v>
      </c>
      <c r="F84" s="22">
        <f>F85+F86+F87+F88+F89</f>
        <v>0</v>
      </c>
    </row>
    <row r="85" spans="1:6" ht="15" customHeight="1">
      <c r="A85" s="35" t="s">
        <v>97</v>
      </c>
      <c r="B85" s="39" t="s">
        <v>98</v>
      </c>
      <c r="C85" s="37">
        <v>5</v>
      </c>
      <c r="D85" s="37">
        <v>5</v>
      </c>
      <c r="E85" s="38">
        <f t="shared" si="3"/>
        <v>100</v>
      </c>
      <c r="F85" s="38">
        <f>SUM(D85-C85)</f>
        <v>0</v>
      </c>
    </row>
    <row r="86" spans="1:6" ht="15.75" customHeight="1" hidden="1">
      <c r="A86" s="35" t="s">
        <v>99</v>
      </c>
      <c r="B86" s="39" t="s">
        <v>100</v>
      </c>
      <c r="C86" s="37"/>
      <c r="D86" s="37"/>
      <c r="E86" s="38" t="e">
        <f t="shared" si="3"/>
        <v>#DIV/0!</v>
      </c>
      <c r="F86" s="38">
        <f>SUM(D86-C86)</f>
        <v>0</v>
      </c>
    </row>
    <row r="87" spans="1:6" ht="15.75" customHeight="1" hidden="1">
      <c r="A87" s="35" t="s">
        <v>101</v>
      </c>
      <c r="B87" s="39" t="s">
        <v>102</v>
      </c>
      <c r="C87" s="37"/>
      <c r="D87" s="37"/>
      <c r="E87" s="38" t="e">
        <f t="shared" si="3"/>
        <v>#DIV/0!</v>
      </c>
      <c r="F87" s="38"/>
    </row>
    <row r="88" spans="1:6" ht="15.75" customHeight="1" hidden="1">
      <c r="A88" s="35" t="s">
        <v>103</v>
      </c>
      <c r="B88" s="39" t="s">
        <v>104</v>
      </c>
      <c r="C88" s="37"/>
      <c r="D88" s="37"/>
      <c r="E88" s="38" t="e">
        <f t="shared" si="3"/>
        <v>#DIV/0!</v>
      </c>
      <c r="F88" s="38"/>
    </row>
    <row r="89" spans="1:6" ht="15.75" customHeight="1" hidden="1">
      <c r="A89" s="35" t="s">
        <v>105</v>
      </c>
      <c r="B89" s="39" t="s">
        <v>106</v>
      </c>
      <c r="C89" s="37"/>
      <c r="D89" s="37"/>
      <c r="E89" s="38" t="e">
        <f t="shared" si="3"/>
        <v>#DIV/0!</v>
      </c>
      <c r="F89" s="38"/>
    </row>
    <row r="90" spans="1:6" s="6" customFormat="1" ht="15.75" customHeight="1" hidden="1">
      <c r="A90" s="52">
        <v>1400</v>
      </c>
      <c r="B90" s="56" t="s">
        <v>115</v>
      </c>
      <c r="C90" s="48">
        <f>C91+C92+C93</f>
        <v>0</v>
      </c>
      <c r="D90" s="48">
        <f>SUM(D91:D93)</f>
        <v>0</v>
      </c>
      <c r="E90" s="34" t="e">
        <f t="shared" si="3"/>
        <v>#DIV/0!</v>
      </c>
      <c r="F90" s="34">
        <f t="shared" si="4"/>
        <v>0</v>
      </c>
    </row>
    <row r="91" spans="1:6" ht="15.75" customHeight="1" hidden="1">
      <c r="A91" s="53">
        <v>1401</v>
      </c>
      <c r="B91" s="54" t="s">
        <v>116</v>
      </c>
      <c r="C91" s="49"/>
      <c r="D91" s="37"/>
      <c r="E91" s="38" t="e">
        <f t="shared" si="3"/>
        <v>#DIV/0!</v>
      </c>
      <c r="F91" s="38">
        <f t="shared" si="4"/>
        <v>0</v>
      </c>
    </row>
    <row r="92" spans="1:6" ht="15.75" customHeight="1" hidden="1">
      <c r="A92" s="53">
        <v>1402</v>
      </c>
      <c r="B92" s="54" t="s">
        <v>117</v>
      </c>
      <c r="C92" s="49"/>
      <c r="D92" s="37"/>
      <c r="E92" s="38" t="e">
        <f t="shared" si="3"/>
        <v>#DIV/0!</v>
      </c>
      <c r="F92" s="38">
        <f t="shared" si="4"/>
        <v>0</v>
      </c>
    </row>
    <row r="93" spans="1:6" ht="57.75" customHeight="1" hidden="1">
      <c r="A93" s="53">
        <v>1403</v>
      </c>
      <c r="B93" s="54" t="s">
        <v>118</v>
      </c>
      <c r="C93" s="246">
        <v>0</v>
      </c>
      <c r="D93" s="247">
        <v>0</v>
      </c>
      <c r="E93" s="38" t="e">
        <f t="shared" si="3"/>
        <v>#DIV/0!</v>
      </c>
      <c r="F93" s="38">
        <f t="shared" si="4"/>
        <v>0</v>
      </c>
    </row>
    <row r="94" spans="1:6" s="6" customFormat="1" ht="15.75" customHeight="1">
      <c r="A94" s="52"/>
      <c r="B94" s="57" t="s">
        <v>119</v>
      </c>
      <c r="C94" s="33">
        <f>C53+C61+C63+C68+C73+C77+C79+C84+C90</f>
        <v>4985.03902</v>
      </c>
      <c r="D94" s="33">
        <f>D53+D61+D63+D68+D73+D77+D79+D84+D90</f>
        <v>4895.05574</v>
      </c>
      <c r="E94" s="34">
        <f t="shared" si="3"/>
        <v>98.19493328660043</v>
      </c>
      <c r="F94" s="34">
        <f t="shared" si="4"/>
        <v>-89.98328000000038</v>
      </c>
    </row>
    <row r="95" spans="3:4" ht="16.5" customHeight="1">
      <c r="C95" s="127"/>
      <c r="D95" s="102"/>
    </row>
    <row r="96" spans="1:4" s="114" customFormat="1" ht="20.25" customHeight="1">
      <c r="A96" s="112" t="s">
        <v>120</v>
      </c>
      <c r="B96" s="112"/>
      <c r="C96" s="130"/>
      <c r="D96" s="113"/>
    </row>
    <row r="97" spans="1:3" s="114" customFormat="1" ht="13.5" customHeight="1">
      <c r="A97" s="115" t="s">
        <v>121</v>
      </c>
      <c r="B97" s="115"/>
      <c r="C97" s="119" t="s">
        <v>122</v>
      </c>
    </row>
    <row r="99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36"/>
  <sheetViews>
    <sheetView view="pageBreakPreview" zoomScale="75" zoomScaleSheetLayoutView="75" zoomScalePageLayoutView="0" workbookViewId="0" topLeftCell="A10">
      <pane xSplit="2" ySplit="4" topLeftCell="AK14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BE34" sqref="BE34:BF34"/>
    </sheetView>
  </sheetViews>
  <sheetFormatPr defaultColWidth="9.140625" defaultRowHeight="12.75"/>
  <cols>
    <col min="1" max="1" width="6.140625" style="156" customWidth="1"/>
    <col min="2" max="2" width="26.421875" style="156" customWidth="1"/>
    <col min="3" max="3" width="18.57421875" style="156" bestFit="1" customWidth="1"/>
    <col min="4" max="4" width="18.57421875" style="157" bestFit="1" customWidth="1"/>
    <col min="5" max="5" width="13.00390625" style="156" bestFit="1" customWidth="1"/>
    <col min="6" max="6" width="17.421875" style="156" customWidth="1"/>
    <col min="7" max="7" width="16.8515625" style="156" customWidth="1"/>
    <col min="8" max="8" width="13.00390625" style="156" bestFit="1" customWidth="1"/>
    <col min="9" max="9" width="15.57421875" style="156" customWidth="1"/>
    <col min="10" max="10" width="15.28125" style="156" customWidth="1"/>
    <col min="11" max="11" width="13.00390625" style="156" bestFit="1" customWidth="1"/>
    <col min="12" max="12" width="15.140625" style="156" customWidth="1"/>
    <col min="13" max="13" width="14.7109375" style="156" bestFit="1" customWidth="1"/>
    <col min="14" max="14" width="13.00390625" style="156" bestFit="1" customWidth="1"/>
    <col min="15" max="15" width="13.8515625" style="156" bestFit="1" customWidth="1"/>
    <col min="16" max="16" width="19.8515625" style="156" customWidth="1"/>
    <col min="17" max="17" width="13.00390625" style="156" bestFit="1" customWidth="1"/>
    <col min="18" max="19" width="16.57421875" style="156" bestFit="1" customWidth="1"/>
    <col min="20" max="20" width="13.00390625" style="156" bestFit="1" customWidth="1"/>
    <col min="21" max="21" width="13.8515625" style="156" bestFit="1" customWidth="1"/>
    <col min="22" max="22" width="14.7109375" style="156" customWidth="1"/>
    <col min="23" max="23" width="12.28125" style="156" customWidth="1"/>
    <col min="24" max="24" width="15.140625" style="156" customWidth="1"/>
    <col min="25" max="25" width="14.7109375" style="156" bestFit="1" customWidth="1"/>
    <col min="26" max="26" width="12.57421875" style="156" customWidth="1"/>
    <col min="27" max="27" width="17.57421875" style="156" customWidth="1"/>
    <col min="28" max="28" width="13.7109375" style="156" customWidth="1"/>
    <col min="29" max="29" width="15.57421875" style="156" customWidth="1"/>
    <col min="30" max="30" width="19.57421875" style="156" bestFit="1" customWidth="1"/>
    <col min="31" max="31" width="15.7109375" style="156" customWidth="1"/>
    <col min="32" max="32" width="10.00390625" style="156" customWidth="1"/>
    <col min="33" max="33" width="13.8515625" style="156" customWidth="1"/>
    <col min="34" max="34" width="15.28125" style="156" customWidth="1"/>
    <col min="35" max="35" width="10.00390625" style="156" customWidth="1"/>
    <col min="36" max="36" width="14.7109375" style="156" customWidth="1"/>
    <col min="37" max="37" width="14.57421875" style="156" customWidth="1"/>
    <col min="38" max="38" width="10.00390625" style="156" customWidth="1"/>
    <col min="39" max="39" width="15.421875" style="156" customWidth="1"/>
    <col min="40" max="40" width="16.00390625" style="156" customWidth="1"/>
    <col min="41" max="41" width="16.28125" style="156" customWidth="1"/>
    <col min="42" max="42" width="15.421875" style="156" bestFit="1" customWidth="1"/>
    <col min="43" max="43" width="16.7109375" style="156" bestFit="1" customWidth="1"/>
    <col min="44" max="44" width="13.8515625" style="156" customWidth="1"/>
    <col min="45" max="45" width="16.00390625" style="156" customWidth="1"/>
    <col min="46" max="46" width="17.57421875" style="156" customWidth="1"/>
    <col min="47" max="47" width="10.140625" style="156" customWidth="1"/>
    <col min="48" max="48" width="9.421875" style="156" hidden="1" customWidth="1"/>
    <col min="49" max="49" width="9.7109375" style="156" hidden="1" customWidth="1"/>
    <col min="50" max="50" width="11.8515625" style="156" hidden="1" customWidth="1"/>
    <col min="51" max="51" width="15.7109375" style="156" customWidth="1"/>
    <col min="52" max="52" width="16.140625" style="156" customWidth="1"/>
    <col min="53" max="53" width="10.00390625" style="156" customWidth="1"/>
    <col min="54" max="54" width="0.13671875" style="156" hidden="1" customWidth="1"/>
    <col min="55" max="55" width="12.00390625" style="156" hidden="1" customWidth="1"/>
    <col min="56" max="56" width="12.8515625" style="156" hidden="1" customWidth="1"/>
    <col min="57" max="57" width="17.00390625" style="156" customWidth="1"/>
    <col min="58" max="58" width="15.00390625" style="156" customWidth="1"/>
    <col min="59" max="59" width="12.00390625" style="156" customWidth="1"/>
    <col min="60" max="61" width="9.7109375" style="156" hidden="1" customWidth="1"/>
    <col min="62" max="62" width="12.8515625" style="156" hidden="1" customWidth="1"/>
    <col min="63" max="63" width="13.00390625" style="156" hidden="1" customWidth="1"/>
    <col min="64" max="64" width="12.8515625" style="156" hidden="1" customWidth="1"/>
    <col min="65" max="65" width="12.57421875" style="156" hidden="1" customWidth="1"/>
    <col min="66" max="66" width="17.57421875" style="156" customWidth="1"/>
    <col min="67" max="67" width="19.28125" style="156" customWidth="1"/>
    <col min="68" max="68" width="10.7109375" style="156" customWidth="1"/>
    <col min="69" max="69" width="15.28125" style="156" customWidth="1"/>
    <col min="70" max="70" width="21.8515625" style="156" customWidth="1"/>
    <col min="71" max="71" width="10.00390625" style="156" customWidth="1"/>
    <col min="72" max="73" width="9.7109375" style="156" hidden="1" customWidth="1"/>
    <col min="74" max="74" width="9.57421875" style="156" hidden="1" customWidth="1"/>
    <col min="75" max="75" width="9.421875" style="156" hidden="1" customWidth="1"/>
    <col min="76" max="76" width="9.7109375" style="156" hidden="1" customWidth="1"/>
    <col min="77" max="77" width="10.140625" style="156" hidden="1" customWidth="1"/>
    <col min="78" max="78" width="18.140625" style="156" customWidth="1"/>
    <col min="79" max="79" width="20.140625" style="156" customWidth="1"/>
    <col min="80" max="80" width="10.00390625" style="156" customWidth="1"/>
    <col min="81" max="81" width="13.421875" style="156" customWidth="1"/>
    <col min="82" max="82" width="15.7109375" style="156" customWidth="1"/>
    <col min="83" max="83" width="10.00390625" style="156" customWidth="1"/>
    <col min="84" max="84" width="14.140625" style="156" customWidth="1"/>
    <col min="85" max="85" width="13.421875" style="156" customWidth="1"/>
    <col min="86" max="86" width="10.00390625" style="156" customWidth="1"/>
    <col min="87" max="87" width="17.421875" style="156" customWidth="1"/>
    <col min="88" max="88" width="14.7109375" style="156" customWidth="1"/>
    <col min="89" max="89" width="10.00390625" style="156" customWidth="1"/>
    <col min="90" max="90" width="19.8515625" style="156" customWidth="1"/>
    <col min="91" max="91" width="13.8515625" style="156" customWidth="1"/>
    <col min="92" max="92" width="13.28125" style="156" customWidth="1"/>
    <col min="93" max="93" width="16.8515625" style="156" customWidth="1"/>
    <col min="94" max="94" width="12.421875" style="156" customWidth="1"/>
    <col min="95" max="95" width="13.00390625" style="156" customWidth="1"/>
    <col min="96" max="96" width="16.7109375" style="156" customWidth="1"/>
    <col min="97" max="97" width="16.8515625" style="156" customWidth="1"/>
    <col min="98" max="98" width="14.00390625" style="156" customWidth="1"/>
    <col min="99" max="100" width="12.28125" style="156" hidden="1" customWidth="1"/>
    <col min="101" max="101" width="10.421875" style="156" hidden="1" customWidth="1"/>
    <col min="102" max="102" width="14.421875" style="156" hidden="1" customWidth="1"/>
    <col min="103" max="103" width="16.140625" style="156" hidden="1" customWidth="1"/>
    <col min="104" max="105" width="0.13671875" style="156" hidden="1" customWidth="1"/>
    <col min="106" max="106" width="3.7109375" style="156" hidden="1" customWidth="1"/>
    <col min="107" max="107" width="7.57421875" style="156" hidden="1" customWidth="1"/>
    <col min="108" max="108" width="11.28125" style="156" customWidth="1"/>
    <col min="109" max="109" width="12.140625" style="156" customWidth="1"/>
    <col min="110" max="110" width="9.00390625" style="156" customWidth="1"/>
    <col min="111" max="111" width="21.28125" style="156" customWidth="1"/>
    <col min="112" max="112" width="20.28125" style="156" customWidth="1"/>
    <col min="113" max="113" width="13.00390625" style="156" bestFit="1" customWidth="1"/>
    <col min="114" max="114" width="17.421875" style="156" bestFit="1" customWidth="1"/>
    <col min="115" max="115" width="20.57421875" style="156" customWidth="1"/>
    <col min="116" max="116" width="13.28125" style="156" customWidth="1"/>
    <col min="117" max="117" width="15.140625" style="156" customWidth="1"/>
    <col min="118" max="118" width="16.8515625" style="156" customWidth="1"/>
    <col min="119" max="119" width="12.28125" style="156" customWidth="1"/>
    <col min="120" max="120" width="15.28125" style="156" customWidth="1"/>
    <col min="121" max="121" width="14.28125" style="156" customWidth="1"/>
    <col min="122" max="122" width="13.8515625" style="156" customWidth="1"/>
    <col min="123" max="123" width="15.421875" style="156" customWidth="1"/>
    <col min="124" max="124" width="13.7109375" style="156" customWidth="1"/>
    <col min="125" max="125" width="10.140625" style="156" customWidth="1"/>
    <col min="126" max="126" width="16.00390625" style="156" customWidth="1"/>
    <col min="127" max="127" width="11.57421875" style="156" customWidth="1"/>
    <col min="128" max="128" width="10.140625" style="156" customWidth="1"/>
    <col min="129" max="129" width="14.140625" style="156" customWidth="1"/>
    <col min="130" max="130" width="18.57421875" style="156" customWidth="1"/>
    <col min="131" max="131" width="10.140625" style="156" customWidth="1"/>
    <col min="132" max="132" width="15.28125" style="156" customWidth="1"/>
    <col min="133" max="133" width="13.8515625" style="156" bestFit="1" customWidth="1"/>
    <col min="134" max="134" width="10.140625" style="156" customWidth="1"/>
    <col min="135" max="135" width="15.421875" style="156" customWidth="1"/>
    <col min="136" max="136" width="17.28125" style="156" customWidth="1"/>
    <col min="137" max="137" width="12.421875" style="156" customWidth="1"/>
    <col min="138" max="138" width="16.7109375" style="156" bestFit="1" customWidth="1"/>
    <col min="139" max="139" width="15.140625" style="156" customWidth="1"/>
    <col min="140" max="140" width="10.140625" style="156" customWidth="1"/>
    <col min="141" max="141" width="15.7109375" style="156" customWidth="1"/>
    <col min="142" max="142" width="14.7109375" style="156" customWidth="1"/>
    <col min="143" max="143" width="10.140625" style="156" customWidth="1"/>
    <col min="144" max="144" width="13.421875" style="156" customWidth="1"/>
    <col min="145" max="145" width="10.8515625" style="156" customWidth="1"/>
    <col min="146" max="146" width="10.140625" style="156" customWidth="1"/>
    <col min="147" max="147" width="13.421875" style="156" customWidth="1"/>
    <col min="148" max="148" width="13.57421875" style="156" customWidth="1"/>
    <col min="149" max="149" width="10.00390625" style="156" customWidth="1"/>
    <col min="150" max="150" width="14.140625" style="156" customWidth="1"/>
    <col min="151" max="151" width="14.28125" style="156" customWidth="1"/>
    <col min="152" max="152" width="9.8515625" style="156" customWidth="1"/>
    <col min="153" max="153" width="15.421875" style="156" customWidth="1"/>
    <col min="154" max="154" width="14.421875" style="156" customWidth="1"/>
    <col min="155" max="155" width="12.421875" style="156" customWidth="1"/>
    <col min="156" max="156" width="14.8515625" style="156" customWidth="1"/>
    <col min="157" max="16384" width="9.140625" style="156" customWidth="1"/>
  </cols>
  <sheetData>
    <row r="1" spans="24:38" ht="18" customHeight="1">
      <c r="X1" s="464" t="s">
        <v>137</v>
      </c>
      <c r="Y1" s="464"/>
      <c r="Z1" s="464"/>
      <c r="AA1" s="159"/>
      <c r="AB1" s="159"/>
      <c r="AC1" s="159"/>
      <c r="AD1" s="460"/>
      <c r="AE1" s="460"/>
      <c r="AF1" s="460"/>
      <c r="AG1" s="160"/>
      <c r="AH1" s="160"/>
      <c r="AI1" s="160"/>
      <c r="AJ1" s="160"/>
      <c r="AK1" s="160"/>
      <c r="AL1" s="160"/>
    </row>
    <row r="2" spans="24:38" ht="19.5" customHeight="1">
      <c r="X2" s="160" t="s">
        <v>138</v>
      </c>
      <c r="Y2" s="160"/>
      <c r="Z2" s="160"/>
      <c r="AA2" s="158"/>
      <c r="AB2" s="158"/>
      <c r="AC2" s="158"/>
      <c r="AD2" s="460"/>
      <c r="AE2" s="460"/>
      <c r="AF2" s="460"/>
      <c r="AG2" s="160"/>
      <c r="AH2" s="160"/>
      <c r="AI2" s="160"/>
      <c r="AJ2" s="160"/>
      <c r="AK2" s="160"/>
      <c r="AL2" s="160"/>
    </row>
    <row r="3" spans="1:143" ht="30.75" customHeight="1">
      <c r="A3" s="161"/>
      <c r="B3" s="161"/>
      <c r="C3" s="161"/>
      <c r="D3" s="162"/>
      <c r="E3" s="161"/>
      <c r="F3" s="161"/>
      <c r="G3" s="161"/>
      <c r="H3" s="161"/>
      <c r="I3" s="161"/>
      <c r="X3" s="459" t="s">
        <v>139</v>
      </c>
      <c r="Y3" s="459"/>
      <c r="Z3" s="459"/>
      <c r="AA3" s="161"/>
      <c r="AB3" s="161"/>
      <c r="AC3" s="161"/>
      <c r="AD3" s="459"/>
      <c r="AE3" s="459"/>
      <c r="AF3" s="459"/>
      <c r="AG3" s="163"/>
      <c r="AH3" s="163"/>
      <c r="AI3" s="163"/>
      <c r="AJ3" s="163"/>
      <c r="AK3" s="163"/>
      <c r="AL3" s="163"/>
      <c r="AM3" s="161"/>
      <c r="AN3" s="161"/>
      <c r="AO3" s="161"/>
      <c r="AP3" s="161"/>
      <c r="AQ3" s="161"/>
      <c r="AR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</row>
    <row r="4" spans="2:143" ht="24" customHeight="1">
      <c r="B4" s="457" t="s">
        <v>140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164"/>
      <c r="AB4" s="164"/>
      <c r="AC4" s="164"/>
      <c r="AD4" s="164"/>
      <c r="AE4" s="164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</row>
    <row r="5" spans="2:143" ht="15" customHeight="1">
      <c r="B5" s="465" t="s">
        <v>377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165"/>
      <c r="AB5" s="165"/>
      <c r="AC5" s="165"/>
      <c r="AD5" s="165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</row>
    <row r="6" spans="1:155" ht="15" customHeight="1">
      <c r="A6" s="161"/>
      <c r="B6" s="161"/>
      <c r="C6" s="166"/>
      <c r="D6" s="167"/>
      <c r="E6" s="161"/>
      <c r="F6" s="161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W6" s="161"/>
      <c r="EX6" s="161"/>
      <c r="EY6" s="161"/>
    </row>
    <row r="7" spans="1:155" s="172" customFormat="1" ht="15" customHeight="1">
      <c r="A7" s="442" t="s">
        <v>141</v>
      </c>
      <c r="B7" s="442" t="s">
        <v>142</v>
      </c>
      <c r="C7" s="433" t="s">
        <v>143</v>
      </c>
      <c r="D7" s="434"/>
      <c r="E7" s="435"/>
      <c r="F7" s="169" t="s">
        <v>144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1"/>
      <c r="DD7" s="170"/>
      <c r="DE7" s="170"/>
      <c r="DF7" s="171"/>
      <c r="DG7" s="433" t="s">
        <v>145</v>
      </c>
      <c r="DH7" s="434"/>
      <c r="DI7" s="435"/>
      <c r="DJ7" s="433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5"/>
      <c r="EW7" s="433" t="s">
        <v>146</v>
      </c>
      <c r="EX7" s="434"/>
      <c r="EY7" s="435"/>
    </row>
    <row r="8" spans="1:155" s="172" customFormat="1" ht="15" customHeight="1">
      <c r="A8" s="442"/>
      <c r="B8" s="442"/>
      <c r="C8" s="436"/>
      <c r="D8" s="437"/>
      <c r="E8" s="438"/>
      <c r="F8" s="436" t="s">
        <v>147</v>
      </c>
      <c r="G8" s="437"/>
      <c r="H8" s="438"/>
      <c r="I8" s="461" t="s">
        <v>148</v>
      </c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3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4"/>
      <c r="BT8" s="176"/>
      <c r="BU8" s="176"/>
      <c r="BV8" s="176"/>
      <c r="BW8" s="177"/>
      <c r="BX8" s="177"/>
      <c r="BY8" s="177"/>
      <c r="BZ8" s="442" t="s">
        <v>149</v>
      </c>
      <c r="CA8" s="442"/>
      <c r="CB8" s="442"/>
      <c r="CC8" s="439" t="s">
        <v>148</v>
      </c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173"/>
      <c r="CP8" s="173"/>
      <c r="CQ8" s="173"/>
      <c r="CR8" s="173"/>
      <c r="CS8" s="173"/>
      <c r="CT8" s="173"/>
      <c r="CU8" s="178"/>
      <c r="CV8" s="178"/>
      <c r="CW8" s="179"/>
      <c r="CX8" s="436" t="s">
        <v>150</v>
      </c>
      <c r="CY8" s="437"/>
      <c r="CZ8" s="438"/>
      <c r="DA8" s="467"/>
      <c r="DB8" s="468"/>
      <c r="DC8" s="469"/>
      <c r="DD8" s="467"/>
      <c r="DE8" s="468"/>
      <c r="DF8" s="469"/>
      <c r="DG8" s="436"/>
      <c r="DH8" s="437"/>
      <c r="DI8" s="438"/>
      <c r="DJ8" s="436" t="s">
        <v>148</v>
      </c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437"/>
      <c r="DX8" s="437"/>
      <c r="DY8" s="437"/>
      <c r="DZ8" s="437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437"/>
      <c r="EP8" s="437"/>
      <c r="EQ8" s="437"/>
      <c r="ER8" s="437"/>
      <c r="ES8" s="437"/>
      <c r="ET8" s="437"/>
      <c r="EU8" s="437"/>
      <c r="EV8" s="438"/>
      <c r="EW8" s="436"/>
      <c r="EX8" s="437"/>
      <c r="EY8" s="438"/>
    </row>
    <row r="9" spans="1:155" s="172" customFormat="1" ht="15" customHeight="1">
      <c r="A9" s="442"/>
      <c r="B9" s="442"/>
      <c r="C9" s="436"/>
      <c r="D9" s="437"/>
      <c r="E9" s="438"/>
      <c r="F9" s="436"/>
      <c r="G9" s="437"/>
      <c r="H9" s="438"/>
      <c r="I9" s="433" t="s">
        <v>151</v>
      </c>
      <c r="J9" s="434"/>
      <c r="K9" s="435"/>
      <c r="L9" s="433" t="s">
        <v>297</v>
      </c>
      <c r="M9" s="434"/>
      <c r="N9" s="435"/>
      <c r="O9" s="433" t="s">
        <v>300</v>
      </c>
      <c r="P9" s="434"/>
      <c r="Q9" s="435"/>
      <c r="R9" s="433" t="s">
        <v>298</v>
      </c>
      <c r="S9" s="434"/>
      <c r="T9" s="435"/>
      <c r="U9" s="433" t="s">
        <v>299</v>
      </c>
      <c r="V9" s="434"/>
      <c r="W9" s="435"/>
      <c r="X9" s="433" t="s">
        <v>152</v>
      </c>
      <c r="Y9" s="434"/>
      <c r="Z9" s="435"/>
      <c r="AA9" s="433" t="s">
        <v>153</v>
      </c>
      <c r="AB9" s="434"/>
      <c r="AC9" s="435"/>
      <c r="AD9" s="433" t="s">
        <v>154</v>
      </c>
      <c r="AE9" s="434"/>
      <c r="AF9" s="435"/>
      <c r="AG9" s="442" t="s">
        <v>155</v>
      </c>
      <c r="AH9" s="442"/>
      <c r="AI9" s="442"/>
      <c r="AJ9" s="433" t="s">
        <v>257</v>
      </c>
      <c r="AK9" s="434"/>
      <c r="AL9" s="435"/>
      <c r="AM9" s="433" t="s">
        <v>156</v>
      </c>
      <c r="AN9" s="434"/>
      <c r="AO9" s="435"/>
      <c r="AP9" s="433" t="s">
        <v>157</v>
      </c>
      <c r="AQ9" s="434"/>
      <c r="AR9" s="435"/>
      <c r="AS9" s="433" t="s">
        <v>158</v>
      </c>
      <c r="AT9" s="434"/>
      <c r="AU9" s="435"/>
      <c r="AV9" s="433" t="s">
        <v>159</v>
      </c>
      <c r="AW9" s="434"/>
      <c r="AX9" s="435"/>
      <c r="AY9" s="433" t="s">
        <v>259</v>
      </c>
      <c r="AZ9" s="434"/>
      <c r="BA9" s="435"/>
      <c r="BB9" s="433" t="s">
        <v>279</v>
      </c>
      <c r="BC9" s="434"/>
      <c r="BD9" s="435"/>
      <c r="BE9" s="433" t="s">
        <v>160</v>
      </c>
      <c r="BF9" s="434"/>
      <c r="BG9" s="435"/>
      <c r="BH9" s="433" t="s">
        <v>161</v>
      </c>
      <c r="BI9" s="434"/>
      <c r="BJ9" s="435"/>
      <c r="BK9" s="433" t="s">
        <v>290</v>
      </c>
      <c r="BL9" s="434"/>
      <c r="BM9" s="435"/>
      <c r="BN9" s="433" t="s">
        <v>255</v>
      </c>
      <c r="BO9" s="434"/>
      <c r="BP9" s="435"/>
      <c r="BQ9" s="433" t="s">
        <v>162</v>
      </c>
      <c r="BR9" s="434"/>
      <c r="BS9" s="435"/>
      <c r="BT9" s="433" t="s">
        <v>163</v>
      </c>
      <c r="BU9" s="434"/>
      <c r="BV9" s="435"/>
      <c r="BW9" s="436" t="s">
        <v>164</v>
      </c>
      <c r="BX9" s="437"/>
      <c r="BY9" s="437"/>
      <c r="BZ9" s="442"/>
      <c r="CA9" s="442"/>
      <c r="CB9" s="442"/>
      <c r="CC9" s="433" t="s">
        <v>165</v>
      </c>
      <c r="CD9" s="434"/>
      <c r="CE9" s="435"/>
      <c r="CF9" s="433" t="s">
        <v>282</v>
      </c>
      <c r="CG9" s="434"/>
      <c r="CH9" s="435"/>
      <c r="CI9" s="433" t="s">
        <v>166</v>
      </c>
      <c r="CJ9" s="434"/>
      <c r="CK9" s="435"/>
      <c r="CL9" s="433" t="s">
        <v>167</v>
      </c>
      <c r="CM9" s="434"/>
      <c r="CN9" s="435"/>
      <c r="CO9" s="433" t="s">
        <v>24</v>
      </c>
      <c r="CP9" s="434"/>
      <c r="CQ9" s="435"/>
      <c r="CR9" s="433" t="s">
        <v>307</v>
      </c>
      <c r="CS9" s="434"/>
      <c r="CT9" s="435"/>
      <c r="CU9" s="433" t="s">
        <v>308</v>
      </c>
      <c r="CV9" s="434"/>
      <c r="CW9" s="435"/>
      <c r="CX9" s="436"/>
      <c r="CY9" s="437"/>
      <c r="CZ9" s="438"/>
      <c r="DA9" s="433" t="s">
        <v>273</v>
      </c>
      <c r="DB9" s="434"/>
      <c r="DC9" s="435"/>
      <c r="DD9" s="442" t="s">
        <v>168</v>
      </c>
      <c r="DE9" s="442"/>
      <c r="DF9" s="442"/>
      <c r="DG9" s="436"/>
      <c r="DH9" s="437"/>
      <c r="DI9" s="438"/>
      <c r="DJ9" s="449" t="s">
        <v>169</v>
      </c>
      <c r="DK9" s="450"/>
      <c r="DL9" s="451"/>
      <c r="DM9" s="443" t="s">
        <v>144</v>
      </c>
      <c r="DN9" s="444"/>
      <c r="DO9" s="444"/>
      <c r="DP9" s="444"/>
      <c r="DQ9" s="444"/>
      <c r="DR9" s="444"/>
      <c r="DS9" s="444"/>
      <c r="DT9" s="444"/>
      <c r="DU9" s="444"/>
      <c r="DV9" s="444"/>
      <c r="DW9" s="444"/>
      <c r="DX9" s="445"/>
      <c r="DY9" s="449" t="s">
        <v>170</v>
      </c>
      <c r="DZ9" s="450"/>
      <c r="EA9" s="451"/>
      <c r="EB9" s="449" t="s">
        <v>171</v>
      </c>
      <c r="EC9" s="450"/>
      <c r="ED9" s="451"/>
      <c r="EE9" s="449" t="s">
        <v>172</v>
      </c>
      <c r="EF9" s="450"/>
      <c r="EG9" s="451"/>
      <c r="EH9" s="449" t="s">
        <v>173</v>
      </c>
      <c r="EI9" s="450"/>
      <c r="EJ9" s="451"/>
      <c r="EK9" s="433" t="s">
        <v>301</v>
      </c>
      <c r="EL9" s="434"/>
      <c r="EM9" s="435"/>
      <c r="EN9" s="433" t="s">
        <v>174</v>
      </c>
      <c r="EO9" s="434"/>
      <c r="EP9" s="435"/>
      <c r="EQ9" s="433" t="s">
        <v>334</v>
      </c>
      <c r="ER9" s="434"/>
      <c r="ES9" s="435"/>
      <c r="ET9" s="442" t="s">
        <v>303</v>
      </c>
      <c r="EU9" s="442"/>
      <c r="EV9" s="442"/>
      <c r="EW9" s="436"/>
      <c r="EX9" s="437"/>
      <c r="EY9" s="438"/>
    </row>
    <row r="10" spans="1:155" s="172" customFormat="1" ht="15" customHeight="1">
      <c r="A10" s="442"/>
      <c r="B10" s="442"/>
      <c r="C10" s="436"/>
      <c r="D10" s="437"/>
      <c r="E10" s="438"/>
      <c r="F10" s="436"/>
      <c r="G10" s="437"/>
      <c r="H10" s="438"/>
      <c r="I10" s="436"/>
      <c r="J10" s="437"/>
      <c r="K10" s="438"/>
      <c r="L10" s="436"/>
      <c r="M10" s="437"/>
      <c r="N10" s="438"/>
      <c r="O10" s="436"/>
      <c r="P10" s="437"/>
      <c r="Q10" s="438"/>
      <c r="R10" s="436"/>
      <c r="S10" s="437"/>
      <c r="T10" s="438"/>
      <c r="U10" s="436"/>
      <c r="V10" s="437"/>
      <c r="W10" s="438"/>
      <c r="X10" s="436"/>
      <c r="Y10" s="437"/>
      <c r="Z10" s="438"/>
      <c r="AA10" s="436"/>
      <c r="AB10" s="437"/>
      <c r="AC10" s="438"/>
      <c r="AD10" s="436"/>
      <c r="AE10" s="437"/>
      <c r="AF10" s="438"/>
      <c r="AG10" s="442"/>
      <c r="AH10" s="442"/>
      <c r="AI10" s="442"/>
      <c r="AJ10" s="436"/>
      <c r="AK10" s="437"/>
      <c r="AL10" s="438"/>
      <c r="AM10" s="436"/>
      <c r="AN10" s="437"/>
      <c r="AO10" s="438"/>
      <c r="AP10" s="436"/>
      <c r="AQ10" s="437"/>
      <c r="AR10" s="438"/>
      <c r="AS10" s="436"/>
      <c r="AT10" s="437"/>
      <c r="AU10" s="438"/>
      <c r="AV10" s="436"/>
      <c r="AW10" s="437"/>
      <c r="AX10" s="438"/>
      <c r="AY10" s="436"/>
      <c r="AZ10" s="437"/>
      <c r="BA10" s="438"/>
      <c r="BB10" s="436"/>
      <c r="BC10" s="437"/>
      <c r="BD10" s="438"/>
      <c r="BE10" s="436"/>
      <c r="BF10" s="437"/>
      <c r="BG10" s="438"/>
      <c r="BH10" s="436"/>
      <c r="BI10" s="437"/>
      <c r="BJ10" s="438"/>
      <c r="BK10" s="436"/>
      <c r="BL10" s="437"/>
      <c r="BM10" s="438"/>
      <c r="BN10" s="436"/>
      <c r="BO10" s="437"/>
      <c r="BP10" s="438"/>
      <c r="BQ10" s="436"/>
      <c r="BR10" s="437"/>
      <c r="BS10" s="438"/>
      <c r="BT10" s="436"/>
      <c r="BU10" s="437"/>
      <c r="BV10" s="438"/>
      <c r="BW10" s="436"/>
      <c r="BX10" s="437"/>
      <c r="BY10" s="437"/>
      <c r="BZ10" s="442"/>
      <c r="CA10" s="442"/>
      <c r="CB10" s="442"/>
      <c r="CC10" s="436"/>
      <c r="CD10" s="437"/>
      <c r="CE10" s="438"/>
      <c r="CF10" s="436"/>
      <c r="CG10" s="437"/>
      <c r="CH10" s="438"/>
      <c r="CI10" s="436"/>
      <c r="CJ10" s="437"/>
      <c r="CK10" s="438"/>
      <c r="CL10" s="436"/>
      <c r="CM10" s="437"/>
      <c r="CN10" s="438"/>
      <c r="CO10" s="436"/>
      <c r="CP10" s="437"/>
      <c r="CQ10" s="438"/>
      <c r="CR10" s="436"/>
      <c r="CS10" s="437"/>
      <c r="CT10" s="438"/>
      <c r="CU10" s="436"/>
      <c r="CV10" s="437"/>
      <c r="CW10" s="438"/>
      <c r="CX10" s="436"/>
      <c r="CY10" s="437"/>
      <c r="CZ10" s="438"/>
      <c r="DA10" s="436"/>
      <c r="DB10" s="437"/>
      <c r="DC10" s="438"/>
      <c r="DD10" s="442"/>
      <c r="DE10" s="442"/>
      <c r="DF10" s="442"/>
      <c r="DG10" s="436"/>
      <c r="DH10" s="437"/>
      <c r="DI10" s="438"/>
      <c r="DJ10" s="452"/>
      <c r="DK10" s="453"/>
      <c r="DL10" s="454"/>
      <c r="DM10" s="374"/>
      <c r="DN10" s="375"/>
      <c r="DO10" s="375"/>
      <c r="DP10" s="377"/>
      <c r="DQ10" s="377"/>
      <c r="DR10" s="377"/>
      <c r="DS10" s="375"/>
      <c r="DT10" s="375"/>
      <c r="DU10" s="375"/>
      <c r="DV10" s="375"/>
      <c r="DW10" s="375"/>
      <c r="DX10" s="376"/>
      <c r="DY10" s="452"/>
      <c r="DZ10" s="453"/>
      <c r="EA10" s="454"/>
      <c r="EB10" s="452"/>
      <c r="EC10" s="453"/>
      <c r="ED10" s="454"/>
      <c r="EE10" s="452"/>
      <c r="EF10" s="453"/>
      <c r="EG10" s="454"/>
      <c r="EH10" s="452"/>
      <c r="EI10" s="453"/>
      <c r="EJ10" s="454"/>
      <c r="EK10" s="436"/>
      <c r="EL10" s="437"/>
      <c r="EM10" s="438"/>
      <c r="EN10" s="436"/>
      <c r="EO10" s="437"/>
      <c r="EP10" s="438"/>
      <c r="EQ10" s="436"/>
      <c r="ER10" s="437"/>
      <c r="ES10" s="438"/>
      <c r="ET10" s="442"/>
      <c r="EU10" s="442"/>
      <c r="EV10" s="442"/>
      <c r="EW10" s="436"/>
      <c r="EX10" s="437"/>
      <c r="EY10" s="438"/>
    </row>
    <row r="11" spans="1:159" s="172" customFormat="1" ht="177.75" customHeight="1">
      <c r="A11" s="442"/>
      <c r="B11" s="442"/>
      <c r="C11" s="439"/>
      <c r="D11" s="440"/>
      <c r="E11" s="458"/>
      <c r="F11" s="439"/>
      <c r="G11" s="440"/>
      <c r="H11" s="441"/>
      <c r="I11" s="439"/>
      <c r="J11" s="440"/>
      <c r="K11" s="441"/>
      <c r="L11" s="439"/>
      <c r="M11" s="440"/>
      <c r="N11" s="441"/>
      <c r="O11" s="439"/>
      <c r="P11" s="440"/>
      <c r="Q11" s="441"/>
      <c r="R11" s="439"/>
      <c r="S11" s="440"/>
      <c r="T11" s="441"/>
      <c r="U11" s="439"/>
      <c r="V11" s="440"/>
      <c r="W11" s="441"/>
      <c r="X11" s="439"/>
      <c r="Y11" s="440"/>
      <c r="Z11" s="441"/>
      <c r="AA11" s="439"/>
      <c r="AB11" s="440"/>
      <c r="AC11" s="441"/>
      <c r="AD11" s="439"/>
      <c r="AE11" s="440"/>
      <c r="AF11" s="441"/>
      <c r="AG11" s="442"/>
      <c r="AH11" s="442"/>
      <c r="AI11" s="442"/>
      <c r="AJ11" s="439"/>
      <c r="AK11" s="440"/>
      <c r="AL11" s="441"/>
      <c r="AM11" s="439"/>
      <c r="AN11" s="440"/>
      <c r="AO11" s="441"/>
      <c r="AP11" s="439"/>
      <c r="AQ11" s="440"/>
      <c r="AR11" s="441"/>
      <c r="AS11" s="439"/>
      <c r="AT11" s="440"/>
      <c r="AU11" s="441"/>
      <c r="AV11" s="439"/>
      <c r="AW11" s="440"/>
      <c r="AX11" s="441"/>
      <c r="AY11" s="439"/>
      <c r="AZ11" s="440"/>
      <c r="BA11" s="441"/>
      <c r="BB11" s="439"/>
      <c r="BC11" s="440"/>
      <c r="BD11" s="441"/>
      <c r="BE11" s="439"/>
      <c r="BF11" s="440"/>
      <c r="BG11" s="441"/>
      <c r="BH11" s="439"/>
      <c r="BI11" s="440"/>
      <c r="BJ11" s="441"/>
      <c r="BK11" s="439"/>
      <c r="BL11" s="440"/>
      <c r="BM11" s="441"/>
      <c r="BN11" s="439"/>
      <c r="BO11" s="440"/>
      <c r="BP11" s="441"/>
      <c r="BQ11" s="439"/>
      <c r="BR11" s="440"/>
      <c r="BS11" s="441"/>
      <c r="BT11" s="439"/>
      <c r="BU11" s="440"/>
      <c r="BV11" s="441"/>
      <c r="BW11" s="439"/>
      <c r="BX11" s="440"/>
      <c r="BY11" s="440"/>
      <c r="BZ11" s="442"/>
      <c r="CA11" s="442"/>
      <c r="CB11" s="442"/>
      <c r="CC11" s="439"/>
      <c r="CD11" s="440"/>
      <c r="CE11" s="441"/>
      <c r="CF11" s="439"/>
      <c r="CG11" s="440"/>
      <c r="CH11" s="441"/>
      <c r="CI11" s="439"/>
      <c r="CJ11" s="440"/>
      <c r="CK11" s="441"/>
      <c r="CL11" s="439"/>
      <c r="CM11" s="440"/>
      <c r="CN11" s="441"/>
      <c r="CO11" s="439"/>
      <c r="CP11" s="440"/>
      <c r="CQ11" s="441"/>
      <c r="CR11" s="439"/>
      <c r="CS11" s="440"/>
      <c r="CT11" s="441"/>
      <c r="CU11" s="439"/>
      <c r="CV11" s="440"/>
      <c r="CW11" s="441"/>
      <c r="CX11" s="439"/>
      <c r="CY11" s="440"/>
      <c r="CZ11" s="441"/>
      <c r="DA11" s="439"/>
      <c r="DB11" s="440"/>
      <c r="DC11" s="441"/>
      <c r="DD11" s="442"/>
      <c r="DE11" s="442"/>
      <c r="DF11" s="442"/>
      <c r="DG11" s="439"/>
      <c r="DH11" s="440"/>
      <c r="DI11" s="441"/>
      <c r="DJ11" s="446"/>
      <c r="DK11" s="447"/>
      <c r="DL11" s="448"/>
      <c r="DM11" s="446" t="s">
        <v>175</v>
      </c>
      <c r="DN11" s="447"/>
      <c r="DO11" s="448"/>
      <c r="DP11" s="443" t="s">
        <v>176</v>
      </c>
      <c r="DQ11" s="444"/>
      <c r="DR11" s="445"/>
      <c r="DS11" s="446" t="s">
        <v>177</v>
      </c>
      <c r="DT11" s="447"/>
      <c r="DU11" s="448"/>
      <c r="DV11" s="446" t="s">
        <v>252</v>
      </c>
      <c r="DW11" s="447"/>
      <c r="DX11" s="448"/>
      <c r="DY11" s="446"/>
      <c r="DZ11" s="447"/>
      <c r="EA11" s="448"/>
      <c r="EB11" s="446"/>
      <c r="EC11" s="447"/>
      <c r="ED11" s="448"/>
      <c r="EE11" s="446"/>
      <c r="EF11" s="447"/>
      <c r="EG11" s="448"/>
      <c r="EH11" s="446"/>
      <c r="EI11" s="447"/>
      <c r="EJ11" s="448"/>
      <c r="EK11" s="439"/>
      <c r="EL11" s="440"/>
      <c r="EM11" s="441"/>
      <c r="EN11" s="439"/>
      <c r="EO11" s="440"/>
      <c r="EP11" s="441"/>
      <c r="EQ11" s="439"/>
      <c r="ER11" s="440"/>
      <c r="ES11" s="441"/>
      <c r="ET11" s="442"/>
      <c r="EU11" s="442"/>
      <c r="EV11" s="442"/>
      <c r="EW11" s="439"/>
      <c r="EX11" s="440"/>
      <c r="EY11" s="441"/>
      <c r="FA11" s="177"/>
      <c r="FB11" s="177"/>
      <c r="FC11" s="177"/>
    </row>
    <row r="12" spans="1:159" s="172" customFormat="1" ht="42.75" customHeight="1">
      <c r="A12" s="442"/>
      <c r="B12" s="442"/>
      <c r="C12" s="180" t="s">
        <v>178</v>
      </c>
      <c r="D12" s="181" t="s">
        <v>179</v>
      </c>
      <c r="E12" s="180" t="s">
        <v>180</v>
      </c>
      <c r="F12" s="180" t="s">
        <v>178</v>
      </c>
      <c r="G12" s="180" t="s">
        <v>179</v>
      </c>
      <c r="H12" s="180" t="s">
        <v>180</v>
      </c>
      <c r="I12" s="180" t="s">
        <v>178</v>
      </c>
      <c r="J12" s="180" t="s">
        <v>179</v>
      </c>
      <c r="K12" s="180" t="s">
        <v>180</v>
      </c>
      <c r="L12" s="180" t="s">
        <v>178</v>
      </c>
      <c r="M12" s="180" t="s">
        <v>179</v>
      </c>
      <c r="N12" s="180" t="s">
        <v>180</v>
      </c>
      <c r="O12" s="180" t="s">
        <v>178</v>
      </c>
      <c r="P12" s="180" t="s">
        <v>179</v>
      </c>
      <c r="Q12" s="180" t="s">
        <v>180</v>
      </c>
      <c r="R12" s="180" t="s">
        <v>178</v>
      </c>
      <c r="S12" s="180" t="s">
        <v>179</v>
      </c>
      <c r="T12" s="180" t="s">
        <v>180</v>
      </c>
      <c r="U12" s="180" t="s">
        <v>178</v>
      </c>
      <c r="V12" s="180" t="s">
        <v>179</v>
      </c>
      <c r="W12" s="180" t="s">
        <v>180</v>
      </c>
      <c r="X12" s="180" t="s">
        <v>178</v>
      </c>
      <c r="Y12" s="180" t="s">
        <v>179</v>
      </c>
      <c r="Z12" s="180" t="s">
        <v>180</v>
      </c>
      <c r="AA12" s="180" t="s">
        <v>178</v>
      </c>
      <c r="AB12" s="180" t="s">
        <v>179</v>
      </c>
      <c r="AC12" s="180" t="s">
        <v>180</v>
      </c>
      <c r="AD12" s="180" t="s">
        <v>178</v>
      </c>
      <c r="AE12" s="180" t="s">
        <v>179</v>
      </c>
      <c r="AF12" s="180" t="s">
        <v>180</v>
      </c>
      <c r="AG12" s="180" t="s">
        <v>178</v>
      </c>
      <c r="AH12" s="180" t="s">
        <v>179</v>
      </c>
      <c r="AI12" s="180" t="s">
        <v>180</v>
      </c>
      <c r="AJ12" s="180" t="s">
        <v>178</v>
      </c>
      <c r="AK12" s="180" t="s">
        <v>179</v>
      </c>
      <c r="AL12" s="180" t="s">
        <v>180</v>
      </c>
      <c r="AM12" s="180" t="s">
        <v>178</v>
      </c>
      <c r="AN12" s="180" t="s">
        <v>179</v>
      </c>
      <c r="AO12" s="180" t="s">
        <v>180</v>
      </c>
      <c r="AP12" s="180" t="s">
        <v>178</v>
      </c>
      <c r="AQ12" s="180" t="s">
        <v>179</v>
      </c>
      <c r="AR12" s="180" t="s">
        <v>180</v>
      </c>
      <c r="AS12" s="180" t="s">
        <v>178</v>
      </c>
      <c r="AT12" s="180" t="s">
        <v>179</v>
      </c>
      <c r="AU12" s="180" t="s">
        <v>180</v>
      </c>
      <c r="AV12" s="180" t="s">
        <v>178</v>
      </c>
      <c r="AW12" s="180" t="s">
        <v>179</v>
      </c>
      <c r="AX12" s="180" t="s">
        <v>180</v>
      </c>
      <c r="AY12" s="180" t="s">
        <v>178</v>
      </c>
      <c r="AZ12" s="180" t="s">
        <v>179</v>
      </c>
      <c r="BA12" s="180" t="s">
        <v>180</v>
      </c>
      <c r="BB12" s="180"/>
      <c r="BC12" s="180"/>
      <c r="BD12" s="180"/>
      <c r="BE12" s="180" t="s">
        <v>181</v>
      </c>
      <c r="BF12" s="180" t="s">
        <v>179</v>
      </c>
      <c r="BG12" s="180" t="s">
        <v>180</v>
      </c>
      <c r="BH12" s="180" t="s">
        <v>178</v>
      </c>
      <c r="BI12" s="180" t="s">
        <v>179</v>
      </c>
      <c r="BJ12" s="180" t="s">
        <v>180</v>
      </c>
      <c r="BK12" s="180" t="s">
        <v>178</v>
      </c>
      <c r="BL12" s="180" t="s">
        <v>179</v>
      </c>
      <c r="BM12" s="180" t="s">
        <v>180</v>
      </c>
      <c r="BN12" s="180" t="s">
        <v>181</v>
      </c>
      <c r="BO12" s="180" t="s">
        <v>179</v>
      </c>
      <c r="BP12" s="180" t="s">
        <v>180</v>
      </c>
      <c r="BQ12" s="180" t="s">
        <v>181</v>
      </c>
      <c r="BR12" s="180" t="s">
        <v>179</v>
      </c>
      <c r="BS12" s="180" t="s">
        <v>180</v>
      </c>
      <c r="BT12" s="180" t="s">
        <v>181</v>
      </c>
      <c r="BU12" s="180" t="s">
        <v>179</v>
      </c>
      <c r="BV12" s="180" t="s">
        <v>180</v>
      </c>
      <c r="BW12" s="180" t="s">
        <v>181</v>
      </c>
      <c r="BX12" s="180" t="s">
        <v>179</v>
      </c>
      <c r="BY12" s="180" t="s">
        <v>180</v>
      </c>
      <c r="BZ12" s="180" t="s">
        <v>178</v>
      </c>
      <c r="CA12" s="180" t="s">
        <v>179</v>
      </c>
      <c r="CB12" s="180" t="s">
        <v>180</v>
      </c>
      <c r="CC12" s="180" t="s">
        <v>178</v>
      </c>
      <c r="CD12" s="180" t="s">
        <v>179</v>
      </c>
      <c r="CE12" s="180" t="s">
        <v>180</v>
      </c>
      <c r="CF12" s="180" t="s">
        <v>178</v>
      </c>
      <c r="CG12" s="180" t="s">
        <v>179</v>
      </c>
      <c r="CH12" s="180" t="s">
        <v>180</v>
      </c>
      <c r="CI12" s="180" t="s">
        <v>178</v>
      </c>
      <c r="CJ12" s="180" t="s">
        <v>179</v>
      </c>
      <c r="CK12" s="180" t="s">
        <v>180</v>
      </c>
      <c r="CL12" s="180" t="s">
        <v>178</v>
      </c>
      <c r="CM12" s="180" t="s">
        <v>179</v>
      </c>
      <c r="CN12" s="180" t="s">
        <v>180</v>
      </c>
      <c r="CO12" s="180" t="s">
        <v>178</v>
      </c>
      <c r="CP12" s="180" t="s">
        <v>179</v>
      </c>
      <c r="CQ12" s="180" t="s">
        <v>180</v>
      </c>
      <c r="CR12" s="180" t="s">
        <v>178</v>
      </c>
      <c r="CS12" s="180" t="s">
        <v>179</v>
      </c>
      <c r="CT12" s="180" t="s">
        <v>180</v>
      </c>
      <c r="CU12" s="180" t="s">
        <v>178</v>
      </c>
      <c r="CV12" s="180" t="s">
        <v>179</v>
      </c>
      <c r="CW12" s="180" t="s">
        <v>180</v>
      </c>
      <c r="CX12" s="180" t="s">
        <v>178</v>
      </c>
      <c r="CY12" s="180" t="s">
        <v>179</v>
      </c>
      <c r="CZ12" s="180" t="s">
        <v>180</v>
      </c>
      <c r="DA12" s="180" t="s">
        <v>178</v>
      </c>
      <c r="DB12" s="180" t="s">
        <v>179</v>
      </c>
      <c r="DC12" s="180" t="s">
        <v>180</v>
      </c>
      <c r="DD12" s="180" t="s">
        <v>178</v>
      </c>
      <c r="DE12" s="180" t="s">
        <v>179</v>
      </c>
      <c r="DF12" s="180" t="s">
        <v>180</v>
      </c>
      <c r="DG12" s="180" t="s">
        <v>178</v>
      </c>
      <c r="DH12" s="180" t="s">
        <v>179</v>
      </c>
      <c r="DI12" s="180" t="s">
        <v>180</v>
      </c>
      <c r="DJ12" s="180" t="s">
        <v>178</v>
      </c>
      <c r="DK12" s="180" t="s">
        <v>179</v>
      </c>
      <c r="DL12" s="180" t="s">
        <v>180</v>
      </c>
      <c r="DM12" s="180" t="s">
        <v>178</v>
      </c>
      <c r="DN12" s="180" t="s">
        <v>179</v>
      </c>
      <c r="DO12" s="180" t="s">
        <v>180</v>
      </c>
      <c r="DP12" s="180" t="s">
        <v>178</v>
      </c>
      <c r="DQ12" s="180" t="s">
        <v>179</v>
      </c>
      <c r="DR12" s="180" t="s">
        <v>180</v>
      </c>
      <c r="DS12" s="180" t="s">
        <v>178</v>
      </c>
      <c r="DT12" s="180" t="s">
        <v>179</v>
      </c>
      <c r="DU12" s="180" t="s">
        <v>180</v>
      </c>
      <c r="DV12" s="180" t="s">
        <v>178</v>
      </c>
      <c r="DW12" s="180" t="s">
        <v>179</v>
      </c>
      <c r="DX12" s="180" t="s">
        <v>180</v>
      </c>
      <c r="DY12" s="180" t="s">
        <v>178</v>
      </c>
      <c r="DZ12" s="180" t="s">
        <v>179</v>
      </c>
      <c r="EA12" s="180" t="s">
        <v>180</v>
      </c>
      <c r="EB12" s="180" t="s">
        <v>178</v>
      </c>
      <c r="EC12" s="180" t="s">
        <v>179</v>
      </c>
      <c r="ED12" s="180" t="s">
        <v>180</v>
      </c>
      <c r="EE12" s="180" t="s">
        <v>178</v>
      </c>
      <c r="EF12" s="180" t="s">
        <v>179</v>
      </c>
      <c r="EG12" s="180" t="s">
        <v>180</v>
      </c>
      <c r="EH12" s="180" t="s">
        <v>178</v>
      </c>
      <c r="EI12" s="180" t="s">
        <v>179</v>
      </c>
      <c r="EJ12" s="180" t="s">
        <v>180</v>
      </c>
      <c r="EK12" s="180" t="s">
        <v>178</v>
      </c>
      <c r="EL12" s="180" t="s">
        <v>179</v>
      </c>
      <c r="EM12" s="180" t="s">
        <v>180</v>
      </c>
      <c r="EN12" s="180" t="s">
        <v>178</v>
      </c>
      <c r="EO12" s="180" t="s">
        <v>179</v>
      </c>
      <c r="EP12" s="180" t="s">
        <v>180</v>
      </c>
      <c r="EQ12" s="180" t="s">
        <v>178</v>
      </c>
      <c r="ER12" s="180" t="s">
        <v>179</v>
      </c>
      <c r="ES12" s="180" t="s">
        <v>180</v>
      </c>
      <c r="ET12" s="180" t="s">
        <v>178</v>
      </c>
      <c r="EU12" s="180" t="s">
        <v>179</v>
      </c>
      <c r="EV12" s="180" t="s">
        <v>180</v>
      </c>
      <c r="EW12" s="180" t="s">
        <v>178</v>
      </c>
      <c r="EX12" s="180" t="s">
        <v>179</v>
      </c>
      <c r="EY12" s="180" t="s">
        <v>180</v>
      </c>
      <c r="FA12" s="177"/>
      <c r="FB12" s="177"/>
      <c r="FC12" s="177"/>
    </row>
    <row r="13" spans="1:155" s="172" customFormat="1" ht="14.25" customHeight="1">
      <c r="A13" s="168">
        <v>1</v>
      </c>
      <c r="B13" s="180">
        <v>2</v>
      </c>
      <c r="C13" s="168">
        <v>3</v>
      </c>
      <c r="D13" s="181">
        <v>4</v>
      </c>
      <c r="E13" s="168">
        <v>5</v>
      </c>
      <c r="F13" s="180">
        <v>6</v>
      </c>
      <c r="G13" s="168">
        <v>7</v>
      </c>
      <c r="H13" s="180">
        <v>8</v>
      </c>
      <c r="I13" s="168">
        <v>9</v>
      </c>
      <c r="J13" s="180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>
        <v>17</v>
      </c>
      <c r="R13" s="168">
        <v>18</v>
      </c>
      <c r="S13" s="168">
        <v>19</v>
      </c>
      <c r="T13" s="168">
        <v>20</v>
      </c>
      <c r="U13" s="168">
        <v>21</v>
      </c>
      <c r="V13" s="168">
        <v>22</v>
      </c>
      <c r="W13" s="168">
        <v>23</v>
      </c>
      <c r="X13" s="180">
        <v>24</v>
      </c>
      <c r="Y13" s="168">
        <v>25</v>
      </c>
      <c r="Z13" s="180">
        <v>26</v>
      </c>
      <c r="AA13" s="168">
        <v>27</v>
      </c>
      <c r="AB13" s="180">
        <v>28</v>
      </c>
      <c r="AC13" s="168">
        <v>29</v>
      </c>
      <c r="AD13" s="180">
        <v>30</v>
      </c>
      <c r="AE13" s="168">
        <v>31</v>
      </c>
      <c r="AF13" s="180">
        <v>32</v>
      </c>
      <c r="AG13" s="168">
        <v>33</v>
      </c>
      <c r="AH13" s="180">
        <v>34</v>
      </c>
      <c r="AI13" s="168">
        <v>35</v>
      </c>
      <c r="AJ13" s="168">
        <v>36</v>
      </c>
      <c r="AK13" s="168">
        <v>37</v>
      </c>
      <c r="AL13" s="168">
        <v>38</v>
      </c>
      <c r="AM13" s="180">
        <v>39</v>
      </c>
      <c r="AN13" s="168">
        <v>40</v>
      </c>
      <c r="AO13" s="180">
        <v>41</v>
      </c>
      <c r="AP13" s="168">
        <v>42</v>
      </c>
      <c r="AQ13" s="180">
        <v>43</v>
      </c>
      <c r="AR13" s="168">
        <v>44</v>
      </c>
      <c r="AS13" s="168">
        <v>45</v>
      </c>
      <c r="AT13" s="180">
        <v>46</v>
      </c>
      <c r="AU13" s="168">
        <v>47</v>
      </c>
      <c r="AV13" s="168">
        <v>48</v>
      </c>
      <c r="AW13" s="180">
        <v>49</v>
      </c>
      <c r="AX13" s="168">
        <v>50</v>
      </c>
      <c r="AY13" s="168">
        <v>48</v>
      </c>
      <c r="AZ13" s="180">
        <v>49</v>
      </c>
      <c r="BA13" s="168">
        <v>50</v>
      </c>
      <c r="BB13" s="168">
        <v>54</v>
      </c>
      <c r="BC13" s="168">
        <v>55</v>
      </c>
      <c r="BD13" s="168">
        <v>56</v>
      </c>
      <c r="BE13" s="180">
        <v>51</v>
      </c>
      <c r="BF13" s="168">
        <v>52</v>
      </c>
      <c r="BG13" s="180">
        <v>53</v>
      </c>
      <c r="BH13" s="168">
        <v>60</v>
      </c>
      <c r="BI13" s="182">
        <v>61</v>
      </c>
      <c r="BJ13" s="183">
        <v>62</v>
      </c>
      <c r="BK13" s="168">
        <v>63</v>
      </c>
      <c r="BL13" s="168">
        <v>64</v>
      </c>
      <c r="BM13" s="168">
        <v>65</v>
      </c>
      <c r="BN13" s="168">
        <v>66</v>
      </c>
      <c r="BO13" s="168">
        <v>67</v>
      </c>
      <c r="BP13" s="168">
        <v>68</v>
      </c>
      <c r="BQ13" s="180">
        <v>54</v>
      </c>
      <c r="BR13" s="168">
        <v>55</v>
      </c>
      <c r="BS13" s="180">
        <v>56</v>
      </c>
      <c r="BT13" s="168">
        <v>72</v>
      </c>
      <c r="BU13" s="180">
        <v>73</v>
      </c>
      <c r="BV13" s="168">
        <v>74</v>
      </c>
      <c r="BW13" s="180">
        <v>75</v>
      </c>
      <c r="BX13" s="168">
        <v>76</v>
      </c>
      <c r="BY13" s="180">
        <v>77</v>
      </c>
      <c r="BZ13" s="168">
        <v>57</v>
      </c>
      <c r="CA13" s="180">
        <v>58</v>
      </c>
      <c r="CB13" s="168">
        <v>59</v>
      </c>
      <c r="CC13" s="180">
        <v>60</v>
      </c>
      <c r="CD13" s="168">
        <v>61</v>
      </c>
      <c r="CE13" s="180">
        <v>62</v>
      </c>
      <c r="CF13" s="168">
        <v>63</v>
      </c>
      <c r="CG13" s="180">
        <v>64</v>
      </c>
      <c r="CH13" s="168">
        <v>65</v>
      </c>
      <c r="CI13" s="180">
        <v>66</v>
      </c>
      <c r="CJ13" s="168">
        <v>67</v>
      </c>
      <c r="CK13" s="180">
        <v>68</v>
      </c>
      <c r="CL13" s="168">
        <v>69</v>
      </c>
      <c r="CM13" s="180">
        <v>70</v>
      </c>
      <c r="CN13" s="168">
        <v>71</v>
      </c>
      <c r="CO13" s="168">
        <v>72</v>
      </c>
      <c r="CP13" s="168">
        <v>73</v>
      </c>
      <c r="CQ13" s="168">
        <v>74</v>
      </c>
      <c r="CR13" s="168">
        <v>75</v>
      </c>
      <c r="CS13" s="168">
        <v>76</v>
      </c>
      <c r="CT13" s="168">
        <v>77</v>
      </c>
      <c r="CU13" s="168">
        <v>78</v>
      </c>
      <c r="CV13" s="168">
        <v>79</v>
      </c>
      <c r="CW13" s="168">
        <v>80</v>
      </c>
      <c r="CX13" s="180">
        <v>96</v>
      </c>
      <c r="CY13" s="168">
        <v>97</v>
      </c>
      <c r="CZ13" s="180">
        <v>98</v>
      </c>
      <c r="DA13" s="180">
        <v>99</v>
      </c>
      <c r="DB13" s="180">
        <v>100</v>
      </c>
      <c r="DC13" s="180">
        <v>101</v>
      </c>
      <c r="DD13" s="180">
        <v>102</v>
      </c>
      <c r="DE13" s="180">
        <v>103</v>
      </c>
      <c r="DF13" s="180">
        <v>104</v>
      </c>
      <c r="DG13" s="168">
        <v>81</v>
      </c>
      <c r="DH13" s="180">
        <v>82</v>
      </c>
      <c r="DI13" s="168">
        <v>83</v>
      </c>
      <c r="DJ13" s="180">
        <v>84</v>
      </c>
      <c r="DK13" s="168">
        <v>85</v>
      </c>
      <c r="DL13" s="180">
        <v>86</v>
      </c>
      <c r="DM13" s="168">
        <v>87</v>
      </c>
      <c r="DN13" s="180">
        <v>88</v>
      </c>
      <c r="DO13" s="168">
        <v>89</v>
      </c>
      <c r="DP13" s="180">
        <v>114</v>
      </c>
      <c r="DQ13" s="168">
        <v>115</v>
      </c>
      <c r="DR13" s="180">
        <v>116</v>
      </c>
      <c r="DS13" s="168">
        <v>90</v>
      </c>
      <c r="DT13" s="180">
        <v>91</v>
      </c>
      <c r="DU13" s="168">
        <v>92</v>
      </c>
      <c r="DV13" s="180">
        <v>93</v>
      </c>
      <c r="DW13" s="180">
        <v>94</v>
      </c>
      <c r="DX13" s="180">
        <v>95</v>
      </c>
      <c r="DY13" s="168">
        <v>96</v>
      </c>
      <c r="DZ13" s="180">
        <v>97</v>
      </c>
      <c r="EA13" s="168">
        <v>98</v>
      </c>
      <c r="EB13" s="180">
        <v>99</v>
      </c>
      <c r="EC13" s="168">
        <v>100</v>
      </c>
      <c r="ED13" s="180">
        <v>101</v>
      </c>
      <c r="EE13" s="168">
        <v>102</v>
      </c>
      <c r="EF13" s="180">
        <v>103</v>
      </c>
      <c r="EG13" s="168">
        <v>104</v>
      </c>
      <c r="EH13" s="180">
        <v>105</v>
      </c>
      <c r="EI13" s="168">
        <v>106</v>
      </c>
      <c r="EJ13" s="180">
        <v>107</v>
      </c>
      <c r="EK13" s="168">
        <v>108</v>
      </c>
      <c r="EL13" s="180">
        <v>109</v>
      </c>
      <c r="EM13" s="168">
        <v>110</v>
      </c>
      <c r="EN13" s="180">
        <v>111</v>
      </c>
      <c r="EO13" s="168">
        <v>112</v>
      </c>
      <c r="EP13" s="180">
        <v>113</v>
      </c>
      <c r="EQ13" s="168">
        <v>114</v>
      </c>
      <c r="ER13" s="180">
        <v>115</v>
      </c>
      <c r="ES13" s="168">
        <v>116</v>
      </c>
      <c r="ET13" s="180">
        <v>117</v>
      </c>
      <c r="EU13" s="168">
        <v>118</v>
      </c>
      <c r="EV13" s="180">
        <v>119</v>
      </c>
      <c r="EW13" s="168">
        <v>120</v>
      </c>
      <c r="EX13" s="180">
        <v>121</v>
      </c>
      <c r="EY13" s="168">
        <v>122</v>
      </c>
    </row>
    <row r="14" spans="1:159" s="172" customFormat="1" ht="15" customHeight="1">
      <c r="A14" s="184">
        <v>1</v>
      </c>
      <c r="B14" s="185" t="s">
        <v>309</v>
      </c>
      <c r="C14" s="186">
        <f aca="true" t="shared" si="0" ref="C14:C29">F14+BZ14</f>
        <v>2352.0206099999996</v>
      </c>
      <c r="D14" s="307">
        <f aca="true" t="shared" si="1" ref="D14:D29">G14+CA14+CY14</f>
        <v>2228.70003</v>
      </c>
      <c r="E14" s="187">
        <f aca="true" t="shared" si="2" ref="E14:E29">D14/C14*100</f>
        <v>94.75682400589169</v>
      </c>
      <c r="F14" s="188">
        <f aca="true" t="shared" si="3" ref="F14:F29">I14+X14+AA14+AD14+AG14+AM14+AS14+BE14+BQ14+BN14+AJ14+AY14+L14+R14+O14+U14+AP14</f>
        <v>688.0699999999999</v>
      </c>
      <c r="G14" s="188">
        <f aca="true" t="shared" si="4" ref="G14:G29">J14+Y14+AB14+AE14+AH14+AN14+AT14+BF14+AK14+BR14+BO14+AZ14+M14+S14+P14+V14+AQ14</f>
        <v>564.74942</v>
      </c>
      <c r="H14" s="187">
        <f>G14/F14*100</f>
        <v>82.07732062144841</v>
      </c>
      <c r="I14" s="313">
        <f>Але!C6</f>
        <v>61.4</v>
      </c>
      <c r="J14" s="313">
        <f>Але!D6</f>
        <v>56.98738</v>
      </c>
      <c r="K14" s="187">
        <f>J14/I14*100</f>
        <v>92.81332247557003</v>
      </c>
      <c r="L14" s="187">
        <f>Але!C8</f>
        <v>65.54</v>
      </c>
      <c r="M14" s="187">
        <f>Але!D8</f>
        <v>88.10578</v>
      </c>
      <c r="N14" s="187">
        <f>M14/L14*100</f>
        <v>134.4305462313091</v>
      </c>
      <c r="O14" s="187">
        <f>Але!C9</f>
        <v>0.81</v>
      </c>
      <c r="P14" s="187">
        <f>Але!D9</f>
        <v>0.89441</v>
      </c>
      <c r="Q14" s="187">
        <f>P14/O14*100</f>
        <v>110.42098765432098</v>
      </c>
      <c r="R14" s="187">
        <f>Але!C10</f>
        <v>135.32</v>
      </c>
      <c r="S14" s="187">
        <f>Але!D10</f>
        <v>142.48561</v>
      </c>
      <c r="T14" s="187">
        <f>S14/R14*100</f>
        <v>105.29530741945021</v>
      </c>
      <c r="U14" s="187">
        <f>Але!C11</f>
        <v>0</v>
      </c>
      <c r="V14" s="187">
        <f>Але!D11</f>
        <v>-17.064</v>
      </c>
      <c r="W14" s="187" t="e">
        <f>V14/U14*100</f>
        <v>#DIV/0!</v>
      </c>
      <c r="X14" s="189">
        <f>Але!C13</f>
        <v>10</v>
      </c>
      <c r="Y14" s="189">
        <f>Але!D13</f>
        <v>0</v>
      </c>
      <c r="Z14" s="187">
        <f>Y14/X14*100</f>
        <v>0</v>
      </c>
      <c r="AA14" s="189">
        <f>Але!C15</f>
        <v>25</v>
      </c>
      <c r="AB14" s="189">
        <f>Але!D15</f>
        <v>28.06562</v>
      </c>
      <c r="AC14" s="187">
        <f>AB14/AA14*100</f>
        <v>112.26247999999998</v>
      </c>
      <c r="AD14" s="189">
        <f>Але!C16</f>
        <v>215</v>
      </c>
      <c r="AE14" s="189">
        <f>Але!D16</f>
        <v>206.68994</v>
      </c>
      <c r="AF14" s="187">
        <f aca="true" t="shared" si="5" ref="AF14:AF29">AE14/AD14*100</f>
        <v>96.1348558139535</v>
      </c>
      <c r="AG14" s="187">
        <f>Але!C18</f>
        <v>5</v>
      </c>
      <c r="AH14" s="187">
        <f>Але!D18</f>
        <v>4.3</v>
      </c>
      <c r="AI14" s="187">
        <f>AH14/AG14*100</f>
        <v>86</v>
      </c>
      <c r="AJ14" s="187"/>
      <c r="AK14" s="187"/>
      <c r="AL14" s="190" t="e">
        <f aca="true" t="shared" si="6" ref="AL14:AL23">AK14/AJ14*100</f>
        <v>#DIV/0!</v>
      </c>
      <c r="AM14" s="189">
        <v>0</v>
      </c>
      <c r="AN14" s="189">
        <v>0</v>
      </c>
      <c r="AO14" s="190" t="e">
        <f aca="true" t="shared" si="7" ref="AO14:AO29">AN14/AM14*100</f>
        <v>#DIV/0!</v>
      </c>
      <c r="AP14" s="189">
        <f>Але!C27</f>
        <v>170</v>
      </c>
      <c r="AQ14" s="189">
        <f>Але!D27</f>
        <v>54.28468</v>
      </c>
      <c r="AR14" s="187">
        <f>AQ14/AP14*100</f>
        <v>31.932164705882354</v>
      </c>
      <c r="AS14" s="191">
        <f>Але!C28</f>
        <v>0</v>
      </c>
      <c r="AT14" s="189">
        <f>Але!D28</f>
        <v>0</v>
      </c>
      <c r="AU14" s="187" t="e">
        <f>AT14/AS14*100</f>
        <v>#DIV/0!</v>
      </c>
      <c r="AV14" s="189"/>
      <c r="AW14" s="189"/>
      <c r="AX14" s="187" t="e">
        <f>AW14/AV14*100</f>
        <v>#DIV/0!</v>
      </c>
      <c r="AY14" s="187">
        <f>Але!C29</f>
        <v>0</v>
      </c>
      <c r="AZ14" s="187">
        <f>Але!C30</f>
        <v>0</v>
      </c>
      <c r="BA14" s="187" t="e">
        <f>AZ14/AY14*100</f>
        <v>#DIV/0!</v>
      </c>
      <c r="BB14" s="187">
        <f>Але!C30</f>
        <v>0</v>
      </c>
      <c r="BC14" s="187">
        <f>Але!D30</f>
        <v>0</v>
      </c>
      <c r="BD14" s="187" t="e">
        <f>BC14/BB14*100</f>
        <v>#DIV/0!</v>
      </c>
      <c r="BE14" s="187">
        <f>Але!C32</f>
        <v>0</v>
      </c>
      <c r="BF14" s="187">
        <f>Але!D31</f>
        <v>0</v>
      </c>
      <c r="BG14" s="187" t="e">
        <f>BF14/BE14*100</f>
        <v>#DIV/0!</v>
      </c>
      <c r="BH14" s="187"/>
      <c r="BI14" s="187"/>
      <c r="BJ14" s="187" t="e">
        <f>BI14/BH14*100</f>
        <v>#DIV/0!</v>
      </c>
      <c r="BK14" s="187"/>
      <c r="BL14" s="187"/>
      <c r="BM14" s="187"/>
      <c r="BN14" s="187"/>
      <c r="BO14" s="187"/>
      <c r="BP14" s="187" t="e">
        <f>BO14/BN14*100</f>
        <v>#DIV/0!</v>
      </c>
      <c r="BQ14" s="187">
        <f>Але!C34</f>
        <v>0</v>
      </c>
      <c r="BR14" s="187">
        <f>Але!D34</f>
        <v>0</v>
      </c>
      <c r="BS14" s="187" t="e">
        <f>BR14/BQ14*100</f>
        <v>#DIV/0!</v>
      </c>
      <c r="BT14" s="187"/>
      <c r="BU14" s="187"/>
      <c r="BV14" s="192" t="e">
        <f>BT14/BU14*100</f>
        <v>#DIV/0!</v>
      </c>
      <c r="BW14" s="192"/>
      <c r="BX14" s="192"/>
      <c r="BY14" s="192" t="e">
        <f>BW14/BX14*100</f>
        <v>#DIV/0!</v>
      </c>
      <c r="BZ14" s="189">
        <f aca="true" t="shared" si="8" ref="BZ14:BZ22">CC14+CF14+CI14+CL14+CR14+CO14</f>
        <v>1663.9506099999999</v>
      </c>
      <c r="CA14" s="189">
        <f aca="true" t="shared" si="9" ref="CA14:CA22">CD14+CG14+CJ14+CM14+CS14+CP14</f>
        <v>1663.9506099999999</v>
      </c>
      <c r="CB14" s="187">
        <f>CA14/BZ14*100</f>
        <v>100</v>
      </c>
      <c r="CC14" s="190">
        <f>Але!C39</f>
        <v>934.81</v>
      </c>
      <c r="CD14" s="190">
        <f>Але!D39</f>
        <v>934.81</v>
      </c>
      <c r="CE14" s="187">
        <f>CD14/CC14*100</f>
        <v>100</v>
      </c>
      <c r="CF14" s="187">
        <f>Але!C40</f>
        <v>496.8</v>
      </c>
      <c r="CG14" s="187">
        <f>Але!D40</f>
        <v>496.8</v>
      </c>
      <c r="CH14" s="187">
        <f>CG14/CF14*100</f>
        <v>100</v>
      </c>
      <c r="CI14" s="187">
        <f>Але!C41</f>
        <v>172.161</v>
      </c>
      <c r="CJ14" s="187">
        <f>Але!D41</f>
        <v>172.161</v>
      </c>
      <c r="CK14" s="187">
        <f aca="true" t="shared" si="10" ref="CK14:CK29">CJ14/CI14*100</f>
        <v>100</v>
      </c>
      <c r="CL14" s="187">
        <f>Але!C42</f>
        <v>60.17961</v>
      </c>
      <c r="CM14" s="187">
        <f>Але!D42</f>
        <v>60.17961</v>
      </c>
      <c r="CN14" s="187">
        <f aca="true" t="shared" si="11" ref="CN14:CN31">CM14/CL14*100</f>
        <v>100</v>
      </c>
      <c r="CO14" s="187">
        <f>Але!C43</f>
        <v>0</v>
      </c>
      <c r="CP14" s="187">
        <f>Але!D43</f>
        <v>0</v>
      </c>
      <c r="CQ14" s="187"/>
      <c r="CR14" s="187"/>
      <c r="CS14" s="187"/>
      <c r="CT14" s="187" t="e">
        <f aca="true" t="shared" si="12" ref="CT14:CT31">CS14/CR14*100</f>
        <v>#DIV/0!</v>
      </c>
      <c r="CU14" s="187"/>
      <c r="CV14" s="187"/>
      <c r="CW14" s="187"/>
      <c r="CX14" s="189"/>
      <c r="CY14" s="189"/>
      <c r="CZ14" s="187" t="e">
        <f>CY14/CX14*100</f>
        <v>#DIV/0!</v>
      </c>
      <c r="DA14" s="187"/>
      <c r="DB14" s="187"/>
      <c r="DC14" s="187"/>
      <c r="DD14" s="187"/>
      <c r="DE14" s="187"/>
      <c r="DF14" s="187"/>
      <c r="DG14" s="189">
        <f>DJ14+DY14+EB14+EE14+EH14+EK14+EN14+EQ14+ET14</f>
        <v>2436.17761</v>
      </c>
      <c r="DH14" s="189">
        <f>DK14+DZ14+EC14+EF14+EI14+EL14+EO14+ER14+EU14</f>
        <v>2296.1076599999997</v>
      </c>
      <c r="DI14" s="187">
        <f>DH14/DG14*100</f>
        <v>94.25042125725798</v>
      </c>
      <c r="DJ14" s="189">
        <f>DM14+DP14+DS14+DV14</f>
        <v>945.219</v>
      </c>
      <c r="DK14" s="189">
        <f>DN14+DQ14+DT14+DW14</f>
        <v>907.06207</v>
      </c>
      <c r="DL14" s="187">
        <f>DK14/DJ14*100</f>
        <v>95.96316515008691</v>
      </c>
      <c r="DM14" s="187">
        <f>Але!C54</f>
        <v>937.6</v>
      </c>
      <c r="DN14" s="187">
        <f>Але!D54</f>
        <v>904.68057</v>
      </c>
      <c r="DO14" s="187">
        <f>DN14/DM14*100</f>
        <v>96.4889686433447</v>
      </c>
      <c r="DP14" s="187">
        <f>Але!C57</f>
        <v>0</v>
      </c>
      <c r="DQ14" s="187">
        <f>Але!D57</f>
        <v>0</v>
      </c>
      <c r="DR14" s="187" t="e">
        <f>DQ14/DP14*100</f>
        <v>#DIV/0!</v>
      </c>
      <c r="DS14" s="187">
        <f>Але!C58</f>
        <v>5</v>
      </c>
      <c r="DT14" s="187">
        <f>Але!D58</f>
        <v>0</v>
      </c>
      <c r="DU14" s="187">
        <f>DT14/DS14*100</f>
        <v>0</v>
      </c>
      <c r="DV14" s="187">
        <f>Але!C59</f>
        <v>2.619</v>
      </c>
      <c r="DW14" s="187">
        <f>Але!D59</f>
        <v>2.3815</v>
      </c>
      <c r="DX14" s="187">
        <f>DW14/DV14*100</f>
        <v>90.93165330278732</v>
      </c>
      <c r="DY14" s="187">
        <f>Але!C61</f>
        <v>59.44831</v>
      </c>
      <c r="DZ14" s="226">
        <f>Але!D61</f>
        <v>59.44831</v>
      </c>
      <c r="EA14" s="187">
        <f>DZ14/DY14*100</f>
        <v>100</v>
      </c>
      <c r="EB14" s="187">
        <f>Але!C62</f>
        <v>8.785</v>
      </c>
      <c r="EC14" s="187">
        <f>Але!D62</f>
        <v>8.78347</v>
      </c>
      <c r="ED14" s="187">
        <f>EC14/EB14*100</f>
        <v>99.98258394991461</v>
      </c>
      <c r="EE14" s="189">
        <f>Але!C67</f>
        <v>735.1003000000001</v>
      </c>
      <c r="EF14" s="189">
        <f>Але!D67</f>
        <v>659.267</v>
      </c>
      <c r="EG14" s="187">
        <f>EF14/EE14*100</f>
        <v>89.68395197226828</v>
      </c>
      <c r="EH14" s="189">
        <f>Але!C72</f>
        <v>215.025</v>
      </c>
      <c r="EI14" s="189">
        <f>Але!D72</f>
        <v>188.94681</v>
      </c>
      <c r="EJ14" s="187">
        <f>EI14/EH14*100</f>
        <v>87.87201953261248</v>
      </c>
      <c r="EK14" s="397">
        <f>Але!C76</f>
        <v>467.6</v>
      </c>
      <c r="EL14" s="193">
        <f>Але!D76</f>
        <v>467.6</v>
      </c>
      <c r="EM14" s="187">
        <f aca="true" t="shared" si="13" ref="EM14:EM29">EL14/EK14*100</f>
        <v>100</v>
      </c>
      <c r="EN14" s="187">
        <f>Але!C78</f>
        <v>0</v>
      </c>
      <c r="EO14" s="187">
        <f>Але!D78</f>
        <v>0</v>
      </c>
      <c r="EP14" s="187" t="e">
        <f aca="true" t="shared" si="14" ref="EP14:EP29">EO14/EN14*100</f>
        <v>#DIV/0!</v>
      </c>
      <c r="EQ14" s="188">
        <f>Але!C83</f>
        <v>5</v>
      </c>
      <c r="ER14" s="188">
        <f>Але!D83</f>
        <v>5</v>
      </c>
      <c r="ES14" s="187">
        <f>ER14/EQ14*100</f>
        <v>100</v>
      </c>
      <c r="ET14" s="187">
        <f>Але!C89</f>
        <v>0</v>
      </c>
      <c r="EU14" s="187">
        <f>Але!D89</f>
        <v>0</v>
      </c>
      <c r="EV14" s="187" t="e">
        <f>EU14/ET14*100</f>
        <v>#DIV/0!</v>
      </c>
      <c r="EW14" s="194">
        <f aca="true" t="shared" si="15" ref="EW14:EW29">SUM(C14-DG14)</f>
        <v>-84.15700000000061</v>
      </c>
      <c r="EX14" s="194">
        <f aca="true" t="shared" si="16" ref="EX14:EX29">SUM(D14-DH14)</f>
        <v>-67.4076299999997</v>
      </c>
      <c r="EY14" s="187">
        <f>EX14/EW14*100%</f>
        <v>0.8009747258100837</v>
      </c>
      <c r="EZ14" s="195"/>
      <c r="FA14" s="196"/>
      <c r="FC14" s="196"/>
    </row>
    <row r="15" spans="1:159" s="202" customFormat="1" ht="15" customHeight="1">
      <c r="A15" s="184">
        <v>2</v>
      </c>
      <c r="B15" s="197" t="s">
        <v>310</v>
      </c>
      <c r="C15" s="186">
        <f t="shared" si="0"/>
        <v>7057.84626</v>
      </c>
      <c r="D15" s="307">
        <f t="shared" si="1"/>
        <v>7107.5786</v>
      </c>
      <c r="E15" s="190">
        <f t="shared" si="2"/>
        <v>100.70463903814193</v>
      </c>
      <c r="F15" s="188">
        <f t="shared" si="3"/>
        <v>2853.98</v>
      </c>
      <c r="G15" s="188">
        <f t="shared" si="4"/>
        <v>2903.71234</v>
      </c>
      <c r="H15" s="190">
        <f aca="true" t="shared" si="17" ref="H15:H29">G15/F15*100</f>
        <v>101.74256091493284</v>
      </c>
      <c r="I15" s="198">
        <f>Сун!C6</f>
        <v>457.95</v>
      </c>
      <c r="J15" s="198">
        <f>Сун!D6</f>
        <v>430.73935</v>
      </c>
      <c r="K15" s="190">
        <f aca="true" t="shared" si="18" ref="K15:K29">J15/I15*100</f>
        <v>94.05816137132875</v>
      </c>
      <c r="L15" s="190">
        <f>Сун!C8</f>
        <v>166.09</v>
      </c>
      <c r="M15" s="190">
        <f>Сун!D8</f>
        <v>223.25835</v>
      </c>
      <c r="N15" s="187">
        <f aca="true" t="shared" si="19" ref="N15:N29">M15/L15*100</f>
        <v>134.42010355831175</v>
      </c>
      <c r="O15" s="187">
        <f>Сун!C9</f>
        <v>2.04</v>
      </c>
      <c r="P15" s="187">
        <f>Сун!D9</f>
        <v>2.26644</v>
      </c>
      <c r="Q15" s="187">
        <f aca="true" t="shared" si="20" ref="Q15:Q29">P15/O15*100</f>
        <v>111.1</v>
      </c>
      <c r="R15" s="187">
        <f>Сун!C10</f>
        <v>342.9</v>
      </c>
      <c r="S15" s="187">
        <f>Сун!D10</f>
        <v>361.05574</v>
      </c>
      <c r="T15" s="187">
        <f aca="true" t="shared" si="21" ref="T15:T29">S15/R15*100</f>
        <v>105.29476232137651</v>
      </c>
      <c r="U15" s="187">
        <f>Сун!C11</f>
        <v>0</v>
      </c>
      <c r="V15" s="187">
        <f>Сун!D11</f>
        <v>-43.23987</v>
      </c>
      <c r="W15" s="187" t="e">
        <f aca="true" t="shared" si="22" ref="W15:W29">V15/U15*100</f>
        <v>#DIV/0!</v>
      </c>
      <c r="X15" s="198">
        <f>Сун!C13</f>
        <v>30</v>
      </c>
      <c r="Y15" s="198">
        <f>Сун!D13</f>
        <v>24.88718</v>
      </c>
      <c r="Z15" s="190">
        <f aca="true" t="shared" si="23" ref="Z15:Z29">Y15/X15*100</f>
        <v>82.95726666666667</v>
      </c>
      <c r="AA15" s="198">
        <f>Сун!C15</f>
        <v>220</v>
      </c>
      <c r="AB15" s="198">
        <f>Сун!D15</f>
        <v>174.02235</v>
      </c>
      <c r="AC15" s="190">
        <f aca="true" t="shared" si="24" ref="AC15:AC29">AB15/AA15*100</f>
        <v>79.10106818181818</v>
      </c>
      <c r="AD15" s="198">
        <f>Сун!C16</f>
        <v>1250</v>
      </c>
      <c r="AE15" s="198">
        <f>Сун!D16</f>
        <v>1246.38974</v>
      </c>
      <c r="AF15" s="190">
        <f t="shared" si="5"/>
        <v>99.7111792</v>
      </c>
      <c r="AG15" s="190">
        <f>Сун!C18</f>
        <v>15</v>
      </c>
      <c r="AH15" s="190">
        <f>Сун!D18</f>
        <v>13.175</v>
      </c>
      <c r="AI15" s="190">
        <f aca="true" t="shared" si="25" ref="AI15:AI31">AH15/AG15*100</f>
        <v>87.83333333333334</v>
      </c>
      <c r="AJ15" s="190"/>
      <c r="AK15" s="190"/>
      <c r="AL15" s="190" t="e">
        <f t="shared" si="6"/>
        <v>#DIV/0!</v>
      </c>
      <c r="AM15" s="198">
        <f>Сун!C27</f>
        <v>0</v>
      </c>
      <c r="AN15" s="198">
        <f>Сун!D27</f>
        <v>0</v>
      </c>
      <c r="AO15" s="190" t="e">
        <f t="shared" si="7"/>
        <v>#DIV/0!</v>
      </c>
      <c r="AP15" s="198">
        <f>Сун!C28</f>
        <v>205</v>
      </c>
      <c r="AQ15" s="198">
        <f>Сун!D28</f>
        <v>56.5</v>
      </c>
      <c r="AR15" s="190">
        <f aca="true" t="shared" si="26" ref="AR15:AR29">AQ15/AP15*100</f>
        <v>27.5609756097561</v>
      </c>
      <c r="AS15" s="191">
        <f>Сун!C29</f>
        <v>100</v>
      </c>
      <c r="AT15" s="198">
        <f>Сун!D29</f>
        <v>299.8078</v>
      </c>
      <c r="AU15" s="190">
        <f aca="true" t="shared" si="27" ref="AU15:AU29">AT15/AS15*100</f>
        <v>299.8078</v>
      </c>
      <c r="AV15" s="198"/>
      <c r="AW15" s="198"/>
      <c r="AX15" s="190" t="e">
        <f aca="true" t="shared" si="28" ref="AX15:AX29">AW15/AV15*100</f>
        <v>#DIV/0!</v>
      </c>
      <c r="AY15" s="190">
        <f>Сун!C31</f>
        <v>50</v>
      </c>
      <c r="AZ15" s="190">
        <f>Сун!D31</f>
        <v>100.18424</v>
      </c>
      <c r="BA15" s="190">
        <f aca="true" t="shared" si="29" ref="BA15:BA31">AZ15/AY15*100</f>
        <v>200.36848000000003</v>
      </c>
      <c r="BB15" s="190"/>
      <c r="BC15" s="190"/>
      <c r="BD15" s="190"/>
      <c r="BE15" s="190">
        <f>Сун!C34</f>
        <v>0</v>
      </c>
      <c r="BF15" s="190">
        <f>Сун!D34</f>
        <v>0</v>
      </c>
      <c r="BG15" s="190" t="e">
        <f aca="true" t="shared" si="30" ref="BG15:BG31">BF15/BE15*100</f>
        <v>#DIV/0!</v>
      </c>
      <c r="BH15" s="190"/>
      <c r="BI15" s="190"/>
      <c r="BJ15" s="190" t="e">
        <f aca="true" t="shared" si="31" ref="BJ15:BJ29">BI15/BH15*100</f>
        <v>#DIV/0!</v>
      </c>
      <c r="BK15" s="190">
        <f>Сун!C35</f>
        <v>15</v>
      </c>
      <c r="BL15" s="190">
        <f>Сун!D35</f>
        <v>14.66602</v>
      </c>
      <c r="BM15" s="190"/>
      <c r="BN15" s="190">
        <f>Сун!C35</f>
        <v>15</v>
      </c>
      <c r="BO15" s="292">
        <f>Сун!D35</f>
        <v>14.66602</v>
      </c>
      <c r="BP15" s="190">
        <f aca="true" t="shared" si="32" ref="BP15:BP29">BO15/BN15*100</f>
        <v>97.77346666666666</v>
      </c>
      <c r="BQ15" s="190">
        <f>Сун!C37</f>
        <v>0</v>
      </c>
      <c r="BR15" s="190">
        <f>Сун!D37</f>
        <v>0</v>
      </c>
      <c r="BS15" s="190" t="e">
        <f aca="true" t="shared" si="33" ref="BS15:BS29">BR15/BQ15*100</f>
        <v>#DIV/0!</v>
      </c>
      <c r="BT15" s="190"/>
      <c r="BU15" s="190"/>
      <c r="BV15" s="199" t="e">
        <f aca="true" t="shared" si="34" ref="BV15:BV29">BT15/BU15*100</f>
        <v>#DIV/0!</v>
      </c>
      <c r="BW15" s="199"/>
      <c r="BX15" s="199"/>
      <c r="BY15" s="199" t="e">
        <f aca="true" t="shared" si="35" ref="BY15:BY29">BW15/BX15*100</f>
        <v>#DIV/0!</v>
      </c>
      <c r="BZ15" s="189">
        <f t="shared" si="8"/>
        <v>4203.86626</v>
      </c>
      <c r="CA15" s="189">
        <f t="shared" si="9"/>
        <v>4203.86626</v>
      </c>
      <c r="CB15" s="190">
        <f>CA15/BZ15*100</f>
        <v>100</v>
      </c>
      <c r="CC15" s="190">
        <f>Сун!C42</f>
        <v>3444.16</v>
      </c>
      <c r="CD15" s="190">
        <f>Сун!D42</f>
        <v>3444.16</v>
      </c>
      <c r="CE15" s="190">
        <f aca="true" t="shared" si="36" ref="CE15:CE29">CD15/CC15*100</f>
        <v>100</v>
      </c>
      <c r="CF15" s="190">
        <f>Сун!C43</f>
        <v>351.12</v>
      </c>
      <c r="CG15" s="190">
        <f>Сун!D43</f>
        <v>351.12</v>
      </c>
      <c r="CH15" s="190">
        <f aca="true" t="shared" si="37" ref="CH15:CH29">CG15/CF15*100</f>
        <v>100</v>
      </c>
      <c r="CI15" s="243">
        <f>Сун!C44</f>
        <v>264.15</v>
      </c>
      <c r="CJ15" s="190">
        <f>Сун!D44</f>
        <v>264.15</v>
      </c>
      <c r="CK15" s="190">
        <f t="shared" si="10"/>
        <v>100</v>
      </c>
      <c r="CL15" s="190">
        <f>Сун!C45</f>
        <v>144.43626</v>
      </c>
      <c r="CM15" s="190">
        <f>Сун!D45</f>
        <v>144.43626</v>
      </c>
      <c r="CN15" s="190">
        <f t="shared" si="11"/>
        <v>100</v>
      </c>
      <c r="CO15" s="190">
        <f>Сун!C46</f>
        <v>0</v>
      </c>
      <c r="CP15" s="190">
        <f>Сун!D46</f>
        <v>0</v>
      </c>
      <c r="CQ15" s="190" t="e">
        <f>CP15/CO15*100</f>
        <v>#DIV/0!</v>
      </c>
      <c r="CR15" s="190"/>
      <c r="CS15" s="190"/>
      <c r="CT15" s="190" t="e">
        <f t="shared" si="12"/>
        <v>#DIV/0!</v>
      </c>
      <c r="CU15" s="190"/>
      <c r="CV15" s="190"/>
      <c r="CW15" s="190"/>
      <c r="CX15" s="198"/>
      <c r="CY15" s="198"/>
      <c r="CZ15" s="190" t="e">
        <f aca="true" t="shared" si="38" ref="CZ15:CZ29">CY15/CX15*100</f>
        <v>#DIV/0!</v>
      </c>
      <c r="DA15" s="190"/>
      <c r="DB15" s="190"/>
      <c r="DC15" s="190"/>
      <c r="DD15" s="190"/>
      <c r="DE15" s="190"/>
      <c r="DF15" s="190"/>
      <c r="DG15" s="198">
        <f>DJ15+DY15+EB15+EE15+EH15+EK15+EN15+EQ15+ET15</f>
        <v>7308.36726</v>
      </c>
      <c r="DH15" s="198">
        <f aca="true" t="shared" si="39" ref="DG15:DH29">DK15+DZ15+EC15+EF15+EI15+EL15+EO15+ER15+EU15</f>
        <v>7102.478800000001</v>
      </c>
      <c r="DI15" s="190">
        <f aca="true" t="shared" si="40" ref="DI15:DI29">DH15/DG15*100</f>
        <v>97.1828391667334</v>
      </c>
      <c r="DJ15" s="198">
        <f>DM15+DP15+DS15+DV15</f>
        <v>1729.647</v>
      </c>
      <c r="DK15" s="198">
        <f aca="true" t="shared" si="41" ref="DJ15:DK29">DN15+DQ15+DT15+DW15</f>
        <v>1708.37464</v>
      </c>
      <c r="DL15" s="190">
        <f aca="true" t="shared" si="42" ref="DL15:DL29">DK15/DJ15*100</f>
        <v>98.77013286526095</v>
      </c>
      <c r="DM15" s="190">
        <f>Сун!C57</f>
        <v>1701.547</v>
      </c>
      <c r="DN15" s="190">
        <f>Сун!D57</f>
        <v>1690.27018</v>
      </c>
      <c r="DO15" s="190">
        <f aca="true" t="shared" si="43" ref="DO15:DO29">DN15/DM15*100</f>
        <v>99.33726073978562</v>
      </c>
      <c r="DP15" s="190">
        <f>Сун!C60</f>
        <v>0</v>
      </c>
      <c r="DQ15" s="190">
        <f>Сун!D60</f>
        <v>0</v>
      </c>
      <c r="DR15" s="190" t="e">
        <f aca="true" t="shared" si="44" ref="DR15:DR29">DQ15/DP15*100</f>
        <v>#DIV/0!</v>
      </c>
      <c r="DS15" s="190">
        <f>Сун!C61</f>
        <v>5</v>
      </c>
      <c r="DT15" s="190">
        <f>Сун!D61</f>
        <v>0</v>
      </c>
      <c r="DU15" s="190">
        <f aca="true" t="shared" si="45" ref="DU15:DU29">DT15/DS15*100</f>
        <v>0</v>
      </c>
      <c r="DV15" s="190">
        <f>Сун!C62</f>
        <v>23.1</v>
      </c>
      <c r="DW15" s="190">
        <f>Сун!D62</f>
        <v>18.10446</v>
      </c>
      <c r="DX15" s="190">
        <f aca="true" t="shared" si="46" ref="DX15:DX29">DW15/DV15*100</f>
        <v>78.3742857142857</v>
      </c>
      <c r="DY15" s="190">
        <f>Сун!C64</f>
        <v>143.63846</v>
      </c>
      <c r="DZ15" s="292">
        <f>Сун!D64</f>
        <v>143.63846</v>
      </c>
      <c r="EA15" s="190">
        <f aca="true" t="shared" si="47" ref="EA15:EA31">DZ15/DY15*100</f>
        <v>100</v>
      </c>
      <c r="EB15" s="190">
        <f>Сун!C65</f>
        <v>5.6</v>
      </c>
      <c r="EC15" s="190">
        <f>Сун!D65</f>
        <v>0.87524</v>
      </c>
      <c r="ED15" s="190">
        <f aca="true" t="shared" si="48" ref="ED15:ED31">EC15/EB15*100</f>
        <v>15.629285714285714</v>
      </c>
      <c r="EE15" s="198">
        <f>Сун!C70</f>
        <v>2031.5439999999999</v>
      </c>
      <c r="EF15" s="198">
        <f>Сун!D70</f>
        <v>1927.3419700000002</v>
      </c>
      <c r="EG15" s="190">
        <f aca="true" t="shared" si="49" ref="EG15:EG29">EF15/EE15*100</f>
        <v>94.87079630074467</v>
      </c>
      <c r="EH15" s="198">
        <f>Сун!C75</f>
        <v>1019.9478</v>
      </c>
      <c r="EI15" s="198">
        <f>Сун!D75</f>
        <v>980.19436</v>
      </c>
      <c r="EJ15" s="190">
        <f aca="true" t="shared" si="50" ref="EJ15:EJ29">EI15/EH15*100</f>
        <v>96.10240445638492</v>
      </c>
      <c r="EK15" s="398">
        <f>Сун!C80</f>
        <v>2357.99</v>
      </c>
      <c r="EL15" s="200">
        <f>Сун!D80</f>
        <v>2324.03713</v>
      </c>
      <c r="EM15" s="190">
        <f t="shared" si="13"/>
        <v>98.56009270607595</v>
      </c>
      <c r="EN15" s="190">
        <f>Сун!C83</f>
        <v>0</v>
      </c>
      <c r="EO15" s="190">
        <f>Сун!D83</f>
        <v>0</v>
      </c>
      <c r="EP15" s="190" t="e">
        <f t="shared" si="14"/>
        <v>#DIV/0!</v>
      </c>
      <c r="EQ15" s="201">
        <f>Сун!C88</f>
        <v>20</v>
      </c>
      <c r="ER15" s="201">
        <f>Сун!D88</f>
        <v>18.017</v>
      </c>
      <c r="ES15" s="190">
        <f aca="true" t="shared" si="51" ref="ES15:ES29">ER15/EQ15*100</f>
        <v>90.085</v>
      </c>
      <c r="ET15" s="190">
        <f>Сун!C94</f>
        <v>0</v>
      </c>
      <c r="EU15" s="190">
        <f>Сун!D94</f>
        <v>0</v>
      </c>
      <c r="EV15" s="187" t="e">
        <f>EU15/ET15*100</f>
        <v>#DIV/0!</v>
      </c>
      <c r="EW15" s="194">
        <f t="shared" si="15"/>
        <v>-250.52099999999973</v>
      </c>
      <c r="EX15" s="194">
        <f t="shared" si="16"/>
        <v>5.09979999999905</v>
      </c>
      <c r="EY15" s="187">
        <f>EX15/EW15*100%</f>
        <v>-0.020356776477816453</v>
      </c>
      <c r="EZ15" s="195"/>
      <c r="FA15" s="196"/>
      <c r="FC15" s="196"/>
    </row>
    <row r="16" spans="1:159" s="172" customFormat="1" ht="15" customHeight="1">
      <c r="A16" s="184">
        <v>3</v>
      </c>
      <c r="B16" s="197" t="s">
        <v>311</v>
      </c>
      <c r="C16" s="307">
        <f t="shared" si="0"/>
        <v>5644.7642</v>
      </c>
      <c r="D16" s="307">
        <f t="shared" si="1"/>
        <v>5672.18469</v>
      </c>
      <c r="E16" s="190">
        <f t="shared" si="2"/>
        <v>100.48576856407927</v>
      </c>
      <c r="F16" s="188">
        <f t="shared" si="3"/>
        <v>1699.3700000000001</v>
      </c>
      <c r="G16" s="188">
        <f t="shared" si="4"/>
        <v>1747.6834900000003</v>
      </c>
      <c r="H16" s="190">
        <f t="shared" si="17"/>
        <v>102.84302359109554</v>
      </c>
      <c r="I16" s="314">
        <f>Иль!C6</f>
        <v>73.34</v>
      </c>
      <c r="J16" s="314">
        <f>Иль!D6</f>
        <v>81.12276</v>
      </c>
      <c r="K16" s="190">
        <f t="shared" si="18"/>
        <v>110.61188982819743</v>
      </c>
      <c r="L16" s="190">
        <f>Иль!C8</f>
        <v>177.54</v>
      </c>
      <c r="M16" s="190">
        <f>Иль!D8</f>
        <v>238.65547</v>
      </c>
      <c r="N16" s="187">
        <f t="shared" si="19"/>
        <v>134.42349329728515</v>
      </c>
      <c r="O16" s="187">
        <f>Иль!C9</f>
        <v>2.19</v>
      </c>
      <c r="P16" s="187">
        <f>Иль!D9</f>
        <v>2.42276</v>
      </c>
      <c r="Q16" s="187">
        <f t="shared" si="20"/>
        <v>110.6283105022831</v>
      </c>
      <c r="R16" s="187">
        <f>Иль!C10</f>
        <v>366.55</v>
      </c>
      <c r="S16" s="187">
        <f>Иль!D10</f>
        <v>385.95614</v>
      </c>
      <c r="T16" s="187">
        <f t="shared" si="21"/>
        <v>105.29426817623788</v>
      </c>
      <c r="U16" s="187">
        <f>Иль!C11</f>
        <v>0</v>
      </c>
      <c r="V16" s="187">
        <f>Иль!D11</f>
        <v>-46.22192</v>
      </c>
      <c r="W16" s="187" t="e">
        <f t="shared" si="22"/>
        <v>#DIV/0!</v>
      </c>
      <c r="X16" s="198">
        <f>Иль!C13</f>
        <v>10</v>
      </c>
      <c r="Y16" s="198">
        <f>Иль!D13</f>
        <v>7.72391</v>
      </c>
      <c r="Z16" s="190">
        <f t="shared" si="23"/>
        <v>77.23910000000001</v>
      </c>
      <c r="AA16" s="198">
        <f>Иль!C15</f>
        <v>80</v>
      </c>
      <c r="AB16" s="198">
        <f>Иль!D15</f>
        <v>93.81675</v>
      </c>
      <c r="AC16" s="190">
        <f t="shared" si="24"/>
        <v>117.27093749999999</v>
      </c>
      <c r="AD16" s="198">
        <f>Иль!C16</f>
        <v>771.75</v>
      </c>
      <c r="AE16" s="198">
        <f>Иль!D16</f>
        <v>790.87089</v>
      </c>
      <c r="AF16" s="190">
        <f t="shared" si="5"/>
        <v>102.47760155490768</v>
      </c>
      <c r="AG16" s="190">
        <f>Иль!C18</f>
        <v>20</v>
      </c>
      <c r="AH16" s="190">
        <f>Иль!D18</f>
        <v>16.2</v>
      </c>
      <c r="AI16" s="190">
        <f t="shared" si="25"/>
        <v>81</v>
      </c>
      <c r="AJ16" s="190"/>
      <c r="AK16" s="190"/>
      <c r="AL16" s="190" t="e">
        <f t="shared" si="6"/>
        <v>#DIV/0!</v>
      </c>
      <c r="AM16" s="198">
        <f>Иль!C27</f>
        <v>0</v>
      </c>
      <c r="AN16" s="198">
        <f>Иль!D27</f>
        <v>0</v>
      </c>
      <c r="AO16" s="190" t="e">
        <f t="shared" si="7"/>
        <v>#DIV/0!</v>
      </c>
      <c r="AP16" s="198">
        <f>Иль!C28</f>
        <v>165</v>
      </c>
      <c r="AQ16" s="198">
        <f>Иль!D28</f>
        <v>131.6998</v>
      </c>
      <c r="AR16" s="190">
        <f t="shared" si="26"/>
        <v>79.81806060606061</v>
      </c>
      <c r="AS16" s="191">
        <f>Иль!C29</f>
        <v>33</v>
      </c>
      <c r="AT16" s="198">
        <f>Иль!D29</f>
        <v>41.6418</v>
      </c>
      <c r="AU16" s="190">
        <f t="shared" si="27"/>
        <v>126.18727272727274</v>
      </c>
      <c r="AV16" s="198"/>
      <c r="AW16" s="198"/>
      <c r="AX16" s="190" t="e">
        <f t="shared" si="28"/>
        <v>#DIV/0!</v>
      </c>
      <c r="AY16" s="190"/>
      <c r="AZ16" s="190"/>
      <c r="BA16" s="190" t="e">
        <f t="shared" si="29"/>
        <v>#DIV/0!</v>
      </c>
      <c r="BB16" s="190"/>
      <c r="BC16" s="190"/>
      <c r="BD16" s="190"/>
      <c r="BE16" s="190">
        <f>Иль!C34</f>
        <v>0</v>
      </c>
      <c r="BF16" s="190">
        <f>Иль!D34</f>
        <v>0</v>
      </c>
      <c r="BG16" s="190" t="e">
        <f t="shared" si="30"/>
        <v>#DIV/0!</v>
      </c>
      <c r="BH16" s="190"/>
      <c r="BI16" s="190"/>
      <c r="BJ16" s="190" t="e">
        <f t="shared" si="31"/>
        <v>#DIV/0!</v>
      </c>
      <c r="BK16" s="190"/>
      <c r="BL16" s="190"/>
      <c r="BM16" s="190"/>
      <c r="BN16" s="190"/>
      <c r="BO16" s="292">
        <f>Иль!D35</f>
        <v>1.48393</v>
      </c>
      <c r="BP16" s="190" t="e">
        <f t="shared" si="32"/>
        <v>#DIV/0!</v>
      </c>
      <c r="BQ16" s="190">
        <f>Иль!C37</f>
        <v>0</v>
      </c>
      <c r="BR16" s="190">
        <f>Иль!D37</f>
        <v>2.3112</v>
      </c>
      <c r="BS16" s="190" t="e">
        <f t="shared" si="33"/>
        <v>#DIV/0!</v>
      </c>
      <c r="BT16" s="190"/>
      <c r="BU16" s="190"/>
      <c r="BV16" s="199" t="e">
        <f t="shared" si="34"/>
        <v>#DIV/0!</v>
      </c>
      <c r="BW16" s="199"/>
      <c r="BX16" s="199"/>
      <c r="BY16" s="199" t="e">
        <f t="shared" si="35"/>
        <v>#DIV/0!</v>
      </c>
      <c r="BZ16" s="189">
        <f t="shared" si="8"/>
        <v>3945.3941999999997</v>
      </c>
      <c r="CA16" s="189">
        <f t="shared" si="9"/>
        <v>3924.5011999999997</v>
      </c>
      <c r="CB16" s="190">
        <f>CA16/BZ16*100</f>
        <v>99.47044581755607</v>
      </c>
      <c r="CC16" s="190">
        <f>Иль!C42</f>
        <v>1738.07</v>
      </c>
      <c r="CD16" s="190">
        <f>Иль!D42</f>
        <v>1738.07</v>
      </c>
      <c r="CE16" s="190">
        <f t="shared" si="36"/>
        <v>100</v>
      </c>
      <c r="CF16" s="190">
        <f>Иль!C43</f>
        <v>277.5</v>
      </c>
      <c r="CG16" s="190">
        <f>Иль!D43</f>
        <v>277.5</v>
      </c>
      <c r="CH16" s="190">
        <f t="shared" si="37"/>
        <v>100</v>
      </c>
      <c r="CI16" s="187">
        <f>Иль!C44</f>
        <v>482.46</v>
      </c>
      <c r="CJ16" s="190">
        <f>Иль!D44</f>
        <v>461.567</v>
      </c>
      <c r="CK16" s="190">
        <f t="shared" si="10"/>
        <v>95.66948555320648</v>
      </c>
      <c r="CL16" s="190">
        <f>Иль!C45</f>
        <v>147.3642</v>
      </c>
      <c r="CM16" s="190">
        <f>Иль!D45</f>
        <v>147.3642</v>
      </c>
      <c r="CN16" s="190">
        <f t="shared" si="11"/>
        <v>100</v>
      </c>
      <c r="CO16" s="190">
        <f>Иль!C46</f>
        <v>1300</v>
      </c>
      <c r="CP16" s="190">
        <f>Иль!D46</f>
        <v>1300</v>
      </c>
      <c r="CQ16" s="190"/>
      <c r="CR16" s="190"/>
      <c r="CS16" s="190"/>
      <c r="CT16" s="190" t="e">
        <f t="shared" si="12"/>
        <v>#DIV/0!</v>
      </c>
      <c r="CU16" s="190"/>
      <c r="CV16" s="190"/>
      <c r="CW16" s="190"/>
      <c r="CX16" s="198"/>
      <c r="CY16" s="198"/>
      <c r="CZ16" s="190" t="e">
        <f t="shared" si="38"/>
        <v>#DIV/0!</v>
      </c>
      <c r="DA16" s="190"/>
      <c r="DB16" s="190"/>
      <c r="DC16" s="190"/>
      <c r="DD16" s="190"/>
      <c r="DE16" s="190"/>
      <c r="DF16" s="190">
        <v>0</v>
      </c>
      <c r="DG16" s="198">
        <f t="shared" si="39"/>
        <v>6062.0722</v>
      </c>
      <c r="DH16" s="198">
        <f t="shared" si="39"/>
        <v>5939.106879999999</v>
      </c>
      <c r="DI16" s="190">
        <f t="shared" si="40"/>
        <v>97.97156292529804</v>
      </c>
      <c r="DJ16" s="198">
        <f t="shared" si="41"/>
        <v>1219.6599999999999</v>
      </c>
      <c r="DK16" s="198">
        <f t="shared" si="41"/>
        <v>1193.9019</v>
      </c>
      <c r="DL16" s="190">
        <f t="shared" si="42"/>
        <v>97.88809176327831</v>
      </c>
      <c r="DM16" s="190">
        <f>Иль!C57</f>
        <v>1143.86</v>
      </c>
      <c r="DN16" s="190">
        <f>Иль!D57</f>
        <v>1123.2234</v>
      </c>
      <c r="DO16" s="190">
        <f t="shared" si="43"/>
        <v>98.19588061476057</v>
      </c>
      <c r="DP16" s="190">
        <f>Иль!C60</f>
        <v>11.8</v>
      </c>
      <c r="DQ16" s="190">
        <f>Иль!D60</f>
        <v>11.8</v>
      </c>
      <c r="DR16" s="190">
        <f t="shared" si="44"/>
        <v>100</v>
      </c>
      <c r="DS16" s="190">
        <f>Иль!C61</f>
        <v>5</v>
      </c>
      <c r="DT16" s="190">
        <f>Иль!D61</f>
        <v>0</v>
      </c>
      <c r="DU16" s="190">
        <f t="shared" si="45"/>
        <v>0</v>
      </c>
      <c r="DV16" s="190">
        <f>Иль!C62</f>
        <v>59</v>
      </c>
      <c r="DW16" s="190">
        <f>Иль!D62</f>
        <v>58.8785</v>
      </c>
      <c r="DX16" s="190">
        <f t="shared" si="46"/>
        <v>99.79406779661018</v>
      </c>
      <c r="DY16" s="190">
        <f>Иль!C64</f>
        <v>147.0318</v>
      </c>
      <c r="DZ16" s="292">
        <f>Иль!D64</f>
        <v>147.0318</v>
      </c>
      <c r="EA16" s="190">
        <f t="shared" si="47"/>
        <v>100</v>
      </c>
      <c r="EB16" s="190">
        <f>Иль!C65</f>
        <v>4</v>
      </c>
      <c r="EC16" s="190">
        <f>Иль!D65</f>
        <v>0</v>
      </c>
      <c r="ED16" s="190">
        <f t="shared" si="48"/>
        <v>0</v>
      </c>
      <c r="EE16" s="198">
        <f>Иль!C70</f>
        <v>2943.6549999999997</v>
      </c>
      <c r="EF16" s="198">
        <f>Иль!D70</f>
        <v>2930.84123</v>
      </c>
      <c r="EG16" s="190">
        <f t="shared" si="49"/>
        <v>99.56469864844895</v>
      </c>
      <c r="EH16" s="198">
        <f>Иль!C77</f>
        <v>319.8854</v>
      </c>
      <c r="EI16" s="198">
        <f>Иль!D77</f>
        <v>274.43829</v>
      </c>
      <c r="EJ16" s="190">
        <f t="shared" si="50"/>
        <v>85.79269013215357</v>
      </c>
      <c r="EK16" s="398">
        <f>Иль!C81</f>
        <v>1425.84</v>
      </c>
      <c r="EL16" s="200">
        <f>Иль!D81</f>
        <v>1390.92566</v>
      </c>
      <c r="EM16" s="190">
        <f t="shared" si="13"/>
        <v>97.55131431296641</v>
      </c>
      <c r="EN16" s="190">
        <f>Иль!C83</f>
        <v>0</v>
      </c>
      <c r="EO16" s="190">
        <f>Иль!D83</f>
        <v>0</v>
      </c>
      <c r="EP16" s="190" t="e">
        <f t="shared" si="14"/>
        <v>#DIV/0!</v>
      </c>
      <c r="EQ16" s="201">
        <f>Иль!C88</f>
        <v>2</v>
      </c>
      <c r="ER16" s="201">
        <f>Иль!D88</f>
        <v>1.968</v>
      </c>
      <c r="ES16" s="190">
        <f t="shared" si="51"/>
        <v>98.4</v>
      </c>
      <c r="ET16" s="190">
        <f>Иль!C94</f>
        <v>0</v>
      </c>
      <c r="EU16" s="190">
        <f>Иль!D94</f>
        <v>0</v>
      </c>
      <c r="EV16" s="187" t="e">
        <f aca="true" t="shared" si="52" ref="EV16:EV29">EU16/ET16*100</f>
        <v>#DIV/0!</v>
      </c>
      <c r="EW16" s="194">
        <f t="shared" si="15"/>
        <v>-417.308</v>
      </c>
      <c r="EX16" s="194">
        <f t="shared" si="16"/>
        <v>-266.9221899999993</v>
      </c>
      <c r="EY16" s="187">
        <f>EX16/EW16*100</f>
        <v>63.96287394442458</v>
      </c>
      <c r="EZ16" s="195"/>
      <c r="FA16" s="196"/>
      <c r="FC16" s="196"/>
    </row>
    <row r="17" spans="1:159" s="172" customFormat="1" ht="15" customHeight="1">
      <c r="A17" s="184">
        <v>4</v>
      </c>
      <c r="B17" s="197" t="s">
        <v>312</v>
      </c>
      <c r="C17" s="307">
        <f t="shared" si="0"/>
        <v>10199.057980000001</v>
      </c>
      <c r="D17" s="307">
        <f t="shared" si="1"/>
        <v>9797.37814</v>
      </c>
      <c r="E17" s="190">
        <f t="shared" si="2"/>
        <v>96.06159862226805</v>
      </c>
      <c r="F17" s="188">
        <f t="shared" si="3"/>
        <v>4564.01</v>
      </c>
      <c r="G17" s="188">
        <f t="shared" si="4"/>
        <v>4162.3301599999995</v>
      </c>
      <c r="H17" s="190">
        <f t="shared" si="17"/>
        <v>91.19897108025616</v>
      </c>
      <c r="I17" s="198">
        <f>Кад!C6</f>
        <v>445.67</v>
      </c>
      <c r="J17" s="198">
        <f>Кад!D6</f>
        <v>435.32026</v>
      </c>
      <c r="K17" s="190">
        <f t="shared" si="18"/>
        <v>97.67771220858484</v>
      </c>
      <c r="L17" s="190">
        <f>Кад!C8</f>
        <v>206.81</v>
      </c>
      <c r="M17" s="190">
        <f>Кад!D8</f>
        <v>278.00369</v>
      </c>
      <c r="N17" s="187">
        <f t="shared" si="19"/>
        <v>134.4246844930129</v>
      </c>
      <c r="O17" s="187">
        <f>Кад!C9</f>
        <v>2.55</v>
      </c>
      <c r="P17" s="187">
        <f>Кад!D9</f>
        <v>2.82219</v>
      </c>
      <c r="Q17" s="187">
        <f t="shared" si="20"/>
        <v>110.67411764705884</v>
      </c>
      <c r="R17" s="187">
        <f>Кад!C10</f>
        <v>426.98</v>
      </c>
      <c r="S17" s="187">
        <f>Кад!D10</f>
        <v>449.59048</v>
      </c>
      <c r="T17" s="187">
        <f t="shared" si="21"/>
        <v>105.29544240948054</v>
      </c>
      <c r="U17" s="187">
        <f>Кад!C11</f>
        <v>0</v>
      </c>
      <c r="V17" s="187">
        <f>Кад!D11</f>
        <v>-53.84267</v>
      </c>
      <c r="W17" s="187" t="e">
        <f t="shared" si="22"/>
        <v>#DIV/0!</v>
      </c>
      <c r="X17" s="198">
        <f>Кад!C13</f>
        <v>225</v>
      </c>
      <c r="Y17" s="198">
        <f>Кад!D13</f>
        <v>24.56622</v>
      </c>
      <c r="Z17" s="190">
        <f t="shared" si="23"/>
        <v>10.918320000000001</v>
      </c>
      <c r="AA17" s="198">
        <f>Кад!C15</f>
        <v>180</v>
      </c>
      <c r="AB17" s="198">
        <f>Кад!D15</f>
        <v>168.76567</v>
      </c>
      <c r="AC17" s="190">
        <f t="shared" si="24"/>
        <v>93.75870555555555</v>
      </c>
      <c r="AD17" s="198">
        <f>Кад!C16</f>
        <v>2500</v>
      </c>
      <c r="AE17" s="198">
        <f>Кад!D16</f>
        <v>2492.79125</v>
      </c>
      <c r="AF17" s="190">
        <f t="shared" si="5"/>
        <v>99.71165</v>
      </c>
      <c r="AG17" s="190">
        <f>Кад!C18</f>
        <v>5</v>
      </c>
      <c r="AH17" s="190">
        <f>Кад!D18</f>
        <v>7.55</v>
      </c>
      <c r="AI17" s="190">
        <f t="shared" si="25"/>
        <v>151</v>
      </c>
      <c r="AJ17" s="190"/>
      <c r="AK17" s="190"/>
      <c r="AL17" s="190" t="e">
        <f t="shared" si="6"/>
        <v>#DIV/0!</v>
      </c>
      <c r="AM17" s="198">
        <v>0</v>
      </c>
      <c r="AN17" s="198">
        <v>0</v>
      </c>
      <c r="AO17" s="190" t="e">
        <f t="shared" si="7"/>
        <v>#DIV/0!</v>
      </c>
      <c r="AP17" s="198">
        <f>Кад!C27</f>
        <v>70</v>
      </c>
      <c r="AQ17" s="198">
        <f>Кад!D27</f>
        <v>300</v>
      </c>
      <c r="AR17" s="190">
        <f t="shared" si="26"/>
        <v>428.57142857142856</v>
      </c>
      <c r="AS17" s="191">
        <f>Кад!C28</f>
        <v>2</v>
      </c>
      <c r="AT17" s="198">
        <f>Кад!D28</f>
        <v>0</v>
      </c>
      <c r="AU17" s="190">
        <f t="shared" si="27"/>
        <v>0</v>
      </c>
      <c r="AV17" s="198"/>
      <c r="AW17" s="198"/>
      <c r="AX17" s="190" t="e">
        <f t="shared" si="28"/>
        <v>#DIV/0!</v>
      </c>
      <c r="AY17" s="190">
        <f>Кад!C30</f>
        <v>100</v>
      </c>
      <c r="AZ17" s="190">
        <f>Кад!D30</f>
        <v>31.5756</v>
      </c>
      <c r="BA17" s="190">
        <f t="shared" si="29"/>
        <v>31.575600000000005</v>
      </c>
      <c r="BB17" s="190"/>
      <c r="BC17" s="190"/>
      <c r="BD17" s="190"/>
      <c r="BE17" s="190">
        <f>Кад!C33</f>
        <v>400</v>
      </c>
      <c r="BF17" s="190">
        <f>Кад!D33</f>
        <v>24.42665</v>
      </c>
      <c r="BG17" s="190">
        <f t="shared" si="30"/>
        <v>6.1066625</v>
      </c>
      <c r="BH17" s="190"/>
      <c r="BI17" s="190"/>
      <c r="BJ17" s="190" t="e">
        <f t="shared" si="31"/>
        <v>#DIV/0!</v>
      </c>
      <c r="BK17" s="190"/>
      <c r="BL17" s="190"/>
      <c r="BM17" s="190"/>
      <c r="BN17" s="190"/>
      <c r="BO17" s="292">
        <f>Кад!D34</f>
        <v>0.36782</v>
      </c>
      <c r="BP17" s="190" t="e">
        <f t="shared" si="32"/>
        <v>#DIV/0!</v>
      </c>
      <c r="BQ17" s="190">
        <f>Кад!C36</f>
        <v>0</v>
      </c>
      <c r="BR17" s="190">
        <f>Кад!D36</f>
        <v>0.393</v>
      </c>
      <c r="BS17" s="190" t="e">
        <f t="shared" si="33"/>
        <v>#DIV/0!</v>
      </c>
      <c r="BT17" s="190"/>
      <c r="BU17" s="190"/>
      <c r="BV17" s="199" t="e">
        <f t="shared" si="34"/>
        <v>#DIV/0!</v>
      </c>
      <c r="BW17" s="199"/>
      <c r="BX17" s="199"/>
      <c r="BY17" s="199" t="e">
        <f t="shared" si="35"/>
        <v>#DIV/0!</v>
      </c>
      <c r="BZ17" s="189">
        <f t="shared" si="8"/>
        <v>5635.04798</v>
      </c>
      <c r="CA17" s="189">
        <f t="shared" si="9"/>
        <v>5635.04798</v>
      </c>
      <c r="CB17" s="190">
        <f>CA17/BZ17*100</f>
        <v>100</v>
      </c>
      <c r="CC17" s="190">
        <f>Кад!C41</f>
        <v>1060.18</v>
      </c>
      <c r="CD17" s="190">
        <f>Кад!D41</f>
        <v>1060.18</v>
      </c>
      <c r="CE17" s="190">
        <f t="shared" si="36"/>
        <v>100</v>
      </c>
      <c r="CF17" s="190">
        <f>Кад!C42</f>
        <v>0</v>
      </c>
      <c r="CG17" s="190">
        <f>Кад!D42</f>
        <v>0</v>
      </c>
      <c r="CH17" s="190" t="e">
        <f t="shared" si="37"/>
        <v>#DIV/0!</v>
      </c>
      <c r="CI17" s="187">
        <f>Кад!C43</f>
        <v>1045.96</v>
      </c>
      <c r="CJ17" s="190">
        <f>Кад!D43</f>
        <v>1045.96</v>
      </c>
      <c r="CK17" s="190">
        <f t="shared" si="10"/>
        <v>100</v>
      </c>
      <c r="CL17" s="190">
        <f>Кад!C44</f>
        <v>3528.90798</v>
      </c>
      <c r="CM17" s="190">
        <f>Кад!D44</f>
        <v>3528.90798</v>
      </c>
      <c r="CN17" s="190">
        <f t="shared" si="11"/>
        <v>100</v>
      </c>
      <c r="CO17" s="190"/>
      <c r="CP17" s="190"/>
      <c r="CQ17" s="190"/>
      <c r="CR17" s="190"/>
      <c r="CS17" s="190"/>
      <c r="CT17" s="190" t="e">
        <f t="shared" si="12"/>
        <v>#DIV/0!</v>
      </c>
      <c r="CU17" s="190"/>
      <c r="CV17" s="190"/>
      <c r="CW17" s="190"/>
      <c r="CX17" s="198"/>
      <c r="CY17" s="198"/>
      <c r="CZ17" s="190" t="e">
        <f t="shared" si="38"/>
        <v>#DIV/0!</v>
      </c>
      <c r="DA17" s="190"/>
      <c r="DB17" s="190"/>
      <c r="DC17" s="190"/>
      <c r="DD17" s="190"/>
      <c r="DE17" s="190"/>
      <c r="DF17" s="190"/>
      <c r="DG17" s="198">
        <f t="shared" si="39"/>
        <v>12926.03948</v>
      </c>
      <c r="DH17" s="198">
        <f t="shared" si="39"/>
        <v>11891.54316</v>
      </c>
      <c r="DI17" s="190">
        <f t="shared" si="40"/>
        <v>91.99680364893949</v>
      </c>
      <c r="DJ17" s="198">
        <f t="shared" si="41"/>
        <v>1525.182</v>
      </c>
      <c r="DK17" s="198">
        <f t="shared" si="41"/>
        <v>1421.8880100000001</v>
      </c>
      <c r="DL17" s="190">
        <f t="shared" si="42"/>
        <v>93.22743187370426</v>
      </c>
      <c r="DM17" s="190">
        <f>Кад!C56</f>
        <v>1368.675</v>
      </c>
      <c r="DN17" s="190">
        <f>Кад!D56</f>
        <v>1324.29445</v>
      </c>
      <c r="DO17" s="190">
        <f t="shared" si="43"/>
        <v>96.75740771183811</v>
      </c>
      <c r="DP17" s="190">
        <f>Кад!C59</f>
        <v>0</v>
      </c>
      <c r="DQ17" s="190">
        <f>Кад!D59</f>
        <v>0</v>
      </c>
      <c r="DR17" s="190" t="e">
        <f t="shared" si="44"/>
        <v>#DIV/0!</v>
      </c>
      <c r="DS17" s="190">
        <f>Кад!C60</f>
        <v>25</v>
      </c>
      <c r="DT17" s="190">
        <f>Кад!D60</f>
        <v>0</v>
      </c>
      <c r="DU17" s="190">
        <f t="shared" si="45"/>
        <v>0</v>
      </c>
      <c r="DV17" s="190">
        <f>Кад!C61</f>
        <v>131.507</v>
      </c>
      <c r="DW17" s="190">
        <f>Кад!D61</f>
        <v>97.59356</v>
      </c>
      <c r="DX17" s="190">
        <f t="shared" si="46"/>
        <v>74.21168454911144</v>
      </c>
      <c r="DY17" s="190">
        <f>Кад!C63</f>
        <v>105.48848</v>
      </c>
      <c r="DZ17" s="292">
        <f>Кад!D63</f>
        <v>105.48848</v>
      </c>
      <c r="EA17" s="190">
        <f t="shared" si="47"/>
        <v>100</v>
      </c>
      <c r="EB17" s="190">
        <f>Кад!C64</f>
        <v>2.4</v>
      </c>
      <c r="EC17" s="190">
        <f>Кад!D64</f>
        <v>2.4</v>
      </c>
      <c r="ED17" s="190">
        <f t="shared" si="48"/>
        <v>100</v>
      </c>
      <c r="EE17" s="198">
        <f>Кад!C69</f>
        <v>2358.375</v>
      </c>
      <c r="EF17" s="198">
        <f>Кад!D69</f>
        <v>1850.81467</v>
      </c>
      <c r="EG17" s="190">
        <f t="shared" si="49"/>
        <v>78.478387448985</v>
      </c>
      <c r="EH17" s="198">
        <f>Кад!C74</f>
        <v>4583.053</v>
      </c>
      <c r="EI17" s="198">
        <f>Кад!D74</f>
        <v>4447.46699</v>
      </c>
      <c r="EJ17" s="190">
        <f t="shared" si="50"/>
        <v>97.04157883402178</v>
      </c>
      <c r="EK17" s="398">
        <f>Кад!C78</f>
        <v>4350.541</v>
      </c>
      <c r="EL17" s="200">
        <f>Кад!D78</f>
        <v>4063.48501</v>
      </c>
      <c r="EM17" s="190">
        <f t="shared" si="13"/>
        <v>93.40183232384202</v>
      </c>
      <c r="EN17" s="190">
        <f>Кад!C80</f>
        <v>0</v>
      </c>
      <c r="EO17" s="190">
        <f>Кад!D80</f>
        <v>0</v>
      </c>
      <c r="EP17" s="190" t="e">
        <f t="shared" si="14"/>
        <v>#DIV/0!</v>
      </c>
      <c r="EQ17" s="201">
        <f>Кад!C85</f>
        <v>1</v>
      </c>
      <c r="ER17" s="201">
        <f>Кад!D85</f>
        <v>0</v>
      </c>
      <c r="ES17" s="190">
        <f t="shared" si="51"/>
        <v>0</v>
      </c>
      <c r="ET17" s="190">
        <f>Кад!C91</f>
        <v>0</v>
      </c>
      <c r="EU17" s="190">
        <f>Кад!D91</f>
        <v>0</v>
      </c>
      <c r="EV17" s="187" t="e">
        <f t="shared" si="52"/>
        <v>#DIV/0!</v>
      </c>
      <c r="EW17" s="194">
        <f t="shared" si="15"/>
        <v>-2726.981499999998</v>
      </c>
      <c r="EX17" s="194">
        <f t="shared" si="16"/>
        <v>-2094.1650199999985</v>
      </c>
      <c r="EY17" s="187">
        <f>EX17/EW17*100</f>
        <v>76.79425107944444</v>
      </c>
      <c r="EZ17" s="195"/>
      <c r="FA17" s="196"/>
      <c r="FC17" s="196"/>
    </row>
    <row r="18" spans="1:159" s="239" customFormat="1" ht="15" customHeight="1">
      <c r="A18" s="229">
        <v>5</v>
      </c>
      <c r="B18" s="230" t="s">
        <v>313</v>
      </c>
      <c r="C18" s="308">
        <f t="shared" si="0"/>
        <v>11436.4335</v>
      </c>
      <c r="D18" s="308">
        <f t="shared" si="1"/>
        <v>11359.18786</v>
      </c>
      <c r="E18" s="231">
        <f t="shared" si="2"/>
        <v>99.32456530263566</v>
      </c>
      <c r="F18" s="232">
        <f t="shared" si="3"/>
        <v>3977.01</v>
      </c>
      <c r="G18" s="232">
        <f t="shared" si="4"/>
        <v>3899.8338599999997</v>
      </c>
      <c r="H18" s="231">
        <f t="shared" si="17"/>
        <v>98.05944314950175</v>
      </c>
      <c r="I18" s="315">
        <f>Мор!C6</f>
        <v>1623.9</v>
      </c>
      <c r="J18" s="315">
        <f>Мор!D6</f>
        <v>1637.07733</v>
      </c>
      <c r="K18" s="231">
        <f t="shared" si="18"/>
        <v>100.81146191267936</v>
      </c>
      <c r="L18" s="231">
        <f>Мор!C8</f>
        <v>104.36</v>
      </c>
      <c r="M18" s="231">
        <f>Мор!D8</f>
        <v>140.28493</v>
      </c>
      <c r="N18" s="231">
        <f t="shared" si="19"/>
        <v>134.42404177845918</v>
      </c>
      <c r="O18" s="231">
        <f>Мор!C9</f>
        <v>1.28</v>
      </c>
      <c r="P18" s="231">
        <f>Мор!D9</f>
        <v>1.42408</v>
      </c>
      <c r="Q18" s="231">
        <f t="shared" si="20"/>
        <v>111.25625</v>
      </c>
      <c r="R18" s="231">
        <f>Мор!C10</f>
        <v>215.47</v>
      </c>
      <c r="S18" s="231">
        <f>Мор!D10</f>
        <v>226.87028</v>
      </c>
      <c r="T18" s="231">
        <f t="shared" si="21"/>
        <v>105.29088968301852</v>
      </c>
      <c r="U18" s="231">
        <f>Мор!C11</f>
        <v>0</v>
      </c>
      <c r="V18" s="231">
        <f>Мор!D11</f>
        <v>-27.16987</v>
      </c>
      <c r="W18" s="231" t="e">
        <f t="shared" si="22"/>
        <v>#DIV/0!</v>
      </c>
      <c r="X18" s="191">
        <f>Мор!C13</f>
        <v>46</v>
      </c>
      <c r="Y18" s="191">
        <f>Мор!D13</f>
        <v>45.71216</v>
      </c>
      <c r="Z18" s="231">
        <f t="shared" si="23"/>
        <v>99.3742608695652</v>
      </c>
      <c r="AA18" s="191">
        <f>Мор!C15</f>
        <v>350</v>
      </c>
      <c r="AB18" s="191">
        <f>Мор!D15</f>
        <v>377.47641</v>
      </c>
      <c r="AC18" s="231">
        <f t="shared" si="24"/>
        <v>107.85040285714285</v>
      </c>
      <c r="AD18" s="191">
        <f>Мор!C16</f>
        <v>1571</v>
      </c>
      <c r="AE18" s="191">
        <f>Мор!D16</f>
        <v>1469.64193</v>
      </c>
      <c r="AF18" s="231">
        <f t="shared" si="5"/>
        <v>93.54818141311266</v>
      </c>
      <c r="AG18" s="231">
        <f>Мор!C18</f>
        <v>0</v>
      </c>
      <c r="AH18" s="231">
        <f>Мор!D18</f>
        <v>0</v>
      </c>
      <c r="AI18" s="231" t="e">
        <f t="shared" si="25"/>
        <v>#DIV/0!</v>
      </c>
      <c r="AJ18" s="231">
        <f>Мор!C22</f>
        <v>0</v>
      </c>
      <c r="AK18" s="231">
        <f>Мор!D22</f>
        <v>0</v>
      </c>
      <c r="AL18" s="231" t="e">
        <f t="shared" si="6"/>
        <v>#DIV/0!</v>
      </c>
      <c r="AM18" s="191">
        <v>0</v>
      </c>
      <c r="AN18" s="191">
        <f>Мор!D27</f>
        <v>0</v>
      </c>
      <c r="AO18" s="231" t="e">
        <f t="shared" si="7"/>
        <v>#DIV/0!</v>
      </c>
      <c r="AP18" s="191">
        <f>Мор!C27</f>
        <v>0</v>
      </c>
      <c r="AQ18" s="198">
        <f>Мор!D27</f>
        <v>0</v>
      </c>
      <c r="AR18" s="231" t="e">
        <f t="shared" si="26"/>
        <v>#DIV/0!</v>
      </c>
      <c r="AS18" s="191">
        <f>Мор!C28</f>
        <v>12</v>
      </c>
      <c r="AT18" s="191">
        <f>Мор!D26</f>
        <v>0</v>
      </c>
      <c r="AU18" s="231">
        <f t="shared" si="27"/>
        <v>0</v>
      </c>
      <c r="AV18" s="191"/>
      <c r="AW18" s="191"/>
      <c r="AX18" s="231" t="e">
        <f t="shared" si="28"/>
        <v>#DIV/0!</v>
      </c>
      <c r="AY18" s="231">
        <f>Мор!C29</f>
        <v>50</v>
      </c>
      <c r="AZ18" s="231">
        <f>Мор!D29</f>
        <v>14.14674</v>
      </c>
      <c r="BA18" s="231">
        <f t="shared" si="29"/>
        <v>28.29348</v>
      </c>
      <c r="BB18" s="231"/>
      <c r="BC18" s="231"/>
      <c r="BD18" s="231"/>
      <c r="BE18" s="231">
        <f>Мор!C33</f>
        <v>0</v>
      </c>
      <c r="BF18" s="231">
        <f>Мор!D33</f>
        <v>0</v>
      </c>
      <c r="BG18" s="231" t="e">
        <f>Мор!E33</f>
        <v>#DIV/0!</v>
      </c>
      <c r="BH18" s="231">
        <f>Мор!F33</f>
        <v>0</v>
      </c>
      <c r="BI18" s="231">
        <f>Мор!G33</f>
        <v>0</v>
      </c>
      <c r="BJ18" s="231">
        <f>Мор!H33</f>
        <v>0</v>
      </c>
      <c r="BK18" s="231">
        <f>Мор!I33</f>
        <v>0</v>
      </c>
      <c r="BL18" s="231">
        <f>Мор!J33</f>
        <v>0</v>
      </c>
      <c r="BM18" s="231">
        <f>Мор!K33</f>
        <v>0</v>
      </c>
      <c r="BN18" s="231">
        <f>Мор!C35</f>
        <v>3</v>
      </c>
      <c r="BO18" s="234">
        <f>Мор!D34</f>
        <v>2.85</v>
      </c>
      <c r="BP18" s="231">
        <f t="shared" si="32"/>
        <v>95</v>
      </c>
      <c r="BQ18" s="231">
        <f>Мор!C36</f>
        <v>0</v>
      </c>
      <c r="BR18" s="231">
        <f>Мор!D36</f>
        <v>11.51987</v>
      </c>
      <c r="BS18" s="231" t="e">
        <f t="shared" si="33"/>
        <v>#DIV/0!</v>
      </c>
      <c r="BT18" s="231"/>
      <c r="BU18" s="231"/>
      <c r="BV18" s="233" t="e">
        <f t="shared" si="34"/>
        <v>#DIV/0!</v>
      </c>
      <c r="BW18" s="233"/>
      <c r="BX18" s="233"/>
      <c r="BY18" s="233" t="e">
        <f t="shared" si="35"/>
        <v>#DIV/0!</v>
      </c>
      <c r="BZ18" s="191">
        <f t="shared" si="8"/>
        <v>7459.4235</v>
      </c>
      <c r="CA18" s="191">
        <f t="shared" si="9"/>
        <v>7459.354</v>
      </c>
      <c r="CB18" s="231">
        <f aca="true" t="shared" si="53" ref="CB18:CB31">CA18/BZ18*100</f>
        <v>99.99906829261002</v>
      </c>
      <c r="CC18" s="231">
        <f>Мор!C41</f>
        <v>4207.68</v>
      </c>
      <c r="CD18" s="231">
        <f>Мор!D41</f>
        <v>4207.68</v>
      </c>
      <c r="CE18" s="231">
        <f t="shared" si="36"/>
        <v>100</v>
      </c>
      <c r="CF18" s="231">
        <f>Мор!C42</f>
        <v>883</v>
      </c>
      <c r="CG18" s="231">
        <f>Мор!D42</f>
        <v>883</v>
      </c>
      <c r="CH18" s="231">
        <f t="shared" si="37"/>
        <v>100</v>
      </c>
      <c r="CI18" s="231">
        <f>Мор!C43</f>
        <v>2365.22</v>
      </c>
      <c r="CJ18" s="231">
        <f>Мор!D43</f>
        <v>2365.1505</v>
      </c>
      <c r="CK18" s="231">
        <f t="shared" si="10"/>
        <v>99.99706158412327</v>
      </c>
      <c r="CL18" s="231">
        <f>Мор!C44</f>
        <v>3.5235</v>
      </c>
      <c r="CM18" s="234">
        <f>Мор!D44</f>
        <v>3.5235</v>
      </c>
      <c r="CN18" s="231">
        <f t="shared" si="11"/>
        <v>100</v>
      </c>
      <c r="CO18" s="231">
        <f>Мор!C45</f>
        <v>0</v>
      </c>
      <c r="CP18" s="231">
        <f>Мор!D45</f>
        <v>0</v>
      </c>
      <c r="CQ18" s="231" t="e">
        <f>CP18/CO18*100</f>
        <v>#DIV/0!</v>
      </c>
      <c r="CR18" s="231"/>
      <c r="CS18" s="231"/>
      <c r="CT18" s="231" t="e">
        <f t="shared" si="12"/>
        <v>#DIV/0!</v>
      </c>
      <c r="CU18" s="231"/>
      <c r="CV18" s="231"/>
      <c r="CW18" s="231"/>
      <c r="CX18" s="191"/>
      <c r="CY18" s="191"/>
      <c r="CZ18" s="231" t="e">
        <f t="shared" si="38"/>
        <v>#DIV/0!</v>
      </c>
      <c r="DA18" s="231"/>
      <c r="DB18" s="231"/>
      <c r="DC18" s="231"/>
      <c r="DD18" s="231"/>
      <c r="DE18" s="231"/>
      <c r="DF18" s="231"/>
      <c r="DG18" s="191">
        <f t="shared" si="39"/>
        <v>11483.1085</v>
      </c>
      <c r="DH18" s="191">
        <f t="shared" si="39"/>
        <v>11337.1621</v>
      </c>
      <c r="DI18" s="231">
        <f t="shared" si="40"/>
        <v>98.72903404160989</v>
      </c>
      <c r="DJ18" s="191">
        <f t="shared" si="41"/>
        <v>1600.5040000000001</v>
      </c>
      <c r="DK18" s="191">
        <f t="shared" si="41"/>
        <v>1579.99655</v>
      </c>
      <c r="DL18" s="231">
        <f t="shared" si="42"/>
        <v>98.71868798828368</v>
      </c>
      <c r="DM18" s="231">
        <f>Мор!C56</f>
        <v>1510.69</v>
      </c>
      <c r="DN18" s="231">
        <f>Мор!D56</f>
        <v>1497.39675</v>
      </c>
      <c r="DO18" s="231">
        <f t="shared" si="43"/>
        <v>99.12005441222223</v>
      </c>
      <c r="DP18" s="231">
        <f>Мор!C59</f>
        <v>39</v>
      </c>
      <c r="DQ18" s="231">
        <f>Мор!D59</f>
        <v>39</v>
      </c>
      <c r="DR18" s="231">
        <f t="shared" si="44"/>
        <v>100</v>
      </c>
      <c r="DS18" s="231">
        <f>Мор!C60</f>
        <v>1.112</v>
      </c>
      <c r="DT18" s="231">
        <f>Мор!D60</f>
        <v>0</v>
      </c>
      <c r="DU18" s="231">
        <f t="shared" si="45"/>
        <v>0</v>
      </c>
      <c r="DV18" s="231">
        <f>Мор!C61</f>
        <v>49.702</v>
      </c>
      <c r="DW18" s="231">
        <f>Мор!D61</f>
        <v>43.5998</v>
      </c>
      <c r="DX18" s="231">
        <f t="shared" si="46"/>
        <v>87.72242565691522</v>
      </c>
      <c r="DY18" s="231">
        <f>Мор!C62</f>
        <v>0</v>
      </c>
      <c r="DZ18" s="234">
        <f>Мор!D62</f>
        <v>0</v>
      </c>
      <c r="EA18" s="231" t="e">
        <f t="shared" si="47"/>
        <v>#DIV/0!</v>
      </c>
      <c r="EB18" s="231">
        <f>Мор!C64</f>
        <v>7</v>
      </c>
      <c r="EC18" s="231">
        <f>Мор!D64</f>
        <v>5</v>
      </c>
      <c r="ED18" s="231">
        <f t="shared" si="48"/>
        <v>71.42857142857143</v>
      </c>
      <c r="EE18" s="191">
        <f>Мор!C69</f>
        <v>3782.851</v>
      </c>
      <c r="EF18" s="191">
        <f>Мор!D69</f>
        <v>3779.37039</v>
      </c>
      <c r="EG18" s="231">
        <f t="shared" si="49"/>
        <v>99.90798976750604</v>
      </c>
      <c r="EH18" s="191">
        <f>Мор!C74</f>
        <v>3458.7535</v>
      </c>
      <c r="EI18" s="191">
        <f>Мор!D74</f>
        <v>3340.79516</v>
      </c>
      <c r="EJ18" s="231">
        <f t="shared" si="50"/>
        <v>96.58957078034038</v>
      </c>
      <c r="EK18" s="399">
        <f>Мор!C78</f>
        <v>2632</v>
      </c>
      <c r="EL18" s="235">
        <f>Мор!D78</f>
        <v>2632</v>
      </c>
      <c r="EM18" s="231">
        <f t="shared" si="13"/>
        <v>100</v>
      </c>
      <c r="EN18" s="231">
        <f>Мор!C81</f>
        <v>0</v>
      </c>
      <c r="EO18" s="231">
        <f>Мор!D81</f>
        <v>0</v>
      </c>
      <c r="EP18" s="231" t="e">
        <f t="shared" si="14"/>
        <v>#DIV/0!</v>
      </c>
      <c r="EQ18" s="232">
        <f>Мор!C86</f>
        <v>2</v>
      </c>
      <c r="ER18" s="232">
        <f>Мор!D86</f>
        <v>0</v>
      </c>
      <c r="ES18" s="231">
        <f t="shared" si="51"/>
        <v>0</v>
      </c>
      <c r="ET18" s="231">
        <f>Мор!C92</f>
        <v>0</v>
      </c>
      <c r="EU18" s="231">
        <f>Мор!D92</f>
        <v>0</v>
      </c>
      <c r="EV18" s="231" t="e">
        <f t="shared" si="52"/>
        <v>#DIV/0!</v>
      </c>
      <c r="EW18" s="236">
        <f t="shared" si="15"/>
        <v>-46.67500000000109</v>
      </c>
      <c r="EX18" s="236">
        <f t="shared" si="16"/>
        <v>22.025760000000446</v>
      </c>
      <c r="EY18" s="231">
        <f aca="true" t="shared" si="54" ref="EY18:EY30">EX18/EW18*100</f>
        <v>-47.18963042313858</v>
      </c>
      <c r="EZ18" s="237"/>
      <c r="FA18" s="238"/>
      <c r="FC18" s="238"/>
    </row>
    <row r="19" spans="1:159" s="172" customFormat="1" ht="15" customHeight="1">
      <c r="A19" s="184">
        <v>6</v>
      </c>
      <c r="B19" s="197" t="s">
        <v>314</v>
      </c>
      <c r="C19" s="186">
        <f t="shared" si="0"/>
        <v>5781.69729</v>
      </c>
      <c r="D19" s="307">
        <f t="shared" si="1"/>
        <v>5887.215289999999</v>
      </c>
      <c r="E19" s="190">
        <f t="shared" si="2"/>
        <v>101.82503501493416</v>
      </c>
      <c r="F19" s="188">
        <f t="shared" si="3"/>
        <v>4340</v>
      </c>
      <c r="G19" s="188">
        <f t="shared" si="4"/>
        <v>4445.517999999999</v>
      </c>
      <c r="H19" s="190">
        <f t="shared" si="17"/>
        <v>102.43129032258062</v>
      </c>
      <c r="I19" s="198">
        <f>Мос!C6</f>
        <v>1277.98</v>
      </c>
      <c r="J19" s="198">
        <f>Мос!D6</f>
        <v>1124.63468</v>
      </c>
      <c r="K19" s="190">
        <f t="shared" si="18"/>
        <v>88.00096089140675</v>
      </c>
      <c r="L19" s="190">
        <f>Мос!C8</f>
        <v>196.63</v>
      </c>
      <c r="M19" s="190">
        <f>Мос!D8</f>
        <v>264.31735</v>
      </c>
      <c r="N19" s="187">
        <f t="shared" si="19"/>
        <v>134.42371459085592</v>
      </c>
      <c r="O19" s="187">
        <f>Мос!C9</f>
        <v>2.42</v>
      </c>
      <c r="P19" s="187">
        <f>Мос!D9</f>
        <v>2.68326</v>
      </c>
      <c r="Q19" s="187">
        <f t="shared" si="20"/>
        <v>110.87851239669422</v>
      </c>
      <c r="R19" s="187">
        <f>Мос!C10</f>
        <v>405.97</v>
      </c>
      <c r="S19" s="187">
        <f>Мос!D10</f>
        <v>427.45679</v>
      </c>
      <c r="T19" s="187">
        <f t="shared" si="21"/>
        <v>105.29270389437644</v>
      </c>
      <c r="U19" s="187">
        <f>Мос!C11</f>
        <v>0</v>
      </c>
      <c r="V19" s="187">
        <f>Мос!D11</f>
        <v>-51.19202</v>
      </c>
      <c r="W19" s="187" t="e">
        <f t="shared" si="22"/>
        <v>#DIV/0!</v>
      </c>
      <c r="X19" s="198">
        <f>Мос!C13</f>
        <v>20</v>
      </c>
      <c r="Y19" s="198">
        <f>Мос!D13</f>
        <v>2.47601</v>
      </c>
      <c r="Z19" s="190">
        <f t="shared" si="23"/>
        <v>12.38005</v>
      </c>
      <c r="AA19" s="198">
        <f>Мос!C15</f>
        <v>160</v>
      </c>
      <c r="AB19" s="198">
        <f>Мос!D15</f>
        <v>142.29197</v>
      </c>
      <c r="AC19" s="190">
        <f t="shared" si="24"/>
        <v>88.93248125</v>
      </c>
      <c r="AD19" s="198">
        <f>Мос!C16</f>
        <v>2210</v>
      </c>
      <c r="AE19" s="198">
        <f>Мос!D16</f>
        <v>2451.50399</v>
      </c>
      <c r="AF19" s="190">
        <f t="shared" si="5"/>
        <v>110.92778235294118</v>
      </c>
      <c r="AG19" s="190">
        <f>Мос!C18</f>
        <v>15</v>
      </c>
      <c r="AH19" s="190">
        <f>Мос!D18</f>
        <v>9.4</v>
      </c>
      <c r="AI19" s="190">
        <f t="shared" si="25"/>
        <v>62.66666666666667</v>
      </c>
      <c r="AJ19" s="190"/>
      <c r="AK19" s="190"/>
      <c r="AL19" s="190" t="e">
        <f t="shared" si="6"/>
        <v>#DIV/0!</v>
      </c>
      <c r="AM19" s="198">
        <f>Мос!C27</f>
        <v>0</v>
      </c>
      <c r="AN19" s="198">
        <f>Мос!D27</f>
        <v>0</v>
      </c>
      <c r="AO19" s="190" t="e">
        <f t="shared" si="7"/>
        <v>#DIV/0!</v>
      </c>
      <c r="AP19" s="198"/>
      <c r="AQ19" s="198">
        <f>Мос!D27</f>
        <v>0</v>
      </c>
      <c r="AR19" s="190" t="e">
        <f t="shared" si="26"/>
        <v>#DIV/0!</v>
      </c>
      <c r="AS19" s="191">
        <f>Мос!C26</f>
        <v>2</v>
      </c>
      <c r="AT19" s="191">
        <f>Мос!D28</f>
        <v>0</v>
      </c>
      <c r="AU19" s="190">
        <f t="shared" si="27"/>
        <v>0</v>
      </c>
      <c r="AV19" s="198"/>
      <c r="AW19" s="198"/>
      <c r="AX19" s="190" t="e">
        <f t="shared" si="28"/>
        <v>#DIV/0!</v>
      </c>
      <c r="AY19" s="190">
        <f>Мос!C30</f>
        <v>50</v>
      </c>
      <c r="AZ19" s="190">
        <f>Мос!D30</f>
        <v>46.48968</v>
      </c>
      <c r="BA19" s="190">
        <f t="shared" si="29"/>
        <v>92.97936</v>
      </c>
      <c r="BB19" s="190"/>
      <c r="BC19" s="190"/>
      <c r="BD19" s="190"/>
      <c r="BE19" s="190">
        <f>Мос!C33</f>
        <v>0</v>
      </c>
      <c r="BF19" s="190">
        <f>Мос!D33</f>
        <v>0</v>
      </c>
      <c r="BG19" s="190" t="e">
        <f t="shared" si="30"/>
        <v>#DIV/0!</v>
      </c>
      <c r="BH19" s="190"/>
      <c r="BI19" s="190"/>
      <c r="BJ19" s="190" t="e">
        <f t="shared" si="31"/>
        <v>#DIV/0!</v>
      </c>
      <c r="BK19" s="190"/>
      <c r="BL19" s="190"/>
      <c r="BM19" s="190"/>
      <c r="BN19" s="190"/>
      <c r="BO19" s="292">
        <f>Мос!D35</f>
        <v>25.2029</v>
      </c>
      <c r="BP19" s="190" t="e">
        <f t="shared" si="32"/>
        <v>#DIV/0!</v>
      </c>
      <c r="BQ19" s="190">
        <f>Мос!C36</f>
        <v>0</v>
      </c>
      <c r="BR19" s="190">
        <f>Мос!D36</f>
        <v>0.25339</v>
      </c>
      <c r="BS19" s="190" t="e">
        <f t="shared" si="33"/>
        <v>#DIV/0!</v>
      </c>
      <c r="BT19" s="190"/>
      <c r="BU19" s="190"/>
      <c r="BV19" s="199" t="e">
        <f t="shared" si="34"/>
        <v>#DIV/0!</v>
      </c>
      <c r="BW19" s="199"/>
      <c r="BX19" s="199"/>
      <c r="BY19" s="199" t="e">
        <f t="shared" si="35"/>
        <v>#DIV/0!</v>
      </c>
      <c r="BZ19" s="189">
        <f t="shared" si="8"/>
        <v>1441.6972899999998</v>
      </c>
      <c r="CA19" s="189">
        <f t="shared" si="9"/>
        <v>1441.6972899999998</v>
      </c>
      <c r="CB19" s="190">
        <f t="shared" si="53"/>
        <v>100</v>
      </c>
      <c r="CC19" s="190">
        <f>Мос!C41</f>
        <v>723.75</v>
      </c>
      <c r="CD19" s="190">
        <f>Мос!D41</f>
        <v>723.75</v>
      </c>
      <c r="CE19" s="190">
        <f>CD19/CC19*100</f>
        <v>100</v>
      </c>
      <c r="CF19" s="190">
        <f>Мос!C42</f>
        <v>260</v>
      </c>
      <c r="CG19" s="190">
        <f>Мос!D42</f>
        <v>260</v>
      </c>
      <c r="CH19" s="190">
        <f t="shared" si="37"/>
        <v>100</v>
      </c>
      <c r="CI19" s="187">
        <f>Мос!C43</f>
        <v>312.35</v>
      </c>
      <c r="CJ19" s="190">
        <f>Мос!D43</f>
        <v>312.35</v>
      </c>
      <c r="CK19" s="190">
        <f t="shared" si="10"/>
        <v>100</v>
      </c>
      <c r="CL19" s="190">
        <f>Мос!C44</f>
        <v>145.59729</v>
      </c>
      <c r="CM19" s="190">
        <f>Мос!D44</f>
        <v>145.59729</v>
      </c>
      <c r="CN19" s="190">
        <f t="shared" si="11"/>
        <v>100</v>
      </c>
      <c r="CO19" s="190">
        <f>Мос!C45</f>
        <v>0</v>
      </c>
      <c r="CP19" s="190">
        <f>Мос!D45</f>
        <v>0</v>
      </c>
      <c r="CQ19" s="190" t="e">
        <f>CP19/CO19*100</f>
        <v>#DIV/0!</v>
      </c>
      <c r="CR19" s="190"/>
      <c r="CS19" s="190"/>
      <c r="CT19" s="190" t="e">
        <f t="shared" si="12"/>
        <v>#DIV/0!</v>
      </c>
      <c r="CU19" s="190"/>
      <c r="CV19" s="190"/>
      <c r="CW19" s="190"/>
      <c r="CX19" s="198"/>
      <c r="CY19" s="198"/>
      <c r="CZ19" s="190" t="e">
        <f t="shared" si="38"/>
        <v>#DIV/0!</v>
      </c>
      <c r="DA19" s="190"/>
      <c r="DB19" s="190"/>
      <c r="DC19" s="190"/>
      <c r="DD19" s="190"/>
      <c r="DE19" s="190"/>
      <c r="DF19" s="190"/>
      <c r="DG19" s="198">
        <f t="shared" si="39"/>
        <v>6384.94329</v>
      </c>
      <c r="DH19" s="198">
        <f t="shared" si="39"/>
        <v>6126.629419999999</v>
      </c>
      <c r="DI19" s="190">
        <f t="shared" si="40"/>
        <v>95.95432788879162</v>
      </c>
      <c r="DJ19" s="198">
        <f t="shared" si="41"/>
        <v>1601.255</v>
      </c>
      <c r="DK19" s="198">
        <f t="shared" si="41"/>
        <v>1506.10364</v>
      </c>
      <c r="DL19" s="190">
        <f t="shared" si="42"/>
        <v>94.05770099078535</v>
      </c>
      <c r="DM19" s="190">
        <f>Мос!C56</f>
        <v>1559.7</v>
      </c>
      <c r="DN19" s="190">
        <f>Мос!D56</f>
        <v>1473.5186</v>
      </c>
      <c r="DO19" s="190">
        <f t="shared" si="43"/>
        <v>94.47448868372123</v>
      </c>
      <c r="DP19" s="190">
        <f>Мос!C59</f>
        <v>0</v>
      </c>
      <c r="DQ19" s="190">
        <f>Мос!D59</f>
        <v>0</v>
      </c>
      <c r="DR19" s="190" t="e">
        <f t="shared" si="44"/>
        <v>#DIV/0!</v>
      </c>
      <c r="DS19" s="190">
        <f>Мос!C60</f>
        <v>5</v>
      </c>
      <c r="DT19" s="190">
        <f>Мос!D60</f>
        <v>0</v>
      </c>
      <c r="DU19" s="190">
        <f t="shared" si="45"/>
        <v>0</v>
      </c>
      <c r="DV19" s="190">
        <f>Мос!C61</f>
        <v>36.555</v>
      </c>
      <c r="DW19" s="190">
        <f>Мос!D61</f>
        <v>32.58504</v>
      </c>
      <c r="DX19" s="190">
        <f t="shared" si="46"/>
        <v>89.13976200246204</v>
      </c>
      <c r="DY19" s="190">
        <f>Мос!C63</f>
        <v>144.76629</v>
      </c>
      <c r="DZ19" s="292">
        <f>Мос!D63</f>
        <v>144.76629</v>
      </c>
      <c r="EA19" s="190">
        <f t="shared" si="47"/>
        <v>100</v>
      </c>
      <c r="EB19" s="190">
        <f>Мос!C64</f>
        <v>5</v>
      </c>
      <c r="EC19" s="190">
        <f>Мос!D64</f>
        <v>2.93323</v>
      </c>
      <c r="ED19" s="190">
        <f t="shared" si="48"/>
        <v>58.6646</v>
      </c>
      <c r="EE19" s="198">
        <f>Мос!C69</f>
        <v>1954.2079999999999</v>
      </c>
      <c r="EF19" s="198">
        <f>Мос!D69</f>
        <v>1816.7115199999998</v>
      </c>
      <c r="EG19" s="190">
        <f t="shared" si="49"/>
        <v>92.96408161260213</v>
      </c>
      <c r="EH19" s="198">
        <f>Мос!C74</f>
        <v>1368.2140000000002</v>
      </c>
      <c r="EI19" s="198">
        <f>Мос!D74</f>
        <v>1348.91174</v>
      </c>
      <c r="EJ19" s="190">
        <f t="shared" si="50"/>
        <v>98.58923677144071</v>
      </c>
      <c r="EK19" s="398">
        <f>Мос!C79</f>
        <v>1265</v>
      </c>
      <c r="EL19" s="200">
        <f>Мос!D79</f>
        <v>1264.928</v>
      </c>
      <c r="EM19" s="190">
        <f t="shared" si="13"/>
        <v>99.99430830039526</v>
      </c>
      <c r="EN19" s="190">
        <f>Мос!C87</f>
        <v>0</v>
      </c>
      <c r="EO19" s="190">
        <f>Мос!D87</f>
        <v>0</v>
      </c>
      <c r="EP19" s="190" t="e">
        <f t="shared" si="14"/>
        <v>#DIV/0!</v>
      </c>
      <c r="EQ19" s="201">
        <f>Мос!C89</f>
        <v>46.5</v>
      </c>
      <c r="ER19" s="201">
        <f>Мос!D89</f>
        <v>42.275</v>
      </c>
      <c r="ES19" s="190">
        <f t="shared" si="51"/>
        <v>90.91397849462365</v>
      </c>
      <c r="ET19" s="190">
        <f>Мос!C95</f>
        <v>0</v>
      </c>
      <c r="EU19" s="190">
        <f>Мос!D95</f>
        <v>0</v>
      </c>
      <c r="EV19" s="187" t="e">
        <f t="shared" si="52"/>
        <v>#DIV/0!</v>
      </c>
      <c r="EW19" s="194">
        <f t="shared" si="15"/>
        <v>-603.2460000000001</v>
      </c>
      <c r="EX19" s="194">
        <f t="shared" si="16"/>
        <v>-239.4141300000001</v>
      </c>
      <c r="EY19" s="187">
        <f t="shared" si="54"/>
        <v>39.687644841407995</v>
      </c>
      <c r="EZ19" s="195"/>
      <c r="FA19" s="196"/>
      <c r="FC19" s="196"/>
    </row>
    <row r="20" spans="1:170" s="172" customFormat="1" ht="15" customHeight="1">
      <c r="A20" s="184">
        <v>7</v>
      </c>
      <c r="B20" s="197" t="s">
        <v>315</v>
      </c>
      <c r="C20" s="186">
        <f t="shared" si="0"/>
        <v>4738.40736</v>
      </c>
      <c r="D20" s="307">
        <f t="shared" si="1"/>
        <v>4964.2529</v>
      </c>
      <c r="E20" s="190">
        <f t="shared" si="2"/>
        <v>104.766275308166</v>
      </c>
      <c r="F20" s="188">
        <f t="shared" si="3"/>
        <v>2470.19</v>
      </c>
      <c r="G20" s="188">
        <f t="shared" si="4"/>
        <v>2696.0355400000003</v>
      </c>
      <c r="H20" s="190">
        <f t="shared" si="17"/>
        <v>109.14284083410588</v>
      </c>
      <c r="I20" s="314">
        <f>Ори!C6</f>
        <v>234.47</v>
      </c>
      <c r="J20" s="314">
        <f>Ори!D6</f>
        <v>246.35776</v>
      </c>
      <c r="K20" s="190">
        <f t="shared" si="18"/>
        <v>105.0700558706871</v>
      </c>
      <c r="L20" s="190">
        <f>Ори!C8</f>
        <v>125.36</v>
      </c>
      <c r="M20" s="190">
        <f>Ори!D8</f>
        <v>168.51299</v>
      </c>
      <c r="N20" s="187">
        <f t="shared" si="19"/>
        <v>134.42325303126995</v>
      </c>
      <c r="O20" s="187">
        <f>Ори!C9</f>
        <v>1.54</v>
      </c>
      <c r="P20" s="187">
        <f>Ори!D9</f>
        <v>1.71069</v>
      </c>
      <c r="Q20" s="187">
        <f t="shared" si="20"/>
        <v>111.08376623376624</v>
      </c>
      <c r="R20" s="187">
        <f>Ори!C10</f>
        <v>258.82</v>
      </c>
      <c r="S20" s="187">
        <f>Ори!D10</f>
        <v>272.52101</v>
      </c>
      <c r="T20" s="187">
        <f t="shared" si="21"/>
        <v>105.29364423151225</v>
      </c>
      <c r="U20" s="187">
        <f>Ори!C11</f>
        <v>0</v>
      </c>
      <c r="V20" s="187">
        <f>Ори!D11</f>
        <v>-32.63696</v>
      </c>
      <c r="W20" s="187" t="e">
        <f t="shared" si="22"/>
        <v>#DIV/0!</v>
      </c>
      <c r="X20" s="198">
        <f>Ори!C13</f>
        <v>30</v>
      </c>
      <c r="Y20" s="198">
        <f>Ори!D13</f>
        <v>46.78751</v>
      </c>
      <c r="Z20" s="190">
        <f t="shared" si="23"/>
        <v>155.95836666666665</v>
      </c>
      <c r="AA20" s="198">
        <f>Ори!C15</f>
        <v>100</v>
      </c>
      <c r="AB20" s="198">
        <f>Ори!D15</f>
        <v>137.19062</v>
      </c>
      <c r="AC20" s="190">
        <f t="shared" si="24"/>
        <v>137.19062</v>
      </c>
      <c r="AD20" s="198">
        <f>Ори!C16</f>
        <v>1480</v>
      </c>
      <c r="AE20" s="198">
        <f>Ори!D16</f>
        <v>1645.99477</v>
      </c>
      <c r="AF20" s="190">
        <f t="shared" si="5"/>
        <v>111.21586283783785</v>
      </c>
      <c r="AG20" s="190">
        <f>Ори!C18</f>
        <v>10</v>
      </c>
      <c r="AH20" s="190">
        <f>Ори!D18</f>
        <v>13.71</v>
      </c>
      <c r="AI20" s="190">
        <f t="shared" si="25"/>
        <v>137.1</v>
      </c>
      <c r="AJ20" s="190"/>
      <c r="AK20" s="190"/>
      <c r="AL20" s="190" t="e">
        <f t="shared" si="6"/>
        <v>#DIV/0!</v>
      </c>
      <c r="AM20" s="198">
        <v>0</v>
      </c>
      <c r="AN20" s="198">
        <v>0</v>
      </c>
      <c r="AO20" s="190" t="e">
        <f t="shared" si="7"/>
        <v>#DIV/0!</v>
      </c>
      <c r="AP20" s="198">
        <f>Ори!C27</f>
        <v>200</v>
      </c>
      <c r="AQ20" s="198">
        <f>Ори!D27</f>
        <v>143.09106</v>
      </c>
      <c r="AR20" s="190">
        <f t="shared" si="26"/>
        <v>71.54553</v>
      </c>
      <c r="AS20" s="191">
        <f>Ори!C28</f>
        <v>30</v>
      </c>
      <c r="AT20" s="198">
        <f>Ори!D28</f>
        <v>49.5</v>
      </c>
      <c r="AU20" s="190">
        <f t="shared" si="27"/>
        <v>165</v>
      </c>
      <c r="AV20" s="198"/>
      <c r="AW20" s="198"/>
      <c r="AX20" s="190" t="e">
        <f t="shared" si="28"/>
        <v>#DIV/0!</v>
      </c>
      <c r="AY20" s="190">
        <f>Ори!C30</f>
        <v>0</v>
      </c>
      <c r="AZ20" s="190">
        <f>Ори!D30</f>
        <v>0</v>
      </c>
      <c r="BA20" s="190" t="e">
        <f t="shared" si="29"/>
        <v>#DIV/0!</v>
      </c>
      <c r="BB20" s="190"/>
      <c r="BC20" s="190"/>
      <c r="BD20" s="190"/>
      <c r="BE20" s="190">
        <f>Ори!C33</f>
        <v>0</v>
      </c>
      <c r="BF20" s="190">
        <f>Ори!D33</f>
        <v>0</v>
      </c>
      <c r="BG20" s="190" t="e">
        <f t="shared" si="30"/>
        <v>#DIV/0!</v>
      </c>
      <c r="BH20" s="190"/>
      <c r="BI20" s="190"/>
      <c r="BJ20" s="190" t="e">
        <f t="shared" si="31"/>
        <v>#DIV/0!</v>
      </c>
      <c r="BK20" s="190"/>
      <c r="BL20" s="190"/>
      <c r="BM20" s="190"/>
      <c r="BN20" s="190"/>
      <c r="BO20" s="292">
        <f>Ори!D34</f>
        <v>3.19431</v>
      </c>
      <c r="BP20" s="190" t="e">
        <f t="shared" si="32"/>
        <v>#DIV/0!</v>
      </c>
      <c r="BQ20" s="190">
        <f>Ори!C36</f>
        <v>0</v>
      </c>
      <c r="BR20" s="190">
        <f>Ори!D36</f>
        <v>0.10178</v>
      </c>
      <c r="BS20" s="190" t="e">
        <f t="shared" si="33"/>
        <v>#DIV/0!</v>
      </c>
      <c r="BT20" s="190"/>
      <c r="BU20" s="190"/>
      <c r="BV20" s="199" t="e">
        <f t="shared" si="34"/>
        <v>#DIV/0!</v>
      </c>
      <c r="BW20" s="199"/>
      <c r="BX20" s="199"/>
      <c r="BY20" s="199" t="e">
        <f t="shared" si="35"/>
        <v>#DIV/0!</v>
      </c>
      <c r="BZ20" s="189">
        <f t="shared" si="8"/>
        <v>2268.21736</v>
      </c>
      <c r="CA20" s="189">
        <f t="shared" si="9"/>
        <v>2268.21736</v>
      </c>
      <c r="CB20" s="190">
        <f t="shared" si="53"/>
        <v>100</v>
      </c>
      <c r="CC20" s="190">
        <f>Ори!C41</f>
        <v>1261.81</v>
      </c>
      <c r="CD20" s="190">
        <f>Ори!D41</f>
        <v>1261.81</v>
      </c>
      <c r="CE20" s="190">
        <f t="shared" si="36"/>
        <v>100</v>
      </c>
      <c r="CF20" s="190">
        <f>Ори!C42</f>
        <v>410.476</v>
      </c>
      <c r="CG20" s="190">
        <f>Ори!D42</f>
        <v>410.476</v>
      </c>
      <c r="CH20" s="190">
        <f t="shared" si="37"/>
        <v>100</v>
      </c>
      <c r="CI20" s="190">
        <f>Ори!C43</f>
        <v>452.205</v>
      </c>
      <c r="CJ20" s="190">
        <f>Ори!D43</f>
        <v>452.205</v>
      </c>
      <c r="CK20" s="190">
        <f t="shared" si="10"/>
        <v>100</v>
      </c>
      <c r="CL20" s="190">
        <f>Ори!C44</f>
        <v>143.72636</v>
      </c>
      <c r="CM20" s="190">
        <f>Ори!D44</f>
        <v>143.72636</v>
      </c>
      <c r="CN20" s="190">
        <f t="shared" si="11"/>
        <v>100</v>
      </c>
      <c r="CO20" s="190">
        <f>Ори!C45</f>
        <v>0</v>
      </c>
      <c r="CP20" s="190">
        <f>Ори!D45</f>
        <v>0</v>
      </c>
      <c r="CQ20" s="190" t="e">
        <f>CP20/CO20*100</f>
        <v>#DIV/0!</v>
      </c>
      <c r="CR20" s="190">
        <f>Ори!C46</f>
        <v>0</v>
      </c>
      <c r="CS20" s="190">
        <f>Ори!D46</f>
        <v>0</v>
      </c>
      <c r="CT20" s="190" t="e">
        <f t="shared" si="12"/>
        <v>#DIV/0!</v>
      </c>
      <c r="CU20" s="190"/>
      <c r="CV20" s="190"/>
      <c r="CW20" s="190"/>
      <c r="CX20" s="198"/>
      <c r="CY20" s="198"/>
      <c r="CZ20" s="190" t="e">
        <f t="shared" si="38"/>
        <v>#DIV/0!</v>
      </c>
      <c r="DA20" s="190"/>
      <c r="DB20" s="190"/>
      <c r="DC20" s="190"/>
      <c r="DD20" s="190"/>
      <c r="DE20" s="190"/>
      <c r="DF20" s="190"/>
      <c r="DG20" s="198">
        <f t="shared" si="39"/>
        <v>4946.52236</v>
      </c>
      <c r="DH20" s="198">
        <f t="shared" si="39"/>
        <v>4908.35591</v>
      </c>
      <c r="DI20" s="190">
        <f t="shared" si="40"/>
        <v>99.22841852877019</v>
      </c>
      <c r="DJ20" s="198">
        <f t="shared" si="41"/>
        <v>1218.681</v>
      </c>
      <c r="DK20" s="198">
        <f t="shared" si="41"/>
        <v>1193.09472</v>
      </c>
      <c r="DL20" s="190">
        <f t="shared" si="42"/>
        <v>97.90049405874056</v>
      </c>
      <c r="DM20" s="190">
        <f>Ори!C57</f>
        <v>1208.7</v>
      </c>
      <c r="DN20" s="190">
        <f>Ори!D57</f>
        <v>1188.11437</v>
      </c>
      <c r="DO20" s="190">
        <f t="shared" si="43"/>
        <v>98.29687846446595</v>
      </c>
      <c r="DP20" s="190">
        <f>Ори!C60</f>
        <v>0</v>
      </c>
      <c r="DQ20" s="190">
        <f>Ори!D60</f>
        <v>0</v>
      </c>
      <c r="DR20" s="190" t="e">
        <f t="shared" si="44"/>
        <v>#DIV/0!</v>
      </c>
      <c r="DS20" s="190">
        <f>Ори!C61</f>
        <v>5</v>
      </c>
      <c r="DT20" s="190">
        <f>Ори!D61</f>
        <v>0</v>
      </c>
      <c r="DU20" s="190">
        <f t="shared" si="45"/>
        <v>0</v>
      </c>
      <c r="DV20" s="190">
        <f>Ори!C62</f>
        <v>4.981</v>
      </c>
      <c r="DW20" s="190">
        <f>Ори!D62</f>
        <v>4.98035</v>
      </c>
      <c r="DX20" s="190">
        <f t="shared" si="46"/>
        <v>99.98695041156394</v>
      </c>
      <c r="DY20" s="190">
        <f>Ори!C64</f>
        <v>142.76236</v>
      </c>
      <c r="DZ20" s="292">
        <f>Ори!D64</f>
        <v>142.76236</v>
      </c>
      <c r="EA20" s="190">
        <f t="shared" si="47"/>
        <v>100</v>
      </c>
      <c r="EB20" s="190">
        <f>Ори!C65</f>
        <v>5.297</v>
      </c>
      <c r="EC20" s="190">
        <f>Ори!D65</f>
        <v>5.29674</v>
      </c>
      <c r="ED20" s="190">
        <f t="shared" si="48"/>
        <v>99.99509156126109</v>
      </c>
      <c r="EE20" s="198">
        <f>Ори!C70</f>
        <v>1298.76</v>
      </c>
      <c r="EF20" s="198">
        <f>Ори!D70</f>
        <v>1293.75</v>
      </c>
      <c r="EG20" s="190">
        <f t="shared" si="49"/>
        <v>99.61424743601589</v>
      </c>
      <c r="EH20" s="198">
        <f>Ори!C75</f>
        <v>717.522</v>
      </c>
      <c r="EI20" s="198">
        <f>Ори!D75</f>
        <v>710.03009</v>
      </c>
      <c r="EJ20" s="190">
        <f t="shared" si="50"/>
        <v>98.95586337422405</v>
      </c>
      <c r="EK20" s="398">
        <f>Ори!C80</f>
        <v>1561.5</v>
      </c>
      <c r="EL20" s="200">
        <f>Ори!D80</f>
        <v>1561.422</v>
      </c>
      <c r="EM20" s="190">
        <f t="shared" si="13"/>
        <v>99.99500480307397</v>
      </c>
      <c r="EN20" s="190">
        <f>Ори!C82</f>
        <v>0</v>
      </c>
      <c r="EO20" s="190">
        <f>Ори!D82</f>
        <v>0</v>
      </c>
      <c r="EP20" s="190" t="e">
        <f t="shared" si="14"/>
        <v>#DIV/0!</v>
      </c>
      <c r="EQ20" s="201">
        <f>Ори!C87</f>
        <v>2</v>
      </c>
      <c r="ER20" s="201">
        <f>Ори!D87</f>
        <v>2</v>
      </c>
      <c r="ES20" s="190">
        <f t="shared" si="51"/>
        <v>100</v>
      </c>
      <c r="ET20" s="190">
        <f>Ори!C93</f>
        <v>0</v>
      </c>
      <c r="EU20" s="190">
        <f>Ори!D93</f>
        <v>0</v>
      </c>
      <c r="EV20" s="187" t="e">
        <f t="shared" si="52"/>
        <v>#DIV/0!</v>
      </c>
      <c r="EW20" s="194">
        <f t="shared" si="15"/>
        <v>-208.11499999999978</v>
      </c>
      <c r="EX20" s="194">
        <f t="shared" si="16"/>
        <v>55.89699000000019</v>
      </c>
      <c r="EY20" s="187">
        <f t="shared" si="54"/>
        <v>-26.858703120870793</v>
      </c>
      <c r="EZ20" s="195"/>
      <c r="FA20" s="196"/>
      <c r="FC20" s="196"/>
      <c r="FF20" s="203"/>
      <c r="FG20" s="203"/>
      <c r="FH20" s="203"/>
      <c r="FI20" s="203"/>
      <c r="FJ20" s="203"/>
      <c r="FK20" s="203"/>
      <c r="FL20" s="203"/>
      <c r="FM20" s="203"/>
      <c r="FN20" s="203"/>
    </row>
    <row r="21" spans="1:170" s="172" customFormat="1" ht="15" customHeight="1">
      <c r="A21" s="184">
        <v>8</v>
      </c>
      <c r="B21" s="197" t="s">
        <v>316</v>
      </c>
      <c r="C21" s="186">
        <f t="shared" si="0"/>
        <v>5923.39129</v>
      </c>
      <c r="D21" s="307">
        <f t="shared" si="1"/>
        <v>5895.64371</v>
      </c>
      <c r="E21" s="190">
        <f t="shared" si="2"/>
        <v>99.53155922610003</v>
      </c>
      <c r="F21" s="188">
        <f t="shared" si="3"/>
        <v>1930.8736099999999</v>
      </c>
      <c r="G21" s="188">
        <f t="shared" si="4"/>
        <v>1903.12603</v>
      </c>
      <c r="H21" s="190">
        <f t="shared" si="17"/>
        <v>98.56295203081676</v>
      </c>
      <c r="I21" s="198">
        <f>Сят!C6</f>
        <v>137.66</v>
      </c>
      <c r="J21" s="198">
        <f>Сят!D6</f>
        <v>105.06207</v>
      </c>
      <c r="K21" s="190">
        <f t="shared" si="18"/>
        <v>76.31996949004794</v>
      </c>
      <c r="L21" s="190">
        <f>Сят!C8</f>
        <v>171.05361</v>
      </c>
      <c r="M21" s="190">
        <f>Сят!D8</f>
        <v>207.86121</v>
      </c>
      <c r="N21" s="187">
        <f t="shared" si="19"/>
        <v>121.51816614685889</v>
      </c>
      <c r="O21" s="187">
        <f>Сят!C9</f>
        <v>1.9</v>
      </c>
      <c r="P21" s="187">
        <f>Сят!D9</f>
        <v>2.11014</v>
      </c>
      <c r="Q21" s="187">
        <f t="shared" si="20"/>
        <v>111.06</v>
      </c>
      <c r="R21" s="187">
        <f>Сят!C10</f>
        <v>319.26</v>
      </c>
      <c r="S21" s="187">
        <f>Сят!D10</f>
        <v>336.15535</v>
      </c>
      <c r="T21" s="187">
        <f t="shared" si="21"/>
        <v>105.2920347052559</v>
      </c>
      <c r="U21" s="187">
        <f>Сят!C11</f>
        <v>0</v>
      </c>
      <c r="V21" s="187">
        <f>Сят!D11</f>
        <v>-40.2578</v>
      </c>
      <c r="W21" s="187" t="e">
        <f t="shared" si="22"/>
        <v>#DIV/0!</v>
      </c>
      <c r="X21" s="198">
        <f>Сят!C13</f>
        <v>185</v>
      </c>
      <c r="Y21" s="198">
        <f>Сят!D13</f>
        <v>39.1514</v>
      </c>
      <c r="Z21" s="190">
        <f t="shared" si="23"/>
        <v>21.162918918918923</v>
      </c>
      <c r="AA21" s="198">
        <f>Сят!C15</f>
        <v>90</v>
      </c>
      <c r="AB21" s="198">
        <f>Сят!D15</f>
        <v>103.88317</v>
      </c>
      <c r="AC21" s="190">
        <f t="shared" si="24"/>
        <v>115.42574444444445</v>
      </c>
      <c r="AD21" s="198">
        <f>Сят!C16</f>
        <v>850</v>
      </c>
      <c r="AE21" s="198">
        <f>Сят!D16</f>
        <v>965.52281</v>
      </c>
      <c r="AF21" s="190">
        <f t="shared" si="5"/>
        <v>113.5909188235294</v>
      </c>
      <c r="AG21" s="190">
        <f>Сят!C18</f>
        <v>10</v>
      </c>
      <c r="AH21" s="190">
        <f>Сят!D18</f>
        <v>7.25</v>
      </c>
      <c r="AI21" s="190">
        <f t="shared" si="25"/>
        <v>72.5</v>
      </c>
      <c r="AJ21" s="190">
        <f>Сят!C22</f>
        <v>0</v>
      </c>
      <c r="AK21" s="190">
        <f>Сят!D20</f>
        <v>0</v>
      </c>
      <c r="AL21" s="190" t="e">
        <f t="shared" si="6"/>
        <v>#DIV/0!</v>
      </c>
      <c r="AM21" s="198">
        <v>0</v>
      </c>
      <c r="AN21" s="198">
        <v>0</v>
      </c>
      <c r="AO21" s="190" t="e">
        <f t="shared" si="7"/>
        <v>#DIV/0!</v>
      </c>
      <c r="AP21" s="198">
        <f>Сят!C27</f>
        <v>160</v>
      </c>
      <c r="AQ21" s="198">
        <f>Сят!D27</f>
        <v>21</v>
      </c>
      <c r="AR21" s="190">
        <f t="shared" si="26"/>
        <v>13.125</v>
      </c>
      <c r="AS21" s="191">
        <f>Сят!C28</f>
        <v>6</v>
      </c>
      <c r="AT21" s="198">
        <f>Сят!D28</f>
        <v>6.77376</v>
      </c>
      <c r="AU21" s="190">
        <f t="shared" si="27"/>
        <v>112.896</v>
      </c>
      <c r="AV21" s="198"/>
      <c r="AW21" s="198"/>
      <c r="AX21" s="190" t="e">
        <f t="shared" si="28"/>
        <v>#DIV/0!</v>
      </c>
      <c r="AY21" s="190">
        <f>Сят!C30</f>
        <v>0</v>
      </c>
      <c r="AZ21" s="190">
        <f>Сят!D30</f>
        <v>3.90044</v>
      </c>
      <c r="BA21" s="190" t="e">
        <f t="shared" si="29"/>
        <v>#DIV/0!</v>
      </c>
      <c r="BB21" s="190"/>
      <c r="BC21" s="190"/>
      <c r="BD21" s="190"/>
      <c r="BE21" s="190">
        <f>Сят!C33</f>
        <v>0</v>
      </c>
      <c r="BF21" s="190">
        <f>Сят!D33</f>
        <v>0</v>
      </c>
      <c r="BG21" s="190" t="e">
        <f t="shared" si="30"/>
        <v>#DIV/0!</v>
      </c>
      <c r="BH21" s="190"/>
      <c r="BI21" s="190"/>
      <c r="BJ21" s="190" t="e">
        <f t="shared" si="31"/>
        <v>#DIV/0!</v>
      </c>
      <c r="BK21" s="190"/>
      <c r="BL21" s="190"/>
      <c r="BM21" s="190"/>
      <c r="BN21" s="190"/>
      <c r="BO21" s="292">
        <f>Сят!D34</f>
        <v>49.71348</v>
      </c>
      <c r="BP21" s="190" t="e">
        <f t="shared" si="32"/>
        <v>#DIV/0!</v>
      </c>
      <c r="BQ21" s="190">
        <f>Сят!C36</f>
        <v>0</v>
      </c>
      <c r="BR21" s="190">
        <f>Сят!D36</f>
        <v>95</v>
      </c>
      <c r="BS21" s="190" t="e">
        <f t="shared" si="33"/>
        <v>#DIV/0!</v>
      </c>
      <c r="BT21" s="190"/>
      <c r="BU21" s="190"/>
      <c r="BV21" s="199" t="e">
        <f t="shared" si="34"/>
        <v>#DIV/0!</v>
      </c>
      <c r="BW21" s="199"/>
      <c r="BX21" s="199"/>
      <c r="BY21" s="199" t="e">
        <f t="shared" si="35"/>
        <v>#DIV/0!</v>
      </c>
      <c r="BZ21" s="189">
        <f t="shared" si="8"/>
        <v>3992.51768</v>
      </c>
      <c r="CA21" s="189">
        <f t="shared" si="9"/>
        <v>3992.51768</v>
      </c>
      <c r="CB21" s="190">
        <f t="shared" si="53"/>
        <v>100</v>
      </c>
      <c r="CC21" s="190">
        <f>Сят!C41</f>
        <v>2537.19</v>
      </c>
      <c r="CD21" s="190">
        <f>Сят!D41</f>
        <v>2537.19</v>
      </c>
      <c r="CE21" s="190">
        <f t="shared" si="36"/>
        <v>100</v>
      </c>
      <c r="CF21" s="190">
        <f>Сят!C42</f>
        <v>0</v>
      </c>
      <c r="CG21" s="190">
        <f>Сят!D42</f>
        <v>0</v>
      </c>
      <c r="CH21" s="190" t="e">
        <f t="shared" si="37"/>
        <v>#DIV/0!</v>
      </c>
      <c r="CI21" s="190">
        <f>Сят!C43</f>
        <v>1308.65</v>
      </c>
      <c r="CJ21" s="190">
        <f>Сят!D43</f>
        <v>1308.65</v>
      </c>
      <c r="CK21" s="190">
        <f t="shared" si="10"/>
        <v>100</v>
      </c>
      <c r="CL21" s="190">
        <f>Сят!C44</f>
        <v>146.67768</v>
      </c>
      <c r="CM21" s="190">
        <f>Сят!D44</f>
        <v>146.67768</v>
      </c>
      <c r="CN21" s="190">
        <f t="shared" si="11"/>
        <v>100</v>
      </c>
      <c r="CO21" s="190">
        <f>Сят!C48</f>
        <v>0</v>
      </c>
      <c r="CP21" s="190">
        <f>Сят!D48</f>
        <v>0</v>
      </c>
      <c r="CQ21" s="190" t="e">
        <f>CP21/CO21*100</f>
        <v>#DIV/0!</v>
      </c>
      <c r="CR21" s="190"/>
      <c r="CS21" s="190"/>
      <c r="CT21" s="190" t="e">
        <f t="shared" si="12"/>
        <v>#DIV/0!</v>
      </c>
      <c r="CU21" s="190"/>
      <c r="CV21" s="190"/>
      <c r="CW21" s="190"/>
      <c r="CX21" s="198"/>
      <c r="CY21" s="198"/>
      <c r="CZ21" s="190" t="e">
        <f t="shared" si="38"/>
        <v>#DIV/0!</v>
      </c>
      <c r="DA21" s="190"/>
      <c r="DB21" s="190"/>
      <c r="DC21" s="190"/>
      <c r="DD21" s="190"/>
      <c r="DE21" s="190"/>
      <c r="DF21" s="190"/>
      <c r="DG21" s="198">
        <f t="shared" si="39"/>
        <v>7029.094290000001</v>
      </c>
      <c r="DH21" s="198">
        <f t="shared" si="39"/>
        <v>6427.17352</v>
      </c>
      <c r="DI21" s="190">
        <f t="shared" si="40"/>
        <v>91.43672363512995</v>
      </c>
      <c r="DJ21" s="198">
        <f t="shared" si="41"/>
        <v>1295.833</v>
      </c>
      <c r="DK21" s="198">
        <f>Сят!D54</f>
        <v>1190.27353</v>
      </c>
      <c r="DL21" s="190">
        <f t="shared" si="42"/>
        <v>91.85392948011047</v>
      </c>
      <c r="DM21" s="190">
        <f>Сят!C56</f>
        <v>1256.17</v>
      </c>
      <c r="DN21" s="190">
        <f>Сят!D56</f>
        <v>1155.61053</v>
      </c>
      <c r="DO21" s="190">
        <f t="shared" si="43"/>
        <v>91.99475628298717</v>
      </c>
      <c r="DP21" s="190">
        <f>Сят!C59</f>
        <v>30</v>
      </c>
      <c r="DQ21" s="190">
        <f>Сят!D59</f>
        <v>30</v>
      </c>
      <c r="DR21" s="190">
        <f t="shared" si="44"/>
        <v>100</v>
      </c>
      <c r="DS21" s="190">
        <f>Сят!C60</f>
        <v>5</v>
      </c>
      <c r="DT21" s="190">
        <f>Сят!D60</f>
        <v>0</v>
      </c>
      <c r="DU21" s="190">
        <f t="shared" si="45"/>
        <v>0</v>
      </c>
      <c r="DV21" s="190">
        <f>Сят!C61</f>
        <v>4.663</v>
      </c>
      <c r="DW21" s="190">
        <f>Сят!D61</f>
        <v>4.663</v>
      </c>
      <c r="DX21" s="190">
        <f t="shared" si="46"/>
        <v>100</v>
      </c>
      <c r="DY21" s="190">
        <f>Сят!C63</f>
        <v>146.04608</v>
      </c>
      <c r="DZ21" s="292">
        <f>Сят!D63</f>
        <v>146.04608</v>
      </c>
      <c r="EA21" s="190">
        <f t="shared" si="47"/>
        <v>100</v>
      </c>
      <c r="EB21" s="190">
        <f>Сят!C64</f>
        <v>12</v>
      </c>
      <c r="EC21" s="190">
        <f>Сят!D64</f>
        <v>3.265</v>
      </c>
      <c r="ED21" s="190">
        <f t="shared" si="48"/>
        <v>27.208333333333336</v>
      </c>
      <c r="EE21" s="198">
        <f>Сят!C69</f>
        <v>2461.49661</v>
      </c>
      <c r="EF21" s="198">
        <f>Сят!D69</f>
        <v>2353.59161</v>
      </c>
      <c r="EG21" s="190">
        <f t="shared" si="49"/>
        <v>95.61628484225292</v>
      </c>
      <c r="EH21" s="198">
        <f>Сят!C74</f>
        <v>587.3186000000001</v>
      </c>
      <c r="EI21" s="198">
        <f>Сят!D74</f>
        <v>338.8207</v>
      </c>
      <c r="EJ21" s="190">
        <f t="shared" si="50"/>
        <v>57.689421039960244</v>
      </c>
      <c r="EK21" s="398">
        <f>Сят!C78</f>
        <v>2516.4</v>
      </c>
      <c r="EL21" s="200">
        <f>Сят!D78</f>
        <v>2387.3556</v>
      </c>
      <c r="EM21" s="190">
        <f t="shared" si="13"/>
        <v>94.87186456843108</v>
      </c>
      <c r="EN21" s="190">
        <f>Сят!C80</f>
        <v>0</v>
      </c>
      <c r="EO21" s="190">
        <f>Сят!D80</f>
        <v>0</v>
      </c>
      <c r="EP21" s="190" t="e">
        <f t="shared" si="14"/>
        <v>#DIV/0!</v>
      </c>
      <c r="EQ21" s="201">
        <f>Сят!C85</f>
        <v>10</v>
      </c>
      <c r="ER21" s="201">
        <f>Сят!D85</f>
        <v>7.821</v>
      </c>
      <c r="ES21" s="190">
        <f t="shared" si="51"/>
        <v>78.21000000000001</v>
      </c>
      <c r="ET21" s="190">
        <f>Сят!C91</f>
        <v>0</v>
      </c>
      <c r="EU21" s="190">
        <f>Сят!D91</f>
        <v>0</v>
      </c>
      <c r="EV21" s="187" t="e">
        <f t="shared" si="52"/>
        <v>#DIV/0!</v>
      </c>
      <c r="EW21" s="194">
        <f t="shared" si="15"/>
        <v>-1105.7030000000013</v>
      </c>
      <c r="EX21" s="194">
        <f t="shared" si="16"/>
        <v>-531.52981</v>
      </c>
      <c r="EY21" s="187">
        <f t="shared" si="54"/>
        <v>48.07166210094387</v>
      </c>
      <c r="EZ21" s="195"/>
      <c r="FA21" s="196"/>
      <c r="FB21" s="203"/>
      <c r="FC21" s="196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</row>
    <row r="22" spans="1:170" s="172" customFormat="1" ht="15" customHeight="1">
      <c r="A22" s="184">
        <v>9</v>
      </c>
      <c r="B22" s="197" t="s">
        <v>317</v>
      </c>
      <c r="C22" s="186">
        <f t="shared" si="0"/>
        <v>4563.9127</v>
      </c>
      <c r="D22" s="307">
        <f t="shared" si="1"/>
        <v>4982.241110000001</v>
      </c>
      <c r="E22" s="190">
        <f t="shared" si="2"/>
        <v>109.16600376689942</v>
      </c>
      <c r="F22" s="188">
        <f t="shared" si="3"/>
        <v>1746.4759999999999</v>
      </c>
      <c r="G22" s="188">
        <f t="shared" si="4"/>
        <v>2192.2044100000003</v>
      </c>
      <c r="H22" s="190">
        <f t="shared" si="17"/>
        <v>125.52158804358035</v>
      </c>
      <c r="I22" s="198">
        <f>Тор!C6</f>
        <v>109.86</v>
      </c>
      <c r="J22" s="198">
        <f>Тор!D6</f>
        <v>99.13319</v>
      </c>
      <c r="K22" s="190">
        <f t="shared" si="18"/>
        <v>90.2359275441471</v>
      </c>
      <c r="L22" s="190">
        <f>Тор!C8</f>
        <v>238.796</v>
      </c>
      <c r="M22" s="190">
        <f>Тор!D8</f>
        <v>281.42527</v>
      </c>
      <c r="N22" s="187">
        <f t="shared" si="19"/>
        <v>117.85175212315116</v>
      </c>
      <c r="O22" s="187">
        <f>Тор!C9</f>
        <v>2.58</v>
      </c>
      <c r="P22" s="187">
        <f>Тор!D9</f>
        <v>2.85695</v>
      </c>
      <c r="Q22" s="187">
        <f t="shared" si="20"/>
        <v>110.73449612403098</v>
      </c>
      <c r="R22" s="187">
        <f>Тор!C10</f>
        <v>432.24</v>
      </c>
      <c r="S22" s="187">
        <f>Тор!D10</f>
        <v>455.12391</v>
      </c>
      <c r="T22" s="187">
        <f t="shared" si="21"/>
        <v>105.29426013325931</v>
      </c>
      <c r="U22" s="187">
        <f>Тор!C11</f>
        <v>0</v>
      </c>
      <c r="V22" s="187">
        <f>Тор!D11</f>
        <v>-54.50543</v>
      </c>
      <c r="W22" s="187" t="e">
        <f t="shared" si="22"/>
        <v>#DIV/0!</v>
      </c>
      <c r="X22" s="198">
        <f>Тор!C13</f>
        <v>60</v>
      </c>
      <c r="Y22" s="198">
        <f>Тор!D13</f>
        <v>4.5831</v>
      </c>
      <c r="Z22" s="190">
        <f t="shared" si="23"/>
        <v>7.6385</v>
      </c>
      <c r="AA22" s="198">
        <f>Тор!C15</f>
        <v>90</v>
      </c>
      <c r="AB22" s="198">
        <f>Тор!D15</f>
        <v>97.0666</v>
      </c>
      <c r="AC22" s="190">
        <f t="shared" si="24"/>
        <v>107.85177777777777</v>
      </c>
      <c r="AD22" s="198">
        <f>Тор!C16</f>
        <v>450</v>
      </c>
      <c r="AE22" s="198">
        <f>Тор!D16</f>
        <v>479.6514</v>
      </c>
      <c r="AF22" s="190">
        <f t="shared" si="5"/>
        <v>106.5892</v>
      </c>
      <c r="AG22" s="190">
        <f>Тор!C18</f>
        <v>10</v>
      </c>
      <c r="AH22" s="190">
        <f>Тор!D18</f>
        <v>8.243</v>
      </c>
      <c r="AI22" s="190">
        <f t="shared" si="25"/>
        <v>82.43</v>
      </c>
      <c r="AJ22" s="190"/>
      <c r="AK22" s="190">
        <f>Тор!D20</f>
        <v>0.77923</v>
      </c>
      <c r="AL22" s="190" t="e">
        <f t="shared" si="6"/>
        <v>#DIV/0!</v>
      </c>
      <c r="AM22" s="198">
        <v>0</v>
      </c>
      <c r="AN22" s="198">
        <v>0</v>
      </c>
      <c r="AO22" s="190" t="e">
        <f t="shared" si="7"/>
        <v>#DIV/0!</v>
      </c>
      <c r="AP22" s="198">
        <f>Тор!C27</f>
        <v>300</v>
      </c>
      <c r="AQ22" s="198">
        <f>Тор!D27</f>
        <v>688.8015</v>
      </c>
      <c r="AR22" s="190">
        <f t="shared" si="26"/>
        <v>229.6005</v>
      </c>
      <c r="AS22" s="191">
        <f>Тор!C28</f>
        <v>3</v>
      </c>
      <c r="AT22" s="198">
        <f>Тор!D28</f>
        <v>71.16245</v>
      </c>
      <c r="AU22" s="190">
        <f t="shared" si="27"/>
        <v>2372.081666666667</v>
      </c>
      <c r="AV22" s="198"/>
      <c r="AW22" s="198"/>
      <c r="AX22" s="190" t="e">
        <f t="shared" si="28"/>
        <v>#DIV/0!</v>
      </c>
      <c r="AY22" s="190">
        <f>Тор!C29</f>
        <v>50</v>
      </c>
      <c r="AZ22" s="190">
        <f>Тор!D29</f>
        <v>31.76841</v>
      </c>
      <c r="BA22" s="190">
        <f t="shared" si="29"/>
        <v>63.53681999999999</v>
      </c>
      <c r="BB22" s="190"/>
      <c r="BC22" s="190"/>
      <c r="BD22" s="190"/>
      <c r="BE22" s="190">
        <f>Тор!C33+Тор!C32</f>
        <v>0</v>
      </c>
      <c r="BF22" s="190">
        <f>Тор!D31</f>
        <v>0</v>
      </c>
      <c r="BG22" s="190" t="e">
        <f t="shared" si="30"/>
        <v>#DIV/0!</v>
      </c>
      <c r="BH22" s="190"/>
      <c r="BI22" s="190"/>
      <c r="BJ22" s="190" t="e">
        <f t="shared" si="31"/>
        <v>#DIV/0!</v>
      </c>
      <c r="BK22" s="190"/>
      <c r="BL22" s="190"/>
      <c r="BM22" s="190"/>
      <c r="BN22" s="190"/>
      <c r="BO22" s="292">
        <f>Тор!D34</f>
        <v>23.3897</v>
      </c>
      <c r="BP22" s="190" t="e">
        <f t="shared" si="32"/>
        <v>#DIV/0!</v>
      </c>
      <c r="BQ22" s="190">
        <f>Тор!C36</f>
        <v>0</v>
      </c>
      <c r="BR22" s="190">
        <f>Тор!D36</f>
        <v>2.72513</v>
      </c>
      <c r="BS22" s="190" t="e">
        <f t="shared" si="33"/>
        <v>#DIV/0!</v>
      </c>
      <c r="BT22" s="190"/>
      <c r="BU22" s="190"/>
      <c r="BV22" s="199" t="e">
        <f t="shared" si="34"/>
        <v>#DIV/0!</v>
      </c>
      <c r="BW22" s="199"/>
      <c r="BX22" s="199"/>
      <c r="BY22" s="199" t="e">
        <f t="shared" si="35"/>
        <v>#DIV/0!</v>
      </c>
      <c r="BZ22" s="189">
        <f t="shared" si="8"/>
        <v>2817.4367</v>
      </c>
      <c r="CA22" s="189">
        <f t="shared" si="9"/>
        <v>2790.0367</v>
      </c>
      <c r="CB22" s="190">
        <f t="shared" si="53"/>
        <v>99.02748480560362</v>
      </c>
      <c r="CC22" s="190">
        <f>Тор!C41</f>
        <v>1127.75</v>
      </c>
      <c r="CD22" s="190">
        <f>Тор!D41</f>
        <v>1127.75</v>
      </c>
      <c r="CE22" s="190">
        <f t="shared" si="36"/>
        <v>100</v>
      </c>
      <c r="CF22" s="190">
        <f>Тор!C42</f>
        <v>710</v>
      </c>
      <c r="CG22" s="190">
        <f>Тор!D42</f>
        <v>710</v>
      </c>
      <c r="CH22" s="190">
        <f t="shared" si="37"/>
        <v>100</v>
      </c>
      <c r="CI22" s="190">
        <f>Тор!C43</f>
        <v>834.992</v>
      </c>
      <c r="CJ22" s="190">
        <f>Тор!D43</f>
        <v>807.592</v>
      </c>
      <c r="CK22" s="190">
        <f t="shared" si="10"/>
        <v>96.71853143503172</v>
      </c>
      <c r="CL22" s="190">
        <f>Тор!C44</f>
        <v>144.6947</v>
      </c>
      <c r="CM22" s="190">
        <f>Тор!D44</f>
        <v>144.6947</v>
      </c>
      <c r="CN22" s="190">
        <f t="shared" si="11"/>
        <v>100</v>
      </c>
      <c r="CO22" s="190">
        <f>Тор!C45</f>
        <v>0</v>
      </c>
      <c r="CP22" s="190">
        <f>Тор!D45</f>
        <v>0</v>
      </c>
      <c r="CQ22" s="190"/>
      <c r="CR22" s="190"/>
      <c r="CS22" s="190"/>
      <c r="CT22" s="190" t="e">
        <f t="shared" si="12"/>
        <v>#DIV/0!</v>
      </c>
      <c r="CU22" s="190"/>
      <c r="CV22" s="190"/>
      <c r="CW22" s="190"/>
      <c r="CX22" s="198"/>
      <c r="CY22" s="198"/>
      <c r="CZ22" s="190" t="e">
        <f t="shared" si="38"/>
        <v>#DIV/0!</v>
      </c>
      <c r="DA22" s="190"/>
      <c r="DB22" s="190"/>
      <c r="DC22" s="190"/>
      <c r="DD22" s="190"/>
      <c r="DE22" s="190"/>
      <c r="DF22" s="190"/>
      <c r="DG22" s="198">
        <f t="shared" si="39"/>
        <v>4824.5577</v>
      </c>
      <c r="DH22" s="198">
        <f t="shared" si="39"/>
        <v>4661.94199</v>
      </c>
      <c r="DI22" s="190">
        <f t="shared" si="40"/>
        <v>96.62941724170902</v>
      </c>
      <c r="DJ22" s="198">
        <f t="shared" si="41"/>
        <v>916.496</v>
      </c>
      <c r="DK22" s="198">
        <f t="shared" si="41"/>
        <v>845.43992</v>
      </c>
      <c r="DL22" s="190">
        <f t="shared" si="42"/>
        <v>92.24698416577924</v>
      </c>
      <c r="DM22" s="190">
        <f>Тор!C56</f>
        <v>901</v>
      </c>
      <c r="DN22" s="190">
        <f>Тор!D56</f>
        <v>836.76685</v>
      </c>
      <c r="DO22" s="190">
        <f t="shared" si="43"/>
        <v>92.87090455049945</v>
      </c>
      <c r="DP22" s="190">
        <f>Тор!C59</f>
        <v>3.5</v>
      </c>
      <c r="DQ22" s="190">
        <f>Тор!D59</f>
        <v>3.5</v>
      </c>
      <c r="DR22" s="190">
        <f t="shared" si="44"/>
        <v>100</v>
      </c>
      <c r="DS22" s="190">
        <f>Тор!C60</f>
        <v>5</v>
      </c>
      <c r="DT22" s="190">
        <f>Тор!D60</f>
        <v>0</v>
      </c>
      <c r="DU22" s="190">
        <f t="shared" si="45"/>
        <v>0</v>
      </c>
      <c r="DV22" s="190">
        <f>Тор!C61</f>
        <v>6.996</v>
      </c>
      <c r="DW22" s="190">
        <f>Тор!D61</f>
        <v>5.17307</v>
      </c>
      <c r="DX22" s="190">
        <f t="shared" si="46"/>
        <v>73.94325328759291</v>
      </c>
      <c r="DY22" s="190">
        <f>Тор!C63</f>
        <v>143.8637</v>
      </c>
      <c r="DZ22" s="292">
        <f>+Тор!D62</f>
        <v>143.8637</v>
      </c>
      <c r="EA22" s="190">
        <f t="shared" si="47"/>
        <v>100</v>
      </c>
      <c r="EB22" s="190">
        <f>Тор!C64</f>
        <v>0.1</v>
      </c>
      <c r="EC22" s="190">
        <f>Тор!D64</f>
        <v>0</v>
      </c>
      <c r="ED22" s="190">
        <f t="shared" si="48"/>
        <v>0</v>
      </c>
      <c r="EE22" s="198">
        <f>Тор!C69</f>
        <v>2079.9030000000002</v>
      </c>
      <c r="EF22" s="198">
        <f>Тор!D69</f>
        <v>2000.7410100000002</v>
      </c>
      <c r="EG22" s="190">
        <f t="shared" si="49"/>
        <v>96.19395760283052</v>
      </c>
      <c r="EH22" s="198">
        <f>Тор!C75</f>
        <v>404.795</v>
      </c>
      <c r="EI22" s="198">
        <f>Тор!D75</f>
        <v>394.96336</v>
      </c>
      <c r="EJ22" s="190">
        <f t="shared" si="50"/>
        <v>97.57120517792957</v>
      </c>
      <c r="EK22" s="398">
        <f>Тор!C79</f>
        <v>1277.4</v>
      </c>
      <c r="EL22" s="200">
        <f>Тор!D79</f>
        <v>1274.934</v>
      </c>
      <c r="EM22" s="190">
        <f t="shared" si="13"/>
        <v>99.80695162047908</v>
      </c>
      <c r="EN22" s="190">
        <f>Тор!C81</f>
        <v>0</v>
      </c>
      <c r="EO22" s="190">
        <f>Тор!D81</f>
        <v>0</v>
      </c>
      <c r="EP22" s="190" t="e">
        <f t="shared" si="14"/>
        <v>#DIV/0!</v>
      </c>
      <c r="EQ22" s="201">
        <f>Тор!C94</f>
        <v>2</v>
      </c>
      <c r="ER22" s="201">
        <f>Тор!D94</f>
        <v>2</v>
      </c>
      <c r="ES22" s="190">
        <f t="shared" si="51"/>
        <v>100</v>
      </c>
      <c r="ET22" s="190">
        <f>Тор!C92</f>
        <v>0</v>
      </c>
      <c r="EU22" s="190">
        <f>Тор!D92</f>
        <v>0</v>
      </c>
      <c r="EV22" s="187" t="e">
        <f t="shared" si="52"/>
        <v>#DIV/0!</v>
      </c>
      <c r="EW22" s="194">
        <f t="shared" si="15"/>
        <v>-260.64500000000044</v>
      </c>
      <c r="EX22" s="194">
        <f t="shared" si="16"/>
        <v>320.2991200000006</v>
      </c>
      <c r="EY22" s="187">
        <f t="shared" si="54"/>
        <v>-122.887114657868</v>
      </c>
      <c r="EZ22" s="195"/>
      <c r="FA22" s="196"/>
      <c r="FC22" s="196"/>
      <c r="FF22" s="203"/>
      <c r="FG22" s="203"/>
      <c r="FH22" s="203"/>
      <c r="FI22" s="203"/>
      <c r="FJ22" s="203"/>
      <c r="FK22" s="203"/>
      <c r="FL22" s="203"/>
      <c r="FM22" s="203"/>
      <c r="FN22" s="203"/>
    </row>
    <row r="23" spans="1:159" s="172" customFormat="1" ht="15" customHeight="1">
      <c r="A23" s="184">
        <v>10</v>
      </c>
      <c r="B23" s="197" t="s">
        <v>318</v>
      </c>
      <c r="C23" s="186">
        <f t="shared" si="0"/>
        <v>3580.5066099999995</v>
      </c>
      <c r="D23" s="307">
        <f t="shared" si="1"/>
        <v>3418.7437499999996</v>
      </c>
      <c r="E23" s="190">
        <f t="shared" si="2"/>
        <v>95.48212368751918</v>
      </c>
      <c r="F23" s="188">
        <f t="shared" si="3"/>
        <v>1053.64</v>
      </c>
      <c r="G23" s="188">
        <f t="shared" si="4"/>
        <v>913.7309899999999</v>
      </c>
      <c r="H23" s="190">
        <f t="shared" si="17"/>
        <v>86.7213649823469</v>
      </c>
      <c r="I23" s="198">
        <f>Хор!C6</f>
        <v>127.11</v>
      </c>
      <c r="J23" s="198">
        <f>Хор!D6</f>
        <v>60.08087</v>
      </c>
      <c r="K23" s="190">
        <f t="shared" si="18"/>
        <v>47.266831877901026</v>
      </c>
      <c r="L23" s="190">
        <f>Хор!C8</f>
        <v>97.99</v>
      </c>
      <c r="M23" s="190">
        <f>Хор!D8</f>
        <v>131.73098</v>
      </c>
      <c r="N23" s="187">
        <f t="shared" si="19"/>
        <v>134.43308500867434</v>
      </c>
      <c r="O23" s="187">
        <f>Хор!C9</f>
        <v>1.21</v>
      </c>
      <c r="P23" s="187">
        <f>Хор!D9</f>
        <v>1.33729</v>
      </c>
      <c r="Q23" s="187">
        <f t="shared" si="20"/>
        <v>110.51983471074381</v>
      </c>
      <c r="R23" s="187">
        <f>Хор!C10</f>
        <v>202.33</v>
      </c>
      <c r="S23" s="187">
        <f>Хор!D10</f>
        <v>213.03672</v>
      </c>
      <c r="T23" s="187">
        <f t="shared" si="21"/>
        <v>105.29171156032224</v>
      </c>
      <c r="U23" s="187">
        <f>Хор!C11</f>
        <v>0</v>
      </c>
      <c r="V23" s="187">
        <f>Хор!D11</f>
        <v>-25.51318</v>
      </c>
      <c r="W23" s="187" t="e">
        <f t="shared" si="22"/>
        <v>#DIV/0!</v>
      </c>
      <c r="X23" s="198">
        <f>Хор!C13</f>
        <v>15</v>
      </c>
      <c r="Y23" s="198">
        <f>Хор!D13</f>
        <v>3.084</v>
      </c>
      <c r="Z23" s="190">
        <f t="shared" si="23"/>
        <v>20.560000000000002</v>
      </c>
      <c r="AA23" s="198">
        <f>Хор!C15</f>
        <v>50</v>
      </c>
      <c r="AB23" s="198">
        <f>Хор!D15</f>
        <v>81.13049</v>
      </c>
      <c r="AC23" s="190">
        <f t="shared" si="24"/>
        <v>162.26098</v>
      </c>
      <c r="AD23" s="198">
        <f>Хор!C16</f>
        <v>360</v>
      </c>
      <c r="AE23" s="198">
        <f>Хор!D16</f>
        <v>398.92994</v>
      </c>
      <c r="AF23" s="190">
        <f t="shared" si="5"/>
        <v>110.81387222222222</v>
      </c>
      <c r="AG23" s="190">
        <f>Хор!C18</f>
        <v>10</v>
      </c>
      <c r="AH23" s="190">
        <f>Хор!D18</f>
        <v>6.15</v>
      </c>
      <c r="AI23" s="190">
        <f t="shared" si="25"/>
        <v>61.5</v>
      </c>
      <c r="AJ23" s="190"/>
      <c r="AK23" s="190"/>
      <c r="AL23" s="190" t="e">
        <f t="shared" si="6"/>
        <v>#DIV/0!</v>
      </c>
      <c r="AM23" s="198">
        <v>0</v>
      </c>
      <c r="AN23" s="198">
        <v>0</v>
      </c>
      <c r="AO23" s="190" t="e">
        <f t="shared" si="7"/>
        <v>#DIV/0!</v>
      </c>
      <c r="AP23" s="198">
        <f>Хор!C27</f>
        <v>190</v>
      </c>
      <c r="AQ23" s="198">
        <f>Хор!D27</f>
        <v>40.52399</v>
      </c>
      <c r="AR23" s="190">
        <f t="shared" si="26"/>
        <v>21.328415789473684</v>
      </c>
      <c r="AS23" s="191">
        <f>Хор!C28</f>
        <v>0</v>
      </c>
      <c r="AT23" s="198">
        <f>Хор!D28</f>
        <v>0</v>
      </c>
      <c r="AU23" s="190" t="e">
        <f t="shared" si="27"/>
        <v>#DIV/0!</v>
      </c>
      <c r="AV23" s="198"/>
      <c r="AW23" s="198"/>
      <c r="AX23" s="190" t="e">
        <f t="shared" si="28"/>
        <v>#DIV/0!</v>
      </c>
      <c r="AY23" s="190"/>
      <c r="AZ23" s="190">
        <f>Хор!D29</f>
        <v>3.23989</v>
      </c>
      <c r="BA23" s="190" t="e">
        <f t="shared" si="29"/>
        <v>#DIV/0!</v>
      </c>
      <c r="BB23" s="190"/>
      <c r="BC23" s="190"/>
      <c r="BD23" s="190"/>
      <c r="BE23" s="190">
        <f>Хор!C33</f>
        <v>0</v>
      </c>
      <c r="BF23" s="190">
        <f>Хор!D33</f>
        <v>0</v>
      </c>
      <c r="BG23" s="190" t="e">
        <f t="shared" si="30"/>
        <v>#DIV/0!</v>
      </c>
      <c r="BH23" s="190"/>
      <c r="BI23" s="190"/>
      <c r="BJ23" s="190" t="e">
        <f t="shared" si="31"/>
        <v>#DIV/0!</v>
      </c>
      <c r="BK23" s="190"/>
      <c r="BL23" s="190"/>
      <c r="BM23" s="190"/>
      <c r="BN23" s="190"/>
      <c r="BO23" s="292"/>
      <c r="BP23" s="190" t="e">
        <f t="shared" si="32"/>
        <v>#DIV/0!</v>
      </c>
      <c r="BQ23" s="190">
        <f>Хор!C34</f>
        <v>0</v>
      </c>
      <c r="BR23" s="190">
        <f>Хор!D34</f>
        <v>0</v>
      </c>
      <c r="BS23" s="190" t="e">
        <f t="shared" si="33"/>
        <v>#DIV/0!</v>
      </c>
      <c r="BT23" s="190"/>
      <c r="BU23" s="190"/>
      <c r="BV23" s="199" t="e">
        <f t="shared" si="34"/>
        <v>#DIV/0!</v>
      </c>
      <c r="BW23" s="199"/>
      <c r="BX23" s="199"/>
      <c r="BY23" s="199" t="e">
        <f t="shared" si="35"/>
        <v>#DIV/0!</v>
      </c>
      <c r="BZ23" s="189">
        <f aca="true" t="shared" si="55" ref="BZ23:BZ29">CC23+CF23+CI23+CL23+CR23+CO23</f>
        <v>2526.8666099999996</v>
      </c>
      <c r="CA23" s="189">
        <f>CD23+CG23+CJ23+CM23+CS23+CP23+DE23</f>
        <v>2505.0127599999996</v>
      </c>
      <c r="CB23" s="190">
        <f t="shared" si="53"/>
        <v>99.13514033888792</v>
      </c>
      <c r="CC23" s="190">
        <f>Хор!C39</f>
        <v>968.8</v>
      </c>
      <c r="CD23" s="190">
        <f>Хор!D39</f>
        <v>968.8</v>
      </c>
      <c r="CE23" s="190">
        <f t="shared" si="36"/>
        <v>100</v>
      </c>
      <c r="CF23" s="190">
        <f>Хор!C41</f>
        <v>580</v>
      </c>
      <c r="CG23" s="190">
        <f>Хор!D41</f>
        <v>580</v>
      </c>
      <c r="CH23" s="190">
        <f t="shared" si="37"/>
        <v>100</v>
      </c>
      <c r="CI23" s="190">
        <f>Хор!C42</f>
        <v>906.17</v>
      </c>
      <c r="CJ23" s="190">
        <f>Хор!D42</f>
        <v>884.31615</v>
      </c>
      <c r="CK23" s="190">
        <f t="shared" si="10"/>
        <v>97.58832779721244</v>
      </c>
      <c r="CL23" s="190">
        <f>Хор!C43</f>
        <v>71.89661</v>
      </c>
      <c r="CM23" s="190">
        <f>Хор!D43</f>
        <v>71.89661</v>
      </c>
      <c r="CN23" s="190">
        <f t="shared" si="11"/>
        <v>100</v>
      </c>
      <c r="CO23" s="190">
        <f>Хор!C44</f>
        <v>0</v>
      </c>
      <c r="CP23" s="190">
        <f>Хор!D44</f>
        <v>0</v>
      </c>
      <c r="CQ23" s="190"/>
      <c r="CR23" s="190"/>
      <c r="CS23" s="190"/>
      <c r="CT23" s="190" t="e">
        <f t="shared" si="12"/>
        <v>#DIV/0!</v>
      </c>
      <c r="CU23" s="190"/>
      <c r="CV23" s="190"/>
      <c r="CW23" s="190"/>
      <c r="CX23" s="198"/>
      <c r="CY23" s="198"/>
      <c r="CZ23" s="190" t="e">
        <f t="shared" si="38"/>
        <v>#DIV/0!</v>
      </c>
      <c r="DA23" s="190"/>
      <c r="DB23" s="190"/>
      <c r="DC23" s="190"/>
      <c r="DD23" s="190"/>
      <c r="DE23" s="190">
        <f>Хор!D48</f>
        <v>0</v>
      </c>
      <c r="DF23" s="190"/>
      <c r="DG23" s="198">
        <f t="shared" si="39"/>
        <v>3779.56761</v>
      </c>
      <c r="DH23" s="198">
        <f t="shared" si="39"/>
        <v>3601.0471900000002</v>
      </c>
      <c r="DI23" s="190">
        <f t="shared" si="40"/>
        <v>95.27669727278672</v>
      </c>
      <c r="DJ23" s="198">
        <f t="shared" si="41"/>
        <v>982.077</v>
      </c>
      <c r="DK23" s="198">
        <f t="shared" si="41"/>
        <v>901.45545</v>
      </c>
      <c r="DL23" s="190">
        <f t="shared" si="42"/>
        <v>91.79070989341976</v>
      </c>
      <c r="DM23" s="190">
        <f>Хор!C56</f>
        <v>973.327</v>
      </c>
      <c r="DN23" s="190">
        <f>Хор!D56</f>
        <v>898.45342</v>
      </c>
      <c r="DO23" s="190">
        <f t="shared" si="43"/>
        <v>92.30745884990348</v>
      </c>
      <c r="DP23" s="190">
        <f>Хор!C59</f>
        <v>0</v>
      </c>
      <c r="DQ23" s="190">
        <f>Хор!D59</f>
        <v>0</v>
      </c>
      <c r="DR23" s="190" t="e">
        <f t="shared" si="44"/>
        <v>#DIV/0!</v>
      </c>
      <c r="DS23" s="190">
        <f>Хор!C60</f>
        <v>5</v>
      </c>
      <c r="DT23" s="190">
        <f>Хор!D60</f>
        <v>0</v>
      </c>
      <c r="DU23" s="190">
        <f t="shared" si="45"/>
        <v>0</v>
      </c>
      <c r="DV23" s="190">
        <f>Хор!C61</f>
        <v>3.75</v>
      </c>
      <c r="DW23" s="190">
        <f>Хор!D61</f>
        <v>3.00203</v>
      </c>
      <c r="DX23" s="190">
        <f t="shared" si="46"/>
        <v>80.05413333333334</v>
      </c>
      <c r="DY23" s="190">
        <f>Хор!C63</f>
        <v>71.26501</v>
      </c>
      <c r="DZ23" s="292">
        <f>Хор!D63</f>
        <v>71.26501</v>
      </c>
      <c r="EA23" s="190">
        <f t="shared" si="47"/>
        <v>100</v>
      </c>
      <c r="EB23" s="190">
        <f>Хор!C64</f>
        <v>2</v>
      </c>
      <c r="EC23" s="190">
        <f>Хор!D64</f>
        <v>0</v>
      </c>
      <c r="ED23" s="190">
        <f t="shared" si="48"/>
        <v>0</v>
      </c>
      <c r="EE23" s="198">
        <f>Хор!C69</f>
        <v>951.784</v>
      </c>
      <c r="EF23" s="198">
        <f>Хор!D69</f>
        <v>904.1002100000001</v>
      </c>
      <c r="EG23" s="190">
        <f t="shared" si="49"/>
        <v>94.99006182074925</v>
      </c>
      <c r="EH23" s="198">
        <f>Хор!C74</f>
        <v>241.0416</v>
      </c>
      <c r="EI23" s="198">
        <f>Хор!D74</f>
        <v>228.18037</v>
      </c>
      <c r="EJ23" s="190">
        <f t="shared" si="50"/>
        <v>94.66431105668069</v>
      </c>
      <c r="EK23" s="398">
        <f>Хор!C78</f>
        <v>1530.4</v>
      </c>
      <c r="EL23" s="200">
        <f>Хор!D78</f>
        <v>1496.04615</v>
      </c>
      <c r="EM23" s="190">
        <f t="shared" si="13"/>
        <v>97.75523719289073</v>
      </c>
      <c r="EN23" s="190">
        <f>Хор!C80</f>
        <v>0</v>
      </c>
      <c r="EO23" s="190">
        <f>Хор!D80</f>
        <v>0</v>
      </c>
      <c r="EP23" s="190" t="e">
        <f t="shared" si="14"/>
        <v>#DIV/0!</v>
      </c>
      <c r="EQ23" s="201">
        <f>Хор!C85</f>
        <v>1</v>
      </c>
      <c r="ER23" s="201">
        <f>Хор!D85</f>
        <v>0</v>
      </c>
      <c r="ES23" s="190">
        <f t="shared" si="51"/>
        <v>0</v>
      </c>
      <c r="ET23" s="190">
        <f>Хор!C91</f>
        <v>0</v>
      </c>
      <c r="EU23" s="190">
        <f>Хор!D91</f>
        <v>0</v>
      </c>
      <c r="EV23" s="187" t="e">
        <f t="shared" si="52"/>
        <v>#DIV/0!</v>
      </c>
      <c r="EW23" s="194">
        <f t="shared" si="15"/>
        <v>-199.0610000000006</v>
      </c>
      <c r="EX23" s="194">
        <f t="shared" si="16"/>
        <v>-182.3034400000006</v>
      </c>
      <c r="EY23" s="187">
        <f t="shared" si="54"/>
        <v>91.58169606301588</v>
      </c>
      <c r="EZ23" s="195"/>
      <c r="FA23" s="196"/>
      <c r="FC23" s="196"/>
    </row>
    <row r="24" spans="1:159" s="172" customFormat="1" ht="15" customHeight="1">
      <c r="A24" s="184">
        <v>11</v>
      </c>
      <c r="B24" s="197" t="s">
        <v>319</v>
      </c>
      <c r="C24" s="186">
        <f t="shared" si="0"/>
        <v>5918.54616</v>
      </c>
      <c r="D24" s="307">
        <f t="shared" si="1"/>
        <v>5735.537810000001</v>
      </c>
      <c r="E24" s="190">
        <f t="shared" si="2"/>
        <v>96.90788337114196</v>
      </c>
      <c r="F24" s="188">
        <f t="shared" si="3"/>
        <v>1287.23</v>
      </c>
      <c r="G24" s="188">
        <f t="shared" si="4"/>
        <v>1104.2216500000002</v>
      </c>
      <c r="H24" s="190">
        <f t="shared" si="17"/>
        <v>85.7827777475665</v>
      </c>
      <c r="I24" s="198">
        <f>Чум!C6</f>
        <v>82.41</v>
      </c>
      <c r="J24" s="198">
        <f>Чум!D6</f>
        <v>88.15832</v>
      </c>
      <c r="K24" s="190">
        <f t="shared" si="18"/>
        <v>106.97526999150588</v>
      </c>
      <c r="L24" s="190">
        <f>Чум!C8</f>
        <v>93.54</v>
      </c>
      <c r="M24" s="190">
        <f>Чум!D8</f>
        <v>125.74319</v>
      </c>
      <c r="N24" s="187">
        <f t="shared" si="19"/>
        <v>134.4271862304896</v>
      </c>
      <c r="O24" s="187">
        <f>Чум!C9</f>
        <v>1.15</v>
      </c>
      <c r="P24" s="187">
        <f>Чум!D9</f>
        <v>1.2765</v>
      </c>
      <c r="Q24" s="187">
        <f t="shared" si="20"/>
        <v>111.00000000000001</v>
      </c>
      <c r="R24" s="187">
        <f>Чум!C10</f>
        <v>193.13</v>
      </c>
      <c r="S24" s="187">
        <f>Чум!D10</f>
        <v>203.35323</v>
      </c>
      <c r="T24" s="187">
        <f t="shared" si="21"/>
        <v>105.29344482990733</v>
      </c>
      <c r="U24" s="187">
        <f>Чум!C11</f>
        <v>0</v>
      </c>
      <c r="V24" s="187">
        <f>Чум!D11</f>
        <v>-24.35347</v>
      </c>
      <c r="W24" s="187" t="e">
        <f t="shared" si="22"/>
        <v>#DIV/0!</v>
      </c>
      <c r="X24" s="198">
        <f>Чум!C13</f>
        <v>65</v>
      </c>
      <c r="Y24" s="198">
        <f>Чум!D13</f>
        <v>33.46647</v>
      </c>
      <c r="Z24" s="190">
        <f t="shared" si="23"/>
        <v>51.48687692307693</v>
      </c>
      <c r="AA24" s="198">
        <f>Чум!C15</f>
        <v>50</v>
      </c>
      <c r="AB24" s="198">
        <f>Чум!D15</f>
        <v>61.38604</v>
      </c>
      <c r="AC24" s="190">
        <f t="shared" si="24"/>
        <v>122.77207999999999</v>
      </c>
      <c r="AD24" s="198">
        <f>Чум!C16</f>
        <v>440</v>
      </c>
      <c r="AE24" s="198">
        <f>Чум!D16</f>
        <v>507.52203</v>
      </c>
      <c r="AF24" s="190">
        <f t="shared" si="5"/>
        <v>115.3459159090909</v>
      </c>
      <c r="AG24" s="190">
        <f>Чум!C18</f>
        <v>10</v>
      </c>
      <c r="AH24" s="190">
        <f>Чум!D18</f>
        <v>8.75</v>
      </c>
      <c r="AI24" s="190">
        <f t="shared" si="25"/>
        <v>87.5</v>
      </c>
      <c r="AJ24" s="190">
        <f>Чум!C22</f>
        <v>0</v>
      </c>
      <c r="AK24" s="190">
        <f>Чум!D20</f>
        <v>7.29313</v>
      </c>
      <c r="AL24" s="190" t="e">
        <f>AK24/AJ24*100</f>
        <v>#DIV/0!</v>
      </c>
      <c r="AM24" s="198">
        <v>0</v>
      </c>
      <c r="AN24" s="198"/>
      <c r="AO24" s="190" t="e">
        <f t="shared" si="7"/>
        <v>#DIV/0!</v>
      </c>
      <c r="AP24" s="198">
        <f>Чум!C27</f>
        <v>350</v>
      </c>
      <c r="AQ24" s="198">
        <f>Чум!D27</f>
        <v>82.276</v>
      </c>
      <c r="AR24" s="190">
        <f t="shared" si="26"/>
        <v>23.50742857142857</v>
      </c>
      <c r="AS24" s="191">
        <f>Чум!C28</f>
        <v>2</v>
      </c>
      <c r="AT24" s="198">
        <f>Чум!D28</f>
        <v>0</v>
      </c>
      <c r="AU24" s="190">
        <f t="shared" si="27"/>
        <v>0</v>
      </c>
      <c r="AV24" s="198"/>
      <c r="AW24" s="198"/>
      <c r="AX24" s="190" t="e">
        <f t="shared" si="28"/>
        <v>#DIV/0!</v>
      </c>
      <c r="AY24" s="190">
        <f>Чум!C30</f>
        <v>0</v>
      </c>
      <c r="AZ24" s="190">
        <f>Чум!D30</f>
        <v>9.11402</v>
      </c>
      <c r="BA24" s="190" t="e">
        <f t="shared" si="29"/>
        <v>#DIV/0!</v>
      </c>
      <c r="BB24" s="190"/>
      <c r="BC24" s="190"/>
      <c r="BD24" s="190"/>
      <c r="BE24" s="190">
        <f>Чум!C33</f>
        <v>0</v>
      </c>
      <c r="BF24" s="190">
        <f>Чум!D33</f>
        <v>0</v>
      </c>
      <c r="BG24" s="190" t="e">
        <f t="shared" si="30"/>
        <v>#DIV/0!</v>
      </c>
      <c r="BH24" s="190"/>
      <c r="BI24" s="190"/>
      <c r="BJ24" s="190" t="e">
        <f t="shared" si="31"/>
        <v>#DIV/0!</v>
      </c>
      <c r="BK24" s="190"/>
      <c r="BL24" s="190"/>
      <c r="BM24" s="190"/>
      <c r="BN24" s="190"/>
      <c r="BO24" s="292">
        <f>Чум!D34</f>
        <v>0.23503</v>
      </c>
      <c r="BP24" s="190" t="e">
        <f t="shared" si="32"/>
        <v>#DIV/0!</v>
      </c>
      <c r="BQ24" s="190">
        <f>Чум!C37</f>
        <v>0</v>
      </c>
      <c r="BR24" s="190">
        <f>Чум!D37</f>
        <v>0.00116</v>
      </c>
      <c r="BS24" s="190" t="e">
        <f t="shared" si="33"/>
        <v>#DIV/0!</v>
      </c>
      <c r="BT24" s="190"/>
      <c r="BU24" s="190"/>
      <c r="BV24" s="199" t="e">
        <f t="shared" si="34"/>
        <v>#DIV/0!</v>
      </c>
      <c r="BW24" s="199"/>
      <c r="BX24" s="199"/>
      <c r="BY24" s="199" t="e">
        <f t="shared" si="35"/>
        <v>#DIV/0!</v>
      </c>
      <c r="BZ24" s="189">
        <f t="shared" si="55"/>
        <v>4631.31616</v>
      </c>
      <c r="CA24" s="189">
        <f aca="true" t="shared" si="56" ref="CA24:CA29">CD24+CG24+CJ24+CM24+CS24+CP24</f>
        <v>4631.31616</v>
      </c>
      <c r="CB24" s="190">
        <f t="shared" si="53"/>
        <v>100</v>
      </c>
      <c r="CC24" s="190">
        <f>Чум!C42</f>
        <v>1541.84</v>
      </c>
      <c r="CD24" s="190">
        <f>Чум!D42</f>
        <v>1541.84</v>
      </c>
      <c r="CE24" s="190">
        <f t="shared" si="36"/>
        <v>100</v>
      </c>
      <c r="CF24" s="190">
        <f>Чум!C43</f>
        <v>144.146</v>
      </c>
      <c r="CG24" s="190">
        <f>Чум!D43</f>
        <v>144.146</v>
      </c>
      <c r="CH24" s="190">
        <f t="shared" si="37"/>
        <v>100</v>
      </c>
      <c r="CI24" s="190">
        <f>Чум!C44</f>
        <v>289.63308</v>
      </c>
      <c r="CJ24" s="190">
        <f>Чум!D44</f>
        <v>289.63308</v>
      </c>
      <c r="CK24" s="190">
        <f t="shared" si="10"/>
        <v>100</v>
      </c>
      <c r="CL24" s="190">
        <f>Чум!C45</f>
        <v>2655.69708</v>
      </c>
      <c r="CM24" s="190">
        <f>Чум!D45</f>
        <v>2655.69708</v>
      </c>
      <c r="CN24" s="190">
        <f t="shared" si="11"/>
        <v>100</v>
      </c>
      <c r="CO24" s="190">
        <f>Чум!C46</f>
        <v>0</v>
      </c>
      <c r="CP24" s="190">
        <f>Чум!D46</f>
        <v>0</v>
      </c>
      <c r="CQ24" s="190"/>
      <c r="CR24" s="190"/>
      <c r="CS24" s="190"/>
      <c r="CT24" s="190" t="e">
        <f t="shared" si="12"/>
        <v>#DIV/0!</v>
      </c>
      <c r="CU24" s="190"/>
      <c r="CV24" s="190"/>
      <c r="CW24" s="190"/>
      <c r="CX24" s="198"/>
      <c r="CY24" s="198"/>
      <c r="CZ24" s="190" t="e">
        <f t="shared" si="38"/>
        <v>#DIV/0!</v>
      </c>
      <c r="DA24" s="190"/>
      <c r="DB24" s="190"/>
      <c r="DC24" s="190"/>
      <c r="DD24" s="190"/>
      <c r="DE24" s="190"/>
      <c r="DF24" s="190"/>
      <c r="DG24" s="198">
        <f t="shared" si="39"/>
        <v>6003.38216</v>
      </c>
      <c r="DH24" s="198">
        <f t="shared" si="39"/>
        <v>5806.23453</v>
      </c>
      <c r="DI24" s="190">
        <f t="shared" si="40"/>
        <v>96.71605730327185</v>
      </c>
      <c r="DJ24" s="198">
        <f t="shared" si="41"/>
        <v>1130.181</v>
      </c>
      <c r="DK24" s="198">
        <f t="shared" si="41"/>
        <v>1113.3282900000002</v>
      </c>
      <c r="DL24" s="190">
        <f t="shared" si="42"/>
        <v>98.50884858266068</v>
      </c>
      <c r="DM24" s="190">
        <f>Чум!C57</f>
        <v>1118.833</v>
      </c>
      <c r="DN24" s="190">
        <f>Чум!D57</f>
        <v>1106.98079</v>
      </c>
      <c r="DO24" s="190">
        <f t="shared" si="43"/>
        <v>98.9406631731456</v>
      </c>
      <c r="DP24" s="190">
        <f>Чум!C60</f>
        <v>3</v>
      </c>
      <c r="DQ24" s="190">
        <f>Чум!D60</f>
        <v>3</v>
      </c>
      <c r="DR24" s="190">
        <f t="shared" si="44"/>
        <v>100</v>
      </c>
      <c r="DS24" s="190">
        <f>Чум!C61</f>
        <v>5</v>
      </c>
      <c r="DT24" s="190">
        <f>Чум!D61</f>
        <v>0</v>
      </c>
      <c r="DU24" s="190">
        <f t="shared" si="45"/>
        <v>0</v>
      </c>
      <c r="DV24" s="190">
        <f>Чум!C62</f>
        <v>3.348</v>
      </c>
      <c r="DW24" s="190">
        <f>Чум!D62</f>
        <v>3.3475</v>
      </c>
      <c r="DX24" s="190">
        <f t="shared" si="46"/>
        <v>99.98506571087216</v>
      </c>
      <c r="DY24" s="190">
        <f>Чум!C64</f>
        <v>66.25198</v>
      </c>
      <c r="DZ24" s="292">
        <f>Чум!D64</f>
        <v>66.25198</v>
      </c>
      <c r="EA24" s="190">
        <f t="shared" si="47"/>
        <v>100</v>
      </c>
      <c r="EB24" s="190">
        <f>Чум!C65</f>
        <v>7.334999999999999</v>
      </c>
      <c r="EC24" s="190">
        <f>Чум!D65</f>
        <v>7.33437</v>
      </c>
      <c r="ED24" s="190">
        <f t="shared" si="48"/>
        <v>99.9914110429448</v>
      </c>
      <c r="EE24" s="198">
        <f>Чум!C70</f>
        <v>1025.87118</v>
      </c>
      <c r="EF24" s="198">
        <f>Чум!D70</f>
        <v>890.02855</v>
      </c>
      <c r="EG24" s="190">
        <f t="shared" si="49"/>
        <v>86.7583150157313</v>
      </c>
      <c r="EH24" s="198">
        <f>Чум!C75</f>
        <v>2945.543</v>
      </c>
      <c r="EI24" s="198">
        <f>Чум!D75</f>
        <v>2901.1463400000002</v>
      </c>
      <c r="EJ24" s="190">
        <f t="shared" si="50"/>
        <v>98.4927512516368</v>
      </c>
      <c r="EK24" s="398">
        <f>Чум!C79</f>
        <v>826.2</v>
      </c>
      <c r="EL24" s="200">
        <f>Чум!D79</f>
        <v>826.2</v>
      </c>
      <c r="EM24" s="190">
        <f t="shared" si="13"/>
        <v>100</v>
      </c>
      <c r="EN24" s="190">
        <f>Чум!C81</f>
        <v>0</v>
      </c>
      <c r="EO24" s="190">
        <f>Чум!D81</f>
        <v>0</v>
      </c>
      <c r="EP24" s="190" t="e">
        <f t="shared" si="14"/>
        <v>#DIV/0!</v>
      </c>
      <c r="EQ24" s="201">
        <f>Чум!C86</f>
        <v>2</v>
      </c>
      <c r="ER24" s="201">
        <f>Чум!D86</f>
        <v>1.945</v>
      </c>
      <c r="ES24" s="190">
        <f t="shared" si="51"/>
        <v>97.25</v>
      </c>
      <c r="ET24" s="190">
        <f>Чум!C92</f>
        <v>0</v>
      </c>
      <c r="EU24" s="190">
        <f>Чум!D92</f>
        <v>0</v>
      </c>
      <c r="EV24" s="187" t="e">
        <f t="shared" si="52"/>
        <v>#DIV/0!</v>
      </c>
      <c r="EW24" s="194">
        <f t="shared" si="15"/>
        <v>-84.83600000000024</v>
      </c>
      <c r="EX24" s="194">
        <f t="shared" si="16"/>
        <v>-70.696719999999</v>
      </c>
      <c r="EY24" s="187">
        <f t="shared" si="54"/>
        <v>83.33339619972512</v>
      </c>
      <c r="EZ24" s="195"/>
      <c r="FA24" s="196"/>
      <c r="FC24" s="196"/>
    </row>
    <row r="25" spans="1:159" s="239" customFormat="1" ht="15" customHeight="1">
      <c r="A25" s="229">
        <v>12</v>
      </c>
      <c r="B25" s="230" t="s">
        <v>320</v>
      </c>
      <c r="C25" s="308">
        <f t="shared" si="0"/>
        <v>3726.77778</v>
      </c>
      <c r="D25" s="308">
        <f t="shared" si="1"/>
        <v>3511.75161</v>
      </c>
      <c r="E25" s="231">
        <f t="shared" si="2"/>
        <v>94.23023902434021</v>
      </c>
      <c r="F25" s="232">
        <f t="shared" si="3"/>
        <v>1003.1999999999999</v>
      </c>
      <c r="G25" s="232">
        <f t="shared" si="4"/>
        <v>793.9338300000001</v>
      </c>
      <c r="H25" s="231">
        <f t="shared" si="17"/>
        <v>79.140134569378</v>
      </c>
      <c r="I25" s="191">
        <f>Шать!C6</f>
        <v>32.54</v>
      </c>
      <c r="J25" s="191">
        <f>Шать!D6</f>
        <v>34.65288</v>
      </c>
      <c r="K25" s="231">
        <f t="shared" si="18"/>
        <v>106.49317762753536</v>
      </c>
      <c r="L25" s="231">
        <f>Шать!C8</f>
        <v>96.09</v>
      </c>
      <c r="M25" s="231">
        <f>Шать!D8</f>
        <v>129.1648</v>
      </c>
      <c r="N25" s="231">
        <f t="shared" si="19"/>
        <v>134.42064730981375</v>
      </c>
      <c r="O25" s="231">
        <f>Шать!C9</f>
        <v>1.18</v>
      </c>
      <c r="P25" s="231">
        <f>Шать!D9</f>
        <v>1.31125</v>
      </c>
      <c r="Q25" s="231">
        <f t="shared" si="20"/>
        <v>111.12288135593221</v>
      </c>
      <c r="R25" s="231">
        <f>Шать!C10</f>
        <v>198.39</v>
      </c>
      <c r="S25" s="231">
        <f>Шать!D10</f>
        <v>208.88665</v>
      </c>
      <c r="T25" s="231">
        <f t="shared" si="21"/>
        <v>105.29091688089119</v>
      </c>
      <c r="U25" s="231">
        <f>Шать!C11</f>
        <v>0</v>
      </c>
      <c r="V25" s="231">
        <f>Шать!D11</f>
        <v>-25.01618</v>
      </c>
      <c r="W25" s="231" t="e">
        <f t="shared" si="22"/>
        <v>#DIV/0!</v>
      </c>
      <c r="X25" s="191">
        <f>Шать!C13</f>
        <v>30</v>
      </c>
      <c r="Y25" s="191">
        <f>Шать!D13</f>
        <v>11.93531</v>
      </c>
      <c r="Z25" s="231">
        <f t="shared" si="23"/>
        <v>39.78436666666666</v>
      </c>
      <c r="AA25" s="191">
        <f>Шать!C15</f>
        <v>38</v>
      </c>
      <c r="AB25" s="191">
        <f>Шать!D15</f>
        <v>22.06564</v>
      </c>
      <c r="AC25" s="231">
        <f t="shared" si="24"/>
        <v>58.067473684210526</v>
      </c>
      <c r="AD25" s="191">
        <f>Шать!C16</f>
        <v>310</v>
      </c>
      <c r="AE25" s="191">
        <f>Шать!D16</f>
        <v>317.15655</v>
      </c>
      <c r="AF25" s="231">
        <f t="shared" si="5"/>
        <v>102.30856451612902</v>
      </c>
      <c r="AG25" s="231">
        <f>Шать!C18</f>
        <v>10</v>
      </c>
      <c r="AH25" s="231">
        <f>Шать!D18</f>
        <v>4.2</v>
      </c>
      <c r="AI25" s="231">
        <f t="shared" si="25"/>
        <v>42.00000000000001</v>
      </c>
      <c r="AJ25" s="231"/>
      <c r="AK25" s="231"/>
      <c r="AL25" s="231" t="e">
        <f>AJ25/AK25*100</f>
        <v>#DIV/0!</v>
      </c>
      <c r="AM25" s="191">
        <v>0</v>
      </c>
      <c r="AN25" s="191">
        <f>0</f>
        <v>0</v>
      </c>
      <c r="AO25" s="231" t="e">
        <f t="shared" si="7"/>
        <v>#DIV/0!</v>
      </c>
      <c r="AP25" s="191">
        <f>Шать!C27</f>
        <v>200</v>
      </c>
      <c r="AQ25" s="198">
        <f>Шать!D27</f>
        <v>0</v>
      </c>
      <c r="AR25" s="231">
        <f t="shared" si="26"/>
        <v>0</v>
      </c>
      <c r="AS25" s="191">
        <f>Шать!C28</f>
        <v>15</v>
      </c>
      <c r="AT25" s="191">
        <f>Шать!D28</f>
        <v>26.0112</v>
      </c>
      <c r="AU25" s="231">
        <f t="shared" si="27"/>
        <v>173.408</v>
      </c>
      <c r="AV25" s="191"/>
      <c r="AW25" s="191"/>
      <c r="AX25" s="231" t="e">
        <f t="shared" si="28"/>
        <v>#DIV/0!</v>
      </c>
      <c r="AY25" s="231">
        <f>Шать!C29</f>
        <v>50</v>
      </c>
      <c r="AZ25" s="231">
        <f>Шать!D29</f>
        <v>41.37441</v>
      </c>
      <c r="BA25" s="231">
        <f t="shared" si="29"/>
        <v>82.74882</v>
      </c>
      <c r="BB25" s="231"/>
      <c r="BC25" s="231"/>
      <c r="BD25" s="231"/>
      <c r="BE25" s="231">
        <f>Шать!C33</f>
        <v>1</v>
      </c>
      <c r="BF25" s="231">
        <f>Шать!D33</f>
        <v>0.96513</v>
      </c>
      <c r="BG25" s="231">
        <f t="shared" si="30"/>
        <v>96.513</v>
      </c>
      <c r="BH25" s="231"/>
      <c r="BI25" s="231"/>
      <c r="BJ25" s="231" t="e">
        <f t="shared" si="31"/>
        <v>#DIV/0!</v>
      </c>
      <c r="BK25" s="231"/>
      <c r="BL25" s="231"/>
      <c r="BM25" s="231"/>
      <c r="BN25" s="231">
        <f>Шать!C34</f>
        <v>21</v>
      </c>
      <c r="BO25" s="234">
        <f>Шать!D34</f>
        <v>21.09809</v>
      </c>
      <c r="BP25" s="231">
        <f t="shared" si="32"/>
        <v>100.46709523809523</v>
      </c>
      <c r="BQ25" s="231">
        <f>Шать!C37</f>
        <v>0</v>
      </c>
      <c r="BR25" s="231">
        <f>Шать!D38</f>
        <v>0.1281</v>
      </c>
      <c r="BS25" s="231" t="e">
        <f t="shared" si="33"/>
        <v>#DIV/0!</v>
      </c>
      <c r="BT25" s="231"/>
      <c r="BU25" s="231"/>
      <c r="BV25" s="233" t="e">
        <f t="shared" si="34"/>
        <v>#DIV/0!</v>
      </c>
      <c r="BW25" s="233"/>
      <c r="BX25" s="233"/>
      <c r="BY25" s="233" t="e">
        <f t="shared" si="35"/>
        <v>#DIV/0!</v>
      </c>
      <c r="BZ25" s="191">
        <f t="shared" si="55"/>
        <v>2723.57778</v>
      </c>
      <c r="CA25" s="191">
        <f t="shared" si="56"/>
        <v>2717.81778</v>
      </c>
      <c r="CB25" s="231">
        <f t="shared" si="53"/>
        <v>99.78851347509524</v>
      </c>
      <c r="CC25" s="231">
        <f>Шать!C42</f>
        <v>990.59</v>
      </c>
      <c r="CD25" s="231">
        <f>Шать!D42</f>
        <v>990.59</v>
      </c>
      <c r="CE25" s="231">
        <f t="shared" si="36"/>
        <v>100</v>
      </c>
      <c r="CF25" s="231">
        <f>Шать!C43</f>
        <v>540</v>
      </c>
      <c r="CG25" s="231">
        <f>Шать!D43</f>
        <v>540</v>
      </c>
      <c r="CH25" s="231">
        <f t="shared" si="37"/>
        <v>100</v>
      </c>
      <c r="CI25" s="231">
        <f>Шать!C44</f>
        <v>1118.023</v>
      </c>
      <c r="CJ25" s="231">
        <f>Шать!D44</f>
        <v>1112.263</v>
      </c>
      <c r="CK25" s="231">
        <f t="shared" si="10"/>
        <v>99.48480487431833</v>
      </c>
      <c r="CL25" s="231">
        <f>Шать!C45</f>
        <v>74.96478</v>
      </c>
      <c r="CM25" s="231">
        <f>Шать!D45</f>
        <v>74.96478</v>
      </c>
      <c r="CN25" s="231">
        <f t="shared" si="11"/>
        <v>100</v>
      </c>
      <c r="CO25" s="231">
        <f>Шать!C46</f>
        <v>0</v>
      </c>
      <c r="CP25" s="231">
        <f>Шать!D46</f>
        <v>0</v>
      </c>
      <c r="CQ25" s="231"/>
      <c r="CR25" s="231"/>
      <c r="CS25" s="231"/>
      <c r="CT25" s="231" t="e">
        <f t="shared" si="12"/>
        <v>#DIV/0!</v>
      </c>
      <c r="CU25" s="231"/>
      <c r="CV25" s="231"/>
      <c r="CW25" s="231"/>
      <c r="CX25" s="191"/>
      <c r="CY25" s="191"/>
      <c r="CZ25" s="231" t="e">
        <f t="shared" si="38"/>
        <v>#DIV/0!</v>
      </c>
      <c r="DA25" s="231"/>
      <c r="DB25" s="231"/>
      <c r="DC25" s="231"/>
      <c r="DD25" s="231"/>
      <c r="DE25" s="231"/>
      <c r="DF25" s="231"/>
      <c r="DG25" s="191">
        <f t="shared" si="39"/>
        <v>3901.79778</v>
      </c>
      <c r="DH25" s="191">
        <f t="shared" si="39"/>
        <v>3849.0792699999997</v>
      </c>
      <c r="DI25" s="231">
        <f>DH25/DG25*100</f>
        <v>98.64886616445816</v>
      </c>
      <c r="DJ25" s="191">
        <f t="shared" si="41"/>
        <v>1010.743</v>
      </c>
      <c r="DK25" s="191">
        <f t="shared" si="41"/>
        <v>999.8725900000001</v>
      </c>
      <c r="DL25" s="231">
        <f t="shared" si="42"/>
        <v>98.92451295729973</v>
      </c>
      <c r="DM25" s="231">
        <f>Шать!C57</f>
        <v>1003.1</v>
      </c>
      <c r="DN25" s="231">
        <f>Шать!D57</f>
        <v>997.23009</v>
      </c>
      <c r="DO25" s="231">
        <f t="shared" si="43"/>
        <v>99.4148230485495</v>
      </c>
      <c r="DP25" s="231">
        <f>Шать!C60</f>
        <v>0</v>
      </c>
      <c r="DQ25" s="231">
        <f>Шать!D60</f>
        <v>0</v>
      </c>
      <c r="DR25" s="231" t="e">
        <f t="shared" si="44"/>
        <v>#DIV/0!</v>
      </c>
      <c r="DS25" s="231">
        <f>Шать!C61</f>
        <v>5</v>
      </c>
      <c r="DT25" s="231">
        <f>Шать!D61</f>
        <v>0</v>
      </c>
      <c r="DU25" s="231">
        <f t="shared" si="45"/>
        <v>0</v>
      </c>
      <c r="DV25" s="231">
        <f>Шать!C62</f>
        <v>2.643</v>
      </c>
      <c r="DW25" s="231">
        <f>Шать!D62</f>
        <v>2.6425</v>
      </c>
      <c r="DX25" s="231">
        <f t="shared" si="46"/>
        <v>99.98108210367008</v>
      </c>
      <c r="DY25" s="231">
        <f>Шать!C64</f>
        <v>74.63238</v>
      </c>
      <c r="DZ25" s="234">
        <f>Шать!D64</f>
        <v>74.63238</v>
      </c>
      <c r="EA25" s="231">
        <f t="shared" si="47"/>
        <v>100</v>
      </c>
      <c r="EB25" s="231">
        <f>Шать!C65</f>
        <v>2.557</v>
      </c>
      <c r="EC25" s="231">
        <f>Шать!D65</f>
        <v>2.5</v>
      </c>
      <c r="ED25" s="231">
        <f t="shared" si="48"/>
        <v>97.77082518576456</v>
      </c>
      <c r="EE25" s="191">
        <f>Шать!C70</f>
        <v>1905.353</v>
      </c>
      <c r="EF25" s="191">
        <f>Шать!D70</f>
        <v>1863.703</v>
      </c>
      <c r="EG25" s="231">
        <f t="shared" si="49"/>
        <v>97.81405335389294</v>
      </c>
      <c r="EH25" s="191">
        <f>Шать!C75</f>
        <v>220.43540000000002</v>
      </c>
      <c r="EI25" s="191">
        <f>Шать!D75</f>
        <v>220.3383</v>
      </c>
      <c r="EJ25" s="231">
        <f t="shared" si="50"/>
        <v>99.95595081370777</v>
      </c>
      <c r="EK25" s="399">
        <f>Шать!C79</f>
        <v>686.077</v>
      </c>
      <c r="EL25" s="235">
        <f>Шать!D79</f>
        <v>686.033</v>
      </c>
      <c r="EM25" s="231">
        <f t="shared" si="13"/>
        <v>99.99358672568822</v>
      </c>
      <c r="EN25" s="231">
        <f>Шать!C81</f>
        <v>0</v>
      </c>
      <c r="EO25" s="231">
        <f>Шать!D81</f>
        <v>0</v>
      </c>
      <c r="EP25" s="231" t="e">
        <f t="shared" si="14"/>
        <v>#DIV/0!</v>
      </c>
      <c r="EQ25" s="232">
        <f>Шать!C86</f>
        <v>2</v>
      </c>
      <c r="ER25" s="232">
        <f>Шать!D86</f>
        <v>2</v>
      </c>
      <c r="ES25" s="231">
        <f t="shared" si="51"/>
        <v>100</v>
      </c>
      <c r="ET25" s="231">
        <f>Шать!C92</f>
        <v>0</v>
      </c>
      <c r="EU25" s="231">
        <f>Шать!D92</f>
        <v>0</v>
      </c>
      <c r="EV25" s="231" t="e">
        <f t="shared" si="52"/>
        <v>#DIV/0!</v>
      </c>
      <c r="EW25" s="236">
        <f t="shared" si="15"/>
        <v>-175.01999999999998</v>
      </c>
      <c r="EX25" s="236">
        <f t="shared" si="16"/>
        <v>-337.3276599999999</v>
      </c>
      <c r="EY25" s="231">
        <f t="shared" si="54"/>
        <v>192.73663581304993</v>
      </c>
      <c r="EZ25" s="237"/>
      <c r="FA25" s="238"/>
      <c r="FC25" s="238"/>
    </row>
    <row r="26" spans="1:159" s="172" customFormat="1" ht="15" customHeight="1">
      <c r="A26" s="204">
        <v>13</v>
      </c>
      <c r="B26" s="197" t="s">
        <v>321</v>
      </c>
      <c r="C26" s="186">
        <f t="shared" si="0"/>
        <v>8981.0324</v>
      </c>
      <c r="D26" s="307">
        <f t="shared" si="1"/>
        <v>9279.371190000002</v>
      </c>
      <c r="E26" s="190">
        <f t="shared" si="2"/>
        <v>103.32187633573176</v>
      </c>
      <c r="F26" s="188">
        <f t="shared" si="3"/>
        <v>2381.48</v>
      </c>
      <c r="G26" s="188">
        <f t="shared" si="4"/>
        <v>2679.9667900000004</v>
      </c>
      <c r="H26" s="190">
        <f t="shared" si="17"/>
        <v>112.53366771923343</v>
      </c>
      <c r="I26" s="198">
        <f>Юнг!C6</f>
        <v>125.27</v>
      </c>
      <c r="J26" s="198">
        <f>Юнг!D6</f>
        <v>116.42383</v>
      </c>
      <c r="K26" s="190">
        <f t="shared" si="18"/>
        <v>92.9383172347729</v>
      </c>
      <c r="L26" s="190">
        <f>Юнг!C8</f>
        <v>148.27</v>
      </c>
      <c r="M26" s="190">
        <f>Юнг!D8</f>
        <v>199.30726</v>
      </c>
      <c r="N26" s="187">
        <f t="shared" si="19"/>
        <v>134.42183853780264</v>
      </c>
      <c r="O26" s="187">
        <f>Юнг!C9</f>
        <v>1.82</v>
      </c>
      <c r="P26" s="187">
        <f>Юнг!D9</f>
        <v>2.02331</v>
      </c>
      <c r="Q26" s="187">
        <f t="shared" si="20"/>
        <v>111.1708791208791</v>
      </c>
      <c r="R26" s="187">
        <f>Юнг!C10</f>
        <v>306.12</v>
      </c>
      <c r="S26" s="187">
        <f>Юнг!D10</f>
        <v>322.3218</v>
      </c>
      <c r="T26" s="187">
        <f t="shared" si="21"/>
        <v>105.29263034104272</v>
      </c>
      <c r="U26" s="187">
        <f>Юнг!C11</f>
        <v>0</v>
      </c>
      <c r="V26" s="187">
        <f>Юнг!D11</f>
        <v>-38.6011</v>
      </c>
      <c r="W26" s="187" t="e">
        <f t="shared" si="22"/>
        <v>#DIV/0!</v>
      </c>
      <c r="X26" s="198">
        <f>Юнг!C13</f>
        <v>15</v>
      </c>
      <c r="Y26" s="198">
        <f>Юнг!D13</f>
        <v>9.74188</v>
      </c>
      <c r="Z26" s="190">
        <f t="shared" si="23"/>
        <v>64.94586666666666</v>
      </c>
      <c r="AA26" s="198">
        <f>Юнг!C15</f>
        <v>110</v>
      </c>
      <c r="AB26" s="198">
        <f>Юнг!D15</f>
        <v>89.31837</v>
      </c>
      <c r="AC26" s="190">
        <f t="shared" si="24"/>
        <v>81.19851818181817</v>
      </c>
      <c r="AD26" s="198">
        <f>Юнг!C16</f>
        <v>1300</v>
      </c>
      <c r="AE26" s="198">
        <f>Юнг!D16</f>
        <v>1475.10756</v>
      </c>
      <c r="AF26" s="190">
        <f t="shared" si="5"/>
        <v>113.46981230769231</v>
      </c>
      <c r="AG26" s="190">
        <f>Юнг!C18</f>
        <v>15</v>
      </c>
      <c r="AH26" s="190">
        <f>Юнг!D18</f>
        <v>11.325</v>
      </c>
      <c r="AI26" s="190">
        <f t="shared" si="25"/>
        <v>75.5</v>
      </c>
      <c r="AJ26" s="190"/>
      <c r="AK26" s="190"/>
      <c r="AL26" s="190" t="e">
        <f>AJ26/AK26*100</f>
        <v>#DIV/0!</v>
      </c>
      <c r="AM26" s="198">
        <v>0</v>
      </c>
      <c r="AN26" s="198"/>
      <c r="AO26" s="190" t="e">
        <f t="shared" si="7"/>
        <v>#DIV/0!</v>
      </c>
      <c r="AP26" s="198">
        <f>Юнг!C27</f>
        <v>250</v>
      </c>
      <c r="AQ26" s="198">
        <f>Юнг!D27</f>
        <v>113.678</v>
      </c>
      <c r="AR26" s="190">
        <f t="shared" si="26"/>
        <v>45.4712</v>
      </c>
      <c r="AS26" s="191">
        <f>Юнг!C28</f>
        <v>30</v>
      </c>
      <c r="AT26" s="198">
        <f>Юнг!D28</f>
        <v>50.922</v>
      </c>
      <c r="AU26" s="190">
        <f t="shared" si="27"/>
        <v>169.73999999999998</v>
      </c>
      <c r="AV26" s="198"/>
      <c r="AW26" s="198"/>
      <c r="AX26" s="190" t="e">
        <f t="shared" si="28"/>
        <v>#DIV/0!</v>
      </c>
      <c r="AY26" s="190">
        <f>Юнг!C30</f>
        <v>80</v>
      </c>
      <c r="AZ26" s="190">
        <f>Юнг!D30</f>
        <v>34.83844</v>
      </c>
      <c r="BA26" s="190">
        <f t="shared" si="29"/>
        <v>43.548049999999996</v>
      </c>
      <c r="BB26" s="190"/>
      <c r="BC26" s="190"/>
      <c r="BD26" s="190"/>
      <c r="BE26" s="190">
        <f>Юнг!C33</f>
        <v>0</v>
      </c>
      <c r="BF26" s="190">
        <f>Юнг!D33</f>
        <v>0</v>
      </c>
      <c r="BG26" s="190" t="e">
        <f t="shared" si="30"/>
        <v>#DIV/0!</v>
      </c>
      <c r="BH26" s="190"/>
      <c r="BI26" s="190"/>
      <c r="BJ26" s="190" t="e">
        <f t="shared" si="31"/>
        <v>#DIV/0!</v>
      </c>
      <c r="BK26" s="190"/>
      <c r="BL26" s="190"/>
      <c r="BM26" s="190"/>
      <c r="BN26" s="190"/>
      <c r="BO26" s="292">
        <f>Юнг!D34</f>
        <v>293.56044</v>
      </c>
      <c r="BP26" s="190" t="e">
        <f t="shared" si="32"/>
        <v>#DIV/0!</v>
      </c>
      <c r="BQ26" s="190">
        <f>Юнг!C36</f>
        <v>0</v>
      </c>
      <c r="BR26" s="190">
        <f>Юнг!D36</f>
        <v>0</v>
      </c>
      <c r="BS26" s="190" t="e">
        <f t="shared" si="33"/>
        <v>#DIV/0!</v>
      </c>
      <c r="BT26" s="190"/>
      <c r="BU26" s="190"/>
      <c r="BV26" s="199" t="e">
        <f t="shared" si="34"/>
        <v>#DIV/0!</v>
      </c>
      <c r="BW26" s="199"/>
      <c r="BX26" s="199"/>
      <c r="BY26" s="199" t="e">
        <f t="shared" si="35"/>
        <v>#DIV/0!</v>
      </c>
      <c r="BZ26" s="189">
        <f t="shared" si="55"/>
        <v>6599.5524000000005</v>
      </c>
      <c r="CA26" s="189">
        <f t="shared" si="56"/>
        <v>6599.4044</v>
      </c>
      <c r="CB26" s="190">
        <f t="shared" si="53"/>
        <v>99.99775742367012</v>
      </c>
      <c r="CC26" s="190">
        <f>Юнг!C41</f>
        <v>946.23</v>
      </c>
      <c r="CD26" s="190">
        <f>Юнг!D41</f>
        <v>946.23</v>
      </c>
      <c r="CE26" s="190">
        <f t="shared" si="36"/>
        <v>100</v>
      </c>
      <c r="CF26" s="190">
        <f>Юнг!C42</f>
        <v>109.2</v>
      </c>
      <c r="CG26" s="190">
        <f>Юнг!D42</f>
        <v>109.2</v>
      </c>
      <c r="CH26" s="190">
        <f t="shared" si="37"/>
        <v>100</v>
      </c>
      <c r="CI26" s="190">
        <f>Юнг!C43</f>
        <v>5146.24</v>
      </c>
      <c r="CJ26" s="190">
        <f>Юнг!D43</f>
        <v>5146.222</v>
      </c>
      <c r="CK26" s="190">
        <f t="shared" si="10"/>
        <v>99.9996502300709</v>
      </c>
      <c r="CL26" s="190">
        <f>Юнг!C44</f>
        <v>70.2284</v>
      </c>
      <c r="CM26" s="190">
        <f>Юнг!D44</f>
        <v>70.2284</v>
      </c>
      <c r="CN26" s="190">
        <f t="shared" si="11"/>
        <v>100</v>
      </c>
      <c r="CO26" s="190">
        <f>Юнг!C45</f>
        <v>0</v>
      </c>
      <c r="CP26" s="190">
        <f>Юнг!D45</f>
        <v>0</v>
      </c>
      <c r="CQ26" s="190"/>
      <c r="CR26" s="190">
        <f>Юнг!C48</f>
        <v>327.654</v>
      </c>
      <c r="CS26" s="190">
        <f>Юнг!D48</f>
        <v>327.524</v>
      </c>
      <c r="CT26" s="190">
        <f t="shared" si="12"/>
        <v>99.96032400031741</v>
      </c>
      <c r="CU26" s="190"/>
      <c r="CV26" s="190"/>
      <c r="CW26" s="190"/>
      <c r="CX26" s="198"/>
      <c r="CY26" s="198"/>
      <c r="CZ26" s="190" t="e">
        <f t="shared" si="38"/>
        <v>#DIV/0!</v>
      </c>
      <c r="DA26" s="190"/>
      <c r="DB26" s="190"/>
      <c r="DC26" s="190"/>
      <c r="DD26" s="190"/>
      <c r="DE26" s="190"/>
      <c r="DF26" s="190"/>
      <c r="DG26" s="198">
        <f t="shared" si="39"/>
        <v>9881.386999999999</v>
      </c>
      <c r="DH26" s="198">
        <f t="shared" si="39"/>
        <v>9775.72888</v>
      </c>
      <c r="DI26" s="190">
        <f t="shared" si="40"/>
        <v>98.93073593818359</v>
      </c>
      <c r="DJ26" s="198">
        <f t="shared" si="41"/>
        <v>1239.87</v>
      </c>
      <c r="DK26" s="198">
        <f t="shared" si="41"/>
        <v>1232.25435</v>
      </c>
      <c r="DL26" s="190">
        <f t="shared" si="42"/>
        <v>99.38577028236831</v>
      </c>
      <c r="DM26" s="190">
        <f>Юнг!C57</f>
        <v>1226.11</v>
      </c>
      <c r="DN26" s="190">
        <f>Юнг!D57</f>
        <v>1220.58961</v>
      </c>
      <c r="DO26" s="190">
        <f t="shared" si="43"/>
        <v>99.5497638874163</v>
      </c>
      <c r="DP26" s="190">
        <f>Юнг!C60</f>
        <v>0</v>
      </c>
      <c r="DQ26" s="190">
        <f>Юнг!D60</f>
        <v>0</v>
      </c>
      <c r="DR26" s="190" t="e">
        <f t="shared" si="44"/>
        <v>#DIV/0!</v>
      </c>
      <c r="DS26" s="190">
        <f>Юнг!C61</f>
        <v>1</v>
      </c>
      <c r="DT26" s="190">
        <f>Юнг!D61</f>
        <v>0</v>
      </c>
      <c r="DU26" s="190">
        <f t="shared" si="45"/>
        <v>0</v>
      </c>
      <c r="DV26" s="190">
        <f>Юнг!C62</f>
        <v>12.76</v>
      </c>
      <c r="DW26" s="190">
        <f>Юнг!D62</f>
        <v>11.66474</v>
      </c>
      <c r="DX26" s="190">
        <f t="shared" si="46"/>
        <v>91.41645768025079</v>
      </c>
      <c r="DY26" s="190">
        <f>Юнг!C64</f>
        <v>69.896</v>
      </c>
      <c r="DZ26" s="292">
        <f>Юнг!D64</f>
        <v>69.896</v>
      </c>
      <c r="EA26" s="190">
        <f t="shared" si="47"/>
        <v>100</v>
      </c>
      <c r="EB26" s="190">
        <f>Юнг!C65</f>
        <v>93.534</v>
      </c>
      <c r="EC26" s="190">
        <f>Юнг!D65</f>
        <v>93.12547</v>
      </c>
      <c r="ED26" s="190">
        <f t="shared" si="48"/>
        <v>99.56322834477302</v>
      </c>
      <c r="EE26" s="198">
        <f>Юнг!C70</f>
        <v>5380.356999999999</v>
      </c>
      <c r="EF26" s="198">
        <f>Юнг!D70</f>
        <v>5283.3492</v>
      </c>
      <c r="EG26" s="190">
        <f t="shared" si="49"/>
        <v>98.19700068229675</v>
      </c>
      <c r="EH26" s="198">
        <f>Юнг!C75</f>
        <v>538.696</v>
      </c>
      <c r="EI26" s="198">
        <f>Юнг!D75</f>
        <v>538.56008</v>
      </c>
      <c r="EJ26" s="190">
        <f t="shared" si="50"/>
        <v>99.9747687007143</v>
      </c>
      <c r="EK26" s="398">
        <f>Юнг!C79</f>
        <v>879.981</v>
      </c>
      <c r="EL26" s="200">
        <f>Юнг!D79</f>
        <v>879.907</v>
      </c>
      <c r="EM26" s="190">
        <f t="shared" si="13"/>
        <v>99.99159072752708</v>
      </c>
      <c r="EN26" s="190">
        <f>Юнг!C81</f>
        <v>0</v>
      </c>
      <c r="EO26" s="190">
        <f>Юнг!D81</f>
        <v>0</v>
      </c>
      <c r="EP26" s="190" t="e">
        <f t="shared" si="14"/>
        <v>#DIV/0!</v>
      </c>
      <c r="EQ26" s="201">
        <f>Юнг!C86</f>
        <v>1679.053</v>
      </c>
      <c r="ER26" s="201">
        <f>Юнг!D86</f>
        <v>1678.63678</v>
      </c>
      <c r="ES26" s="190">
        <f t="shared" si="51"/>
        <v>99.97521102669182</v>
      </c>
      <c r="ET26" s="190">
        <f>Юнг!C92</f>
        <v>0</v>
      </c>
      <c r="EU26" s="190">
        <f>Юнг!D92</f>
        <v>0</v>
      </c>
      <c r="EV26" s="187" t="e">
        <f t="shared" si="52"/>
        <v>#DIV/0!</v>
      </c>
      <c r="EW26" s="194">
        <f t="shared" si="15"/>
        <v>-900.3545999999988</v>
      </c>
      <c r="EX26" s="194">
        <f t="shared" si="16"/>
        <v>-496.3576899999989</v>
      </c>
      <c r="EY26" s="187">
        <f t="shared" si="54"/>
        <v>55.129133565819465</v>
      </c>
      <c r="EZ26" s="195"/>
      <c r="FA26" s="196"/>
      <c r="FC26" s="196"/>
    </row>
    <row r="27" spans="1:159" s="172" customFormat="1" ht="15" customHeight="1">
      <c r="A27" s="184">
        <v>14</v>
      </c>
      <c r="B27" s="197" t="s">
        <v>322</v>
      </c>
      <c r="C27" s="186">
        <f t="shared" si="0"/>
        <v>5099.53917</v>
      </c>
      <c r="D27" s="307">
        <f t="shared" si="1"/>
        <v>5246.648069999999</v>
      </c>
      <c r="E27" s="190">
        <f t="shared" si="2"/>
        <v>102.8847488978107</v>
      </c>
      <c r="F27" s="188">
        <f>I27+X27+AA27+AD27+AG27+AM27+AS27+BE27+BQ27+BN27+AJ27+AY27+L27+R27+O27+U27+AP27</f>
        <v>1850.874</v>
      </c>
      <c r="G27" s="188">
        <f t="shared" si="4"/>
        <v>1997.9828999999997</v>
      </c>
      <c r="H27" s="190">
        <f t="shared" si="17"/>
        <v>107.94807750284458</v>
      </c>
      <c r="I27" s="198">
        <f>Юсь!C6</f>
        <v>97.12</v>
      </c>
      <c r="J27" s="198">
        <f>Юсь!D6</f>
        <v>108.87259</v>
      </c>
      <c r="K27" s="190">
        <f t="shared" si="18"/>
        <v>112.10110172981878</v>
      </c>
      <c r="L27" s="190">
        <f>Юсь!C8</f>
        <v>199.18</v>
      </c>
      <c r="M27" s="190">
        <f>Юсь!D8</f>
        <v>267.73893</v>
      </c>
      <c r="N27" s="187">
        <f t="shared" si="19"/>
        <v>134.4205894166081</v>
      </c>
      <c r="O27" s="187">
        <f>Юсь!C9</f>
        <v>2.45</v>
      </c>
      <c r="P27" s="187">
        <f>Юсь!D9</f>
        <v>2.71801</v>
      </c>
      <c r="Q27" s="187">
        <f t="shared" si="20"/>
        <v>110.93918367346937</v>
      </c>
      <c r="R27" s="187">
        <f>Юсь!C10</f>
        <v>411.22</v>
      </c>
      <c r="S27" s="187">
        <f>Юсь!D10</f>
        <v>432.99022</v>
      </c>
      <c r="T27" s="187">
        <f t="shared" si="21"/>
        <v>105.29405670930403</v>
      </c>
      <c r="U27" s="187">
        <f>Юсь!C11</f>
        <v>0</v>
      </c>
      <c r="V27" s="187">
        <f>Юсь!D11</f>
        <v>-51.8547</v>
      </c>
      <c r="W27" s="187" t="e">
        <f t="shared" si="22"/>
        <v>#DIV/0!</v>
      </c>
      <c r="X27" s="198">
        <f>Юсь!C13</f>
        <v>30</v>
      </c>
      <c r="Y27" s="198">
        <f>Юсь!D13</f>
        <v>12.0273</v>
      </c>
      <c r="Z27" s="190">
        <f t="shared" si="23"/>
        <v>40.091</v>
      </c>
      <c r="AA27" s="198">
        <f>Юсь!C15</f>
        <v>95</v>
      </c>
      <c r="AB27" s="198">
        <f>Юсь!D15</f>
        <v>94.22788</v>
      </c>
      <c r="AC27" s="190">
        <f t="shared" si="24"/>
        <v>99.18724210526315</v>
      </c>
      <c r="AD27" s="198">
        <f>Юсь!C16</f>
        <v>420</v>
      </c>
      <c r="AE27" s="198">
        <f>Юсь!D16</f>
        <v>328.09663</v>
      </c>
      <c r="AF27" s="190">
        <f t="shared" si="5"/>
        <v>78.11824523809524</v>
      </c>
      <c r="AG27" s="190">
        <f>Юсь!C18</f>
        <v>10</v>
      </c>
      <c r="AH27" s="190">
        <f>Юсь!D18</f>
        <v>5.725</v>
      </c>
      <c r="AI27" s="190">
        <f t="shared" si="25"/>
        <v>57.25</v>
      </c>
      <c r="AJ27" s="190"/>
      <c r="AK27" s="190"/>
      <c r="AL27" s="190" t="e">
        <f>AJ27/AK27*100</f>
        <v>#DIV/0!</v>
      </c>
      <c r="AM27" s="198">
        <v>0</v>
      </c>
      <c r="AN27" s="198">
        <v>0</v>
      </c>
      <c r="AO27" s="190" t="e">
        <f t="shared" si="7"/>
        <v>#DIV/0!</v>
      </c>
      <c r="AP27" s="198">
        <f>Юсь!C27</f>
        <v>0</v>
      </c>
      <c r="AQ27" s="198">
        <f>Юсь!D27</f>
        <v>0</v>
      </c>
      <c r="AR27" s="190" t="e">
        <f t="shared" si="26"/>
        <v>#DIV/0!</v>
      </c>
      <c r="AS27" s="191">
        <f>Юсь!C28</f>
        <v>60</v>
      </c>
      <c r="AT27" s="198">
        <f>Юсь!D28</f>
        <v>78.24065</v>
      </c>
      <c r="AU27" s="190">
        <f t="shared" si="27"/>
        <v>130.40108333333333</v>
      </c>
      <c r="AV27" s="198"/>
      <c r="AW27" s="198"/>
      <c r="AX27" s="190" t="e">
        <f t="shared" si="28"/>
        <v>#DIV/0!</v>
      </c>
      <c r="AY27" s="190">
        <f>Юсь!C30</f>
        <v>211.904</v>
      </c>
      <c r="AZ27" s="190">
        <f>Юсь!D30</f>
        <v>263.26029</v>
      </c>
      <c r="BA27" s="190">
        <f t="shared" si="29"/>
        <v>124.23563972364843</v>
      </c>
      <c r="BB27" s="190"/>
      <c r="BC27" s="190"/>
      <c r="BD27" s="190"/>
      <c r="BE27" s="190">
        <f>Юсь!C31</f>
        <v>314</v>
      </c>
      <c r="BF27" s="190">
        <f>Юсь!D31</f>
        <v>455.7</v>
      </c>
      <c r="BG27" s="190">
        <f t="shared" si="30"/>
        <v>145.12738853503186</v>
      </c>
      <c r="BH27" s="190"/>
      <c r="BI27" s="190"/>
      <c r="BJ27" s="190" t="e">
        <f t="shared" si="31"/>
        <v>#DIV/0!</v>
      </c>
      <c r="BK27" s="190"/>
      <c r="BL27" s="190"/>
      <c r="BM27" s="190"/>
      <c r="BN27" s="190"/>
      <c r="BO27" s="292"/>
      <c r="BP27" s="190" t="e">
        <f t="shared" si="32"/>
        <v>#DIV/0!</v>
      </c>
      <c r="BQ27" s="190">
        <f>Юсь!C34</f>
        <v>0</v>
      </c>
      <c r="BR27" s="190">
        <f>Юсь!D34</f>
        <v>0.2401</v>
      </c>
      <c r="BS27" s="190" t="e">
        <f t="shared" si="33"/>
        <v>#DIV/0!</v>
      </c>
      <c r="BT27" s="190"/>
      <c r="BU27" s="190"/>
      <c r="BV27" s="199" t="e">
        <f t="shared" si="34"/>
        <v>#DIV/0!</v>
      </c>
      <c r="BW27" s="199"/>
      <c r="BX27" s="199"/>
      <c r="BY27" s="199" t="e">
        <f t="shared" si="35"/>
        <v>#DIV/0!</v>
      </c>
      <c r="BZ27" s="189">
        <f t="shared" si="55"/>
        <v>3248.6651699999998</v>
      </c>
      <c r="CA27" s="189">
        <f t="shared" si="56"/>
        <v>3248.6651699999998</v>
      </c>
      <c r="CB27" s="190">
        <f t="shared" si="53"/>
        <v>100</v>
      </c>
      <c r="CC27" s="190">
        <f>Юсь!C39</f>
        <v>2434.37</v>
      </c>
      <c r="CD27" s="190">
        <f>Юсь!D39</f>
        <v>2434.37</v>
      </c>
      <c r="CE27" s="190">
        <f t="shared" si="36"/>
        <v>100</v>
      </c>
      <c r="CF27" s="190">
        <f>Юсь!C41</f>
        <v>260.7635</v>
      </c>
      <c r="CG27" s="190">
        <f>Юсь!D41</f>
        <v>260.7635</v>
      </c>
      <c r="CH27" s="190">
        <f t="shared" si="37"/>
        <v>100</v>
      </c>
      <c r="CI27" s="190">
        <f>Юсь!C42</f>
        <v>409.21</v>
      </c>
      <c r="CJ27" s="190">
        <f>Юсь!D42</f>
        <v>409.21</v>
      </c>
      <c r="CK27" s="190">
        <f t="shared" si="10"/>
        <v>100</v>
      </c>
      <c r="CL27" s="190">
        <f>Юсь!C43</f>
        <v>144.32167</v>
      </c>
      <c r="CM27" s="190">
        <f>Юсь!D43</f>
        <v>144.32167</v>
      </c>
      <c r="CN27" s="190">
        <f t="shared" si="11"/>
        <v>100</v>
      </c>
      <c r="CO27" s="190">
        <f>Юсь!C50</f>
        <v>0</v>
      </c>
      <c r="CP27" s="190">
        <f>Юсь!D50</f>
        <v>0</v>
      </c>
      <c r="CQ27" s="190"/>
      <c r="CR27" s="190"/>
      <c r="CS27" s="190"/>
      <c r="CT27" s="190" t="e">
        <f t="shared" si="12"/>
        <v>#DIV/0!</v>
      </c>
      <c r="CU27" s="190"/>
      <c r="CV27" s="190"/>
      <c r="CW27" s="190" t="e">
        <f>CV27/CU27*100</f>
        <v>#DIV/0!</v>
      </c>
      <c r="CX27" s="198"/>
      <c r="CY27" s="198"/>
      <c r="CZ27" s="190" t="e">
        <f t="shared" si="38"/>
        <v>#DIV/0!</v>
      </c>
      <c r="DA27" s="190"/>
      <c r="DB27" s="190"/>
      <c r="DC27" s="190"/>
      <c r="DD27" s="190"/>
      <c r="DE27" s="190"/>
      <c r="DF27" s="190"/>
      <c r="DG27" s="198">
        <f t="shared" si="39"/>
        <v>5263.71917</v>
      </c>
      <c r="DH27" s="198">
        <f t="shared" si="39"/>
        <v>5211.1193</v>
      </c>
      <c r="DI27" s="190">
        <f t="shared" si="40"/>
        <v>99.0007090366867</v>
      </c>
      <c r="DJ27" s="198">
        <f t="shared" si="41"/>
        <v>1102.587</v>
      </c>
      <c r="DK27" s="198">
        <f t="shared" si="41"/>
        <v>1093.77147</v>
      </c>
      <c r="DL27" s="190">
        <f t="shared" si="42"/>
        <v>99.20046853445578</v>
      </c>
      <c r="DM27" s="190">
        <f>Юсь!C58</f>
        <v>1093.33</v>
      </c>
      <c r="DN27" s="190">
        <f>Юсь!D58</f>
        <v>1089.51497</v>
      </c>
      <c r="DO27" s="190">
        <f t="shared" si="43"/>
        <v>99.65106326543679</v>
      </c>
      <c r="DP27" s="190">
        <f>Юсь!C61</f>
        <v>0</v>
      </c>
      <c r="DQ27" s="190">
        <f>Юсь!D61</f>
        <v>0</v>
      </c>
      <c r="DR27" s="190" t="e">
        <f t="shared" si="44"/>
        <v>#DIV/0!</v>
      </c>
      <c r="DS27" s="190">
        <f>Юсь!C62</f>
        <v>5</v>
      </c>
      <c r="DT27" s="190">
        <f>Юсь!D62</f>
        <v>0</v>
      </c>
      <c r="DU27" s="190">
        <f t="shared" si="45"/>
        <v>0</v>
      </c>
      <c r="DV27" s="190">
        <f>Юсь!C63</f>
        <v>4.257</v>
      </c>
      <c r="DW27" s="190">
        <f>Юсь!D63</f>
        <v>4.2565</v>
      </c>
      <c r="DX27" s="190">
        <f t="shared" si="46"/>
        <v>99.98825463941743</v>
      </c>
      <c r="DY27" s="190">
        <f>Юсь!C65</f>
        <v>143.01797</v>
      </c>
      <c r="DZ27" s="292">
        <f>Юсь!D65</f>
        <v>143.01797</v>
      </c>
      <c r="EA27" s="190">
        <f t="shared" si="47"/>
        <v>100</v>
      </c>
      <c r="EB27" s="190">
        <f>Юсь!C66</f>
        <v>0.3037</v>
      </c>
      <c r="EC27" s="190">
        <f>Юсь!D66</f>
        <v>0</v>
      </c>
      <c r="ED27" s="190">
        <f t="shared" si="48"/>
        <v>0</v>
      </c>
      <c r="EE27" s="198">
        <f>Юсь!C71</f>
        <v>1889.6865000000003</v>
      </c>
      <c r="EF27" s="198">
        <f>Юсь!D71</f>
        <v>1880.328</v>
      </c>
      <c r="EG27" s="190">
        <f t="shared" si="49"/>
        <v>99.50475912274335</v>
      </c>
      <c r="EH27" s="198">
        <f>Юсь!C76</f>
        <v>474.46999999999997</v>
      </c>
      <c r="EI27" s="198">
        <f>Юсь!D76</f>
        <v>474.46786</v>
      </c>
      <c r="EJ27" s="190">
        <f t="shared" si="50"/>
        <v>99.99954897043017</v>
      </c>
      <c r="EK27" s="398">
        <f>Юсь!C80</f>
        <v>1648.6</v>
      </c>
      <c r="EL27" s="200">
        <f>Юсь!D80</f>
        <v>1614.48</v>
      </c>
      <c r="EM27" s="190">
        <f t="shared" si="13"/>
        <v>97.93036515831616</v>
      </c>
      <c r="EN27" s="190">
        <f>Юсь!C82</f>
        <v>0</v>
      </c>
      <c r="EO27" s="190">
        <f>Юсь!D82</f>
        <v>0</v>
      </c>
      <c r="EP27" s="190" t="e">
        <f t="shared" si="14"/>
        <v>#DIV/0!</v>
      </c>
      <c r="EQ27" s="201">
        <f>Юсь!C87</f>
        <v>5.054</v>
      </c>
      <c r="ER27" s="201">
        <f>Юсь!D87</f>
        <v>5.054</v>
      </c>
      <c r="ES27" s="190">
        <f t="shared" si="51"/>
        <v>100</v>
      </c>
      <c r="ET27" s="190">
        <f>Юсь!C93</f>
        <v>0</v>
      </c>
      <c r="EU27" s="190">
        <f>Юсь!D93</f>
        <v>0</v>
      </c>
      <c r="EV27" s="187" t="e">
        <f t="shared" si="52"/>
        <v>#DIV/0!</v>
      </c>
      <c r="EW27" s="194">
        <f t="shared" si="15"/>
        <v>-164.1800000000003</v>
      </c>
      <c r="EX27" s="194">
        <f t="shared" si="16"/>
        <v>35.528769999998985</v>
      </c>
      <c r="EY27" s="187">
        <f t="shared" si="54"/>
        <v>-21.640132781093264</v>
      </c>
      <c r="EZ27" s="195"/>
      <c r="FA27" s="196"/>
      <c r="FC27" s="196"/>
    </row>
    <row r="28" spans="1:159" s="172" customFormat="1" ht="15" customHeight="1">
      <c r="A28" s="184">
        <v>15</v>
      </c>
      <c r="B28" s="197" t="s">
        <v>323</v>
      </c>
      <c r="C28" s="307">
        <f t="shared" si="0"/>
        <v>9171.94506</v>
      </c>
      <c r="D28" s="307">
        <f t="shared" si="1"/>
        <v>10260.68262</v>
      </c>
      <c r="E28" s="190">
        <f t="shared" si="2"/>
        <v>111.87030180488237</v>
      </c>
      <c r="F28" s="188">
        <f t="shared" si="3"/>
        <v>2926.734</v>
      </c>
      <c r="G28" s="188">
        <f t="shared" si="4"/>
        <v>4043.2715599999997</v>
      </c>
      <c r="H28" s="190">
        <f t="shared" si="17"/>
        <v>138.14960840308686</v>
      </c>
      <c r="I28" s="198">
        <f>Яра!C6</f>
        <v>181.56</v>
      </c>
      <c r="J28" s="198">
        <f>Яра!D6</f>
        <v>110.11036</v>
      </c>
      <c r="K28" s="190">
        <f t="shared" si="18"/>
        <v>60.64681647940075</v>
      </c>
      <c r="L28" s="190">
        <f>Яра!C8</f>
        <v>247.63</v>
      </c>
      <c r="M28" s="190">
        <f>Яра!D8</f>
        <v>292.54542</v>
      </c>
      <c r="N28" s="187">
        <f t="shared" si="19"/>
        <v>118.13811735250171</v>
      </c>
      <c r="O28" s="187">
        <f>Яра!C9</f>
        <v>2.68</v>
      </c>
      <c r="P28" s="187">
        <f>Яра!D9</f>
        <v>2.96983</v>
      </c>
      <c r="Q28" s="187">
        <f t="shared" si="20"/>
        <v>110.81455223880596</v>
      </c>
      <c r="R28" s="187">
        <f>Яра!C10</f>
        <v>449.32</v>
      </c>
      <c r="S28" s="187">
        <f>Яра!D10</f>
        <v>473.10753</v>
      </c>
      <c r="T28" s="187">
        <f t="shared" si="21"/>
        <v>105.29411777797561</v>
      </c>
      <c r="U28" s="187">
        <f>Яра!C11</f>
        <v>0</v>
      </c>
      <c r="V28" s="187">
        <f>Яра!D11</f>
        <v>-56.65913</v>
      </c>
      <c r="W28" s="187" t="e">
        <f t="shared" si="22"/>
        <v>#DIV/0!</v>
      </c>
      <c r="X28" s="198">
        <f>Яра!C13</f>
        <v>25</v>
      </c>
      <c r="Y28" s="198">
        <f>Яра!D13</f>
        <v>1.81564</v>
      </c>
      <c r="Z28" s="190">
        <f t="shared" si="23"/>
        <v>7.26256</v>
      </c>
      <c r="AA28" s="198">
        <f>Яра!C15</f>
        <v>155</v>
      </c>
      <c r="AB28" s="198">
        <f>Яра!D15</f>
        <v>127.62452</v>
      </c>
      <c r="AC28" s="190">
        <f t="shared" si="24"/>
        <v>82.33840000000001</v>
      </c>
      <c r="AD28" s="198">
        <f>Яра!C16</f>
        <v>1335</v>
      </c>
      <c r="AE28" s="198">
        <f>Яра!D16</f>
        <v>1349.3768</v>
      </c>
      <c r="AF28" s="190">
        <f t="shared" si="5"/>
        <v>101.0769138576779</v>
      </c>
      <c r="AG28" s="190">
        <f>Яра!C18</f>
        <v>15</v>
      </c>
      <c r="AH28" s="190">
        <f>Яра!D18</f>
        <v>13.281</v>
      </c>
      <c r="AI28" s="190">
        <f t="shared" si="25"/>
        <v>88.54</v>
      </c>
      <c r="AJ28" s="190"/>
      <c r="AK28" s="190"/>
      <c r="AL28" s="190" t="e">
        <f>AJ28/AK28*100</f>
        <v>#DIV/0!</v>
      </c>
      <c r="AM28" s="198">
        <v>0</v>
      </c>
      <c r="AN28" s="198">
        <v>0</v>
      </c>
      <c r="AO28" s="190" t="e">
        <f t="shared" si="7"/>
        <v>#DIV/0!</v>
      </c>
      <c r="AP28" s="198">
        <f>Яра!C27</f>
        <v>150</v>
      </c>
      <c r="AQ28" s="198">
        <f>Яра!D27</f>
        <v>11.93983</v>
      </c>
      <c r="AR28" s="190">
        <f t="shared" si="26"/>
        <v>7.959886666666667</v>
      </c>
      <c r="AS28" s="191">
        <f>Яра!C28</f>
        <v>0</v>
      </c>
      <c r="AT28" s="198">
        <f>Яра!D28</f>
        <v>15.03</v>
      </c>
      <c r="AU28" s="190" t="e">
        <f t="shared" si="27"/>
        <v>#DIV/0!</v>
      </c>
      <c r="AV28" s="198"/>
      <c r="AW28" s="198"/>
      <c r="AX28" s="190" t="e">
        <f t="shared" si="28"/>
        <v>#DIV/0!</v>
      </c>
      <c r="AY28" s="190">
        <f>Яра!C30</f>
        <v>50</v>
      </c>
      <c r="AZ28" s="190">
        <f>Яра!D30</f>
        <v>47.68864</v>
      </c>
      <c r="BA28" s="190">
        <f t="shared" si="29"/>
        <v>95.37728</v>
      </c>
      <c r="BB28" s="190"/>
      <c r="BC28" s="190"/>
      <c r="BD28" s="190"/>
      <c r="BE28" s="190"/>
      <c r="BF28" s="190">
        <v>0</v>
      </c>
      <c r="BG28" s="190" t="e">
        <f t="shared" si="30"/>
        <v>#DIV/0!</v>
      </c>
      <c r="BH28" s="190"/>
      <c r="BI28" s="190"/>
      <c r="BJ28" s="190" t="e">
        <f t="shared" si="31"/>
        <v>#DIV/0!</v>
      </c>
      <c r="BK28" s="190"/>
      <c r="BL28" s="190"/>
      <c r="BM28" s="190"/>
      <c r="BN28" s="190">
        <f>Яра!C34</f>
        <v>315.544</v>
      </c>
      <c r="BO28" s="292">
        <f>Яра!D34</f>
        <v>1654.39814</v>
      </c>
      <c r="BP28" s="190">
        <f t="shared" si="32"/>
        <v>524.300300433537</v>
      </c>
      <c r="BQ28" s="190">
        <f>Яра!C36</f>
        <v>0</v>
      </c>
      <c r="BR28" s="190">
        <f>Яра!D36</f>
        <v>0.04298</v>
      </c>
      <c r="BS28" s="190" t="e">
        <f t="shared" si="33"/>
        <v>#DIV/0!</v>
      </c>
      <c r="BT28" s="190"/>
      <c r="BU28" s="190"/>
      <c r="BV28" s="199" t="e">
        <f t="shared" si="34"/>
        <v>#DIV/0!</v>
      </c>
      <c r="BW28" s="199"/>
      <c r="BX28" s="199"/>
      <c r="BY28" s="199" t="e">
        <f t="shared" si="35"/>
        <v>#DIV/0!</v>
      </c>
      <c r="BZ28" s="189">
        <f t="shared" si="55"/>
        <v>6245.21106</v>
      </c>
      <c r="CA28" s="189">
        <f t="shared" si="56"/>
        <v>6217.411059999999</v>
      </c>
      <c r="CB28" s="190">
        <f t="shared" si="53"/>
        <v>99.55485891937174</v>
      </c>
      <c r="CC28" s="190">
        <f>Яра!C41</f>
        <v>1583.34</v>
      </c>
      <c r="CD28" s="190">
        <f>Яра!D41</f>
        <v>1583.34</v>
      </c>
      <c r="CE28" s="190">
        <f t="shared" si="36"/>
        <v>100</v>
      </c>
      <c r="CF28" s="190">
        <f>Яра!C42</f>
        <v>928.9</v>
      </c>
      <c r="CG28" s="190">
        <f>Яра!D42</f>
        <v>928.9</v>
      </c>
      <c r="CH28" s="190">
        <f t="shared" si="37"/>
        <v>100</v>
      </c>
      <c r="CI28" s="190">
        <f>Яра!C43</f>
        <v>3335.075</v>
      </c>
      <c r="CJ28" s="190">
        <f>Яра!D43</f>
        <v>3307.275</v>
      </c>
      <c r="CK28" s="190">
        <f t="shared" si="10"/>
        <v>99.1664355374317</v>
      </c>
      <c r="CL28" s="190">
        <f>Яра!C44</f>
        <v>147.89606</v>
      </c>
      <c r="CM28" s="190">
        <f>Яра!D44</f>
        <v>147.89606</v>
      </c>
      <c r="CN28" s="190">
        <f t="shared" si="11"/>
        <v>100</v>
      </c>
      <c r="CO28" s="190">
        <f>Яра!C46</f>
        <v>0</v>
      </c>
      <c r="CP28" s="190">
        <f>Яра!D46</f>
        <v>0</v>
      </c>
      <c r="CQ28" s="190"/>
      <c r="CR28" s="190">
        <f>Яра!C50</f>
        <v>250</v>
      </c>
      <c r="CS28" s="190">
        <f>Яра!D50</f>
        <v>250</v>
      </c>
      <c r="CT28" s="190">
        <f t="shared" si="12"/>
        <v>100</v>
      </c>
      <c r="CU28" s="190"/>
      <c r="CV28" s="190"/>
      <c r="CW28" s="190"/>
      <c r="CX28" s="198"/>
      <c r="CY28" s="198"/>
      <c r="CZ28" s="190" t="e">
        <f t="shared" si="38"/>
        <v>#DIV/0!</v>
      </c>
      <c r="DA28" s="190"/>
      <c r="DB28" s="190">
        <f>Яра!D45</f>
        <v>0</v>
      </c>
      <c r="DC28" s="190" t="e">
        <f>DB28/DA28</f>
        <v>#DIV/0!</v>
      </c>
      <c r="DD28" s="190"/>
      <c r="DE28" s="190"/>
      <c r="DF28" s="190"/>
      <c r="DG28" s="198">
        <f t="shared" si="39"/>
        <v>9527.375059999998</v>
      </c>
      <c r="DH28" s="198">
        <f t="shared" si="39"/>
        <v>8834.84315</v>
      </c>
      <c r="DI28" s="190">
        <f t="shared" si="40"/>
        <v>92.73113627165216</v>
      </c>
      <c r="DJ28" s="198">
        <f t="shared" si="41"/>
        <v>1147.057</v>
      </c>
      <c r="DK28" s="198">
        <f t="shared" si="41"/>
        <v>1102.56683</v>
      </c>
      <c r="DL28" s="190">
        <f t="shared" si="42"/>
        <v>96.12136362883449</v>
      </c>
      <c r="DM28" s="190">
        <f>Яра!C58</f>
        <v>1101.2</v>
      </c>
      <c r="DN28" s="190">
        <f>Яра!D58</f>
        <v>1083.58888</v>
      </c>
      <c r="DO28" s="190">
        <f t="shared" si="43"/>
        <v>98.40073374500544</v>
      </c>
      <c r="DP28" s="190">
        <f>Яра!C61</f>
        <v>0</v>
      </c>
      <c r="DQ28" s="190">
        <f>Яра!D61</f>
        <v>0</v>
      </c>
      <c r="DR28" s="190" t="e">
        <f t="shared" si="44"/>
        <v>#DIV/0!</v>
      </c>
      <c r="DS28" s="190">
        <f>Яра!C62</f>
        <v>5</v>
      </c>
      <c r="DT28" s="190">
        <f>Яра!D62</f>
        <v>0</v>
      </c>
      <c r="DU28" s="190">
        <f t="shared" si="45"/>
        <v>0</v>
      </c>
      <c r="DV28" s="190">
        <f>Яра!C63</f>
        <v>40.857</v>
      </c>
      <c r="DW28" s="190">
        <f>Яра!D63</f>
        <v>18.97795</v>
      </c>
      <c r="DX28" s="190">
        <f t="shared" si="46"/>
        <v>46.44969038353281</v>
      </c>
      <c r="DY28" s="190">
        <f>Яра!C65</f>
        <v>147.49716</v>
      </c>
      <c r="DZ28" s="292">
        <f>Яра!D64</f>
        <v>147.49716</v>
      </c>
      <c r="EA28" s="190">
        <f t="shared" si="47"/>
        <v>100</v>
      </c>
      <c r="EB28" s="190">
        <f>Яра!C66</f>
        <v>2.1</v>
      </c>
      <c r="EC28" s="190">
        <f>Яра!D66</f>
        <v>2.08379</v>
      </c>
      <c r="ED28" s="190">
        <f t="shared" si="48"/>
        <v>99.22809523809524</v>
      </c>
      <c r="EE28" s="198">
        <f>Яра!C71</f>
        <v>4229.7789999999995</v>
      </c>
      <c r="EF28" s="198">
        <f>Яра!D71</f>
        <v>3783.4509900000003</v>
      </c>
      <c r="EG28" s="190">
        <f t="shared" si="49"/>
        <v>89.44795910140934</v>
      </c>
      <c r="EH28" s="198">
        <f>Яра!C76</f>
        <v>647.1419</v>
      </c>
      <c r="EI28" s="198">
        <f>Яра!D76</f>
        <v>637.78802</v>
      </c>
      <c r="EJ28" s="190">
        <f t="shared" si="50"/>
        <v>98.55458594166132</v>
      </c>
      <c r="EK28" s="398">
        <f>Яра!C80</f>
        <v>3353.8</v>
      </c>
      <c r="EL28" s="200">
        <f>Яра!D80</f>
        <v>3161.45636</v>
      </c>
      <c r="EM28" s="190">
        <f t="shared" si="13"/>
        <v>94.26490428767367</v>
      </c>
      <c r="EN28" s="190">
        <f>Яра!C82</f>
        <v>0</v>
      </c>
      <c r="EO28" s="190">
        <f>Яра!D82</f>
        <v>0</v>
      </c>
      <c r="EP28" s="190" t="e">
        <f t="shared" si="14"/>
        <v>#DIV/0!</v>
      </c>
      <c r="EQ28" s="201">
        <f>Яра!C87</f>
        <v>0</v>
      </c>
      <c r="ER28" s="201">
        <f>Яра!D87</f>
        <v>0</v>
      </c>
      <c r="ES28" s="190" t="e">
        <f t="shared" si="51"/>
        <v>#DIV/0!</v>
      </c>
      <c r="ET28" s="190">
        <f>Яра!C93</f>
        <v>0</v>
      </c>
      <c r="EU28" s="190">
        <f>Яра!D93</f>
        <v>0</v>
      </c>
      <c r="EV28" s="187" t="e">
        <f t="shared" si="52"/>
        <v>#DIV/0!</v>
      </c>
      <c r="EW28" s="194">
        <f t="shared" si="15"/>
        <v>-355.4299999999985</v>
      </c>
      <c r="EX28" s="194">
        <f t="shared" si="16"/>
        <v>1425.839469999999</v>
      </c>
      <c r="EY28" s="187">
        <f t="shared" si="54"/>
        <v>-401.1590102129829</v>
      </c>
      <c r="EZ28" s="195"/>
      <c r="FA28" s="196"/>
      <c r="FC28" s="196"/>
    </row>
    <row r="29" spans="1:159" s="172" customFormat="1" ht="15" customHeight="1">
      <c r="A29" s="184">
        <v>16</v>
      </c>
      <c r="B29" s="185" t="s">
        <v>324</v>
      </c>
      <c r="C29" s="186">
        <f t="shared" si="0"/>
        <v>4521.69182</v>
      </c>
      <c r="D29" s="307">
        <f t="shared" si="1"/>
        <v>4450.79096</v>
      </c>
      <c r="E29" s="187">
        <f t="shared" si="2"/>
        <v>98.43198380556595</v>
      </c>
      <c r="F29" s="188">
        <f t="shared" si="3"/>
        <v>1864.08</v>
      </c>
      <c r="G29" s="188">
        <f t="shared" si="4"/>
        <v>1793.17914</v>
      </c>
      <c r="H29" s="187">
        <f t="shared" si="17"/>
        <v>96.19646903566371</v>
      </c>
      <c r="I29" s="189">
        <f>Яро!C6</f>
        <v>90.32</v>
      </c>
      <c r="J29" s="198">
        <f>Яро!D6</f>
        <v>91.37337</v>
      </c>
      <c r="K29" s="187">
        <f t="shared" si="18"/>
        <v>101.16626439326839</v>
      </c>
      <c r="L29" s="187">
        <f>Яро!C8</f>
        <v>124.72</v>
      </c>
      <c r="M29" s="187">
        <f>Яро!D8</f>
        <v>167.65759</v>
      </c>
      <c r="N29" s="187">
        <f t="shared" si="19"/>
        <v>134.42718890314305</v>
      </c>
      <c r="O29" s="187">
        <f>Яро!C9</f>
        <v>1.54</v>
      </c>
      <c r="P29" s="187">
        <f>Яро!D9</f>
        <v>1.70201</v>
      </c>
      <c r="Q29" s="187">
        <f t="shared" si="20"/>
        <v>110.52012987012986</v>
      </c>
      <c r="R29" s="187">
        <f>Яро!C10</f>
        <v>257.5</v>
      </c>
      <c r="S29" s="187">
        <f>Яро!D10</f>
        <v>271.13762</v>
      </c>
      <c r="T29" s="187">
        <f t="shared" si="21"/>
        <v>105.29616310679613</v>
      </c>
      <c r="U29" s="187">
        <f>Яро!C11</f>
        <v>0</v>
      </c>
      <c r="V29" s="187">
        <f>Яро!D11</f>
        <v>-32.47125</v>
      </c>
      <c r="W29" s="187" t="e">
        <f t="shared" si="22"/>
        <v>#DIV/0!</v>
      </c>
      <c r="X29" s="189">
        <f>Яро!C13</f>
        <v>10</v>
      </c>
      <c r="Y29" s="189">
        <f>Яро!D13</f>
        <v>0.1011</v>
      </c>
      <c r="Z29" s="187">
        <f t="shared" si="23"/>
        <v>1.011</v>
      </c>
      <c r="AA29" s="189">
        <f>Яро!C15</f>
        <v>150</v>
      </c>
      <c r="AB29" s="189">
        <f>Яро!D15</f>
        <v>58.22739</v>
      </c>
      <c r="AC29" s="187">
        <f t="shared" si="24"/>
        <v>38.81826</v>
      </c>
      <c r="AD29" s="189">
        <f>Яро!C16</f>
        <v>970</v>
      </c>
      <c r="AE29" s="189">
        <f>Яро!D16</f>
        <v>987.03875</v>
      </c>
      <c r="AF29" s="187">
        <f t="shared" si="5"/>
        <v>101.75657216494847</v>
      </c>
      <c r="AG29" s="187">
        <f>Яро!C18</f>
        <v>10</v>
      </c>
      <c r="AH29" s="187">
        <f>Яро!D18</f>
        <v>8.625</v>
      </c>
      <c r="AI29" s="187">
        <f t="shared" si="25"/>
        <v>86.25</v>
      </c>
      <c r="AJ29" s="187"/>
      <c r="AK29" s="187"/>
      <c r="AL29" s="187" t="e">
        <f>AJ29/AK29*100</f>
        <v>#DIV/0!</v>
      </c>
      <c r="AM29" s="189">
        <v>0</v>
      </c>
      <c r="AN29" s="189">
        <v>0</v>
      </c>
      <c r="AO29" s="187" t="e">
        <f t="shared" si="7"/>
        <v>#DIV/0!</v>
      </c>
      <c r="AP29" s="189">
        <f>Яро!C26</f>
        <v>250</v>
      </c>
      <c r="AQ29" s="189">
        <f>Яро!D27</f>
        <v>239.78756</v>
      </c>
      <c r="AR29" s="187">
        <f t="shared" si="26"/>
        <v>95.915024</v>
      </c>
      <c r="AS29" s="191">
        <v>0</v>
      </c>
      <c r="AT29" s="189">
        <f>Яро!D28</f>
        <v>0</v>
      </c>
      <c r="AU29" s="187" t="e">
        <f t="shared" si="27"/>
        <v>#DIV/0!</v>
      </c>
      <c r="AV29" s="189"/>
      <c r="AW29" s="189"/>
      <c r="AX29" s="187" t="e">
        <f t="shared" si="28"/>
        <v>#DIV/0!</v>
      </c>
      <c r="AY29" s="187"/>
      <c r="AZ29" s="187"/>
      <c r="BA29" s="187" t="e">
        <f t="shared" si="29"/>
        <v>#DIV/0!</v>
      </c>
      <c r="BB29" s="187"/>
      <c r="BC29" s="187"/>
      <c r="BD29" s="187"/>
      <c r="BE29" s="187">
        <f>Яро!C33</f>
        <v>0</v>
      </c>
      <c r="BF29" s="187">
        <f>Яро!D31</f>
        <v>0</v>
      </c>
      <c r="BG29" s="187" t="e">
        <f t="shared" si="30"/>
        <v>#DIV/0!</v>
      </c>
      <c r="BH29" s="187"/>
      <c r="BI29" s="187"/>
      <c r="BJ29" s="187" t="e">
        <f t="shared" si="31"/>
        <v>#DIV/0!</v>
      </c>
      <c r="BK29" s="187"/>
      <c r="BL29" s="187"/>
      <c r="BM29" s="187"/>
      <c r="BN29" s="187"/>
      <c r="BO29" s="187"/>
      <c r="BP29" s="187" t="e">
        <f t="shared" si="32"/>
        <v>#DIV/0!</v>
      </c>
      <c r="BQ29" s="187">
        <f>Яро!C34</f>
        <v>0</v>
      </c>
      <c r="BR29" s="187">
        <f>Яро!D34</f>
        <v>0</v>
      </c>
      <c r="BS29" s="187" t="e">
        <f t="shared" si="33"/>
        <v>#DIV/0!</v>
      </c>
      <c r="BT29" s="187"/>
      <c r="BU29" s="187"/>
      <c r="BV29" s="192" t="e">
        <f t="shared" si="34"/>
        <v>#DIV/0!</v>
      </c>
      <c r="BW29" s="192"/>
      <c r="BX29" s="192"/>
      <c r="BY29" s="192" t="e">
        <f t="shared" si="35"/>
        <v>#DIV/0!</v>
      </c>
      <c r="BZ29" s="189">
        <f t="shared" si="55"/>
        <v>2657.61182</v>
      </c>
      <c r="CA29" s="189">
        <f t="shared" si="56"/>
        <v>2657.61182</v>
      </c>
      <c r="CB29" s="187">
        <f t="shared" si="53"/>
        <v>100</v>
      </c>
      <c r="CC29" s="190">
        <f>Яро!C39</f>
        <v>861.33</v>
      </c>
      <c r="CD29" s="190">
        <f>Яро!D39</f>
        <v>861.33</v>
      </c>
      <c r="CE29" s="187">
        <f t="shared" si="36"/>
        <v>100</v>
      </c>
      <c r="CF29" s="187">
        <f>Яро!C40</f>
        <v>350</v>
      </c>
      <c r="CG29" s="187">
        <f>Яро!D40</f>
        <v>350</v>
      </c>
      <c r="CH29" s="187">
        <f t="shared" si="37"/>
        <v>100</v>
      </c>
      <c r="CI29" s="187">
        <f>Яро!C41</f>
        <v>448.59</v>
      </c>
      <c r="CJ29" s="187">
        <f>Яро!D41</f>
        <v>448.59</v>
      </c>
      <c r="CK29" s="187">
        <f t="shared" si="10"/>
        <v>100</v>
      </c>
      <c r="CL29" s="187">
        <f>Яро!C42</f>
        <v>72.69182</v>
      </c>
      <c r="CM29" s="187">
        <f>Яро!D42</f>
        <v>72.69182</v>
      </c>
      <c r="CN29" s="187">
        <f t="shared" si="11"/>
        <v>100</v>
      </c>
      <c r="CO29" s="187">
        <f>Яро!C44</f>
        <v>925</v>
      </c>
      <c r="CP29" s="187">
        <f>Яро!D44</f>
        <v>925</v>
      </c>
      <c r="CQ29" s="187">
        <f>Яро!E44</f>
        <v>100</v>
      </c>
      <c r="CR29" s="187"/>
      <c r="CS29" s="187"/>
      <c r="CT29" s="187" t="e">
        <f t="shared" si="12"/>
        <v>#DIV/0!</v>
      </c>
      <c r="CU29" s="187"/>
      <c r="CV29" s="187"/>
      <c r="CW29" s="187"/>
      <c r="CX29" s="189"/>
      <c r="CY29" s="189"/>
      <c r="CZ29" s="187" t="e">
        <f t="shared" si="38"/>
        <v>#DIV/0!</v>
      </c>
      <c r="DA29" s="187"/>
      <c r="DB29" s="187"/>
      <c r="DC29" s="187"/>
      <c r="DD29" s="187"/>
      <c r="DE29" s="187"/>
      <c r="DF29" s="187"/>
      <c r="DG29" s="189">
        <f t="shared" si="39"/>
        <v>4985.03902</v>
      </c>
      <c r="DH29" s="189">
        <f t="shared" si="39"/>
        <v>4895.05574</v>
      </c>
      <c r="DI29" s="187">
        <f t="shared" si="40"/>
        <v>98.19493328660043</v>
      </c>
      <c r="DJ29" s="189">
        <f t="shared" si="41"/>
        <v>1112.082</v>
      </c>
      <c r="DK29" s="189">
        <f t="shared" si="41"/>
        <v>1105.22783</v>
      </c>
      <c r="DL29" s="187">
        <f t="shared" si="42"/>
        <v>99.38366325504774</v>
      </c>
      <c r="DM29" s="187">
        <f>Яро!C55</f>
        <v>1087.468</v>
      </c>
      <c r="DN29" s="187">
        <f>Яро!D55</f>
        <v>1082.61383</v>
      </c>
      <c r="DO29" s="187">
        <f t="shared" si="43"/>
        <v>99.55362640555859</v>
      </c>
      <c r="DP29" s="187">
        <f>Яро!C58</f>
        <v>19.4</v>
      </c>
      <c r="DQ29" s="187">
        <f>Яро!D58</f>
        <v>19.4</v>
      </c>
      <c r="DR29" s="187">
        <f t="shared" si="44"/>
        <v>100</v>
      </c>
      <c r="DS29" s="187">
        <f>Яро!C59</f>
        <v>2</v>
      </c>
      <c r="DT29" s="187">
        <f>Яро!D59</f>
        <v>0</v>
      </c>
      <c r="DU29" s="187">
        <f t="shared" si="45"/>
        <v>0</v>
      </c>
      <c r="DV29" s="187">
        <f>Яро!C60</f>
        <v>3.214</v>
      </c>
      <c r="DW29" s="187">
        <f>Яро!D60</f>
        <v>3.214</v>
      </c>
      <c r="DX29" s="187">
        <f t="shared" si="46"/>
        <v>100</v>
      </c>
      <c r="DY29" s="187">
        <f>Яро!C61</f>
        <v>71.89402</v>
      </c>
      <c r="DZ29" s="226">
        <f>Яро!D61</f>
        <v>71.89402</v>
      </c>
      <c r="EA29" s="187">
        <f t="shared" si="47"/>
        <v>100</v>
      </c>
      <c r="EB29" s="187">
        <f>Яро!C63</f>
        <v>26.623</v>
      </c>
      <c r="EC29" s="187">
        <f>Яро!D63</f>
        <v>26.623</v>
      </c>
      <c r="ED29" s="187">
        <f t="shared" si="48"/>
        <v>100</v>
      </c>
      <c r="EE29" s="189">
        <f>Яро!C68</f>
        <v>2123.362</v>
      </c>
      <c r="EF29" s="189">
        <f>Яро!D68</f>
        <v>2078.362</v>
      </c>
      <c r="EG29" s="187">
        <f t="shared" si="49"/>
        <v>97.88071934978586</v>
      </c>
      <c r="EH29" s="189">
        <f>Яро!C73</f>
        <v>418.278</v>
      </c>
      <c r="EI29" s="189">
        <f>Яро!D73</f>
        <v>409.1437</v>
      </c>
      <c r="EJ29" s="187">
        <f t="shared" si="50"/>
        <v>97.8162131405429</v>
      </c>
      <c r="EK29" s="397">
        <f>Яро!C78</f>
        <v>1227.8</v>
      </c>
      <c r="EL29" s="193">
        <f>Яро!D77</f>
        <v>1198.80519</v>
      </c>
      <c r="EM29" s="187">
        <f t="shared" si="13"/>
        <v>97.63847450724874</v>
      </c>
      <c r="EN29" s="187">
        <f>Яро!C79</f>
        <v>0</v>
      </c>
      <c r="EO29" s="187">
        <f>Яро!D79</f>
        <v>0</v>
      </c>
      <c r="EP29" s="187" t="e">
        <f t="shared" si="14"/>
        <v>#DIV/0!</v>
      </c>
      <c r="EQ29" s="188">
        <f>Яро!C84</f>
        <v>5</v>
      </c>
      <c r="ER29" s="188">
        <f>Яро!D84</f>
        <v>5</v>
      </c>
      <c r="ES29" s="187">
        <f t="shared" si="51"/>
        <v>100</v>
      </c>
      <c r="ET29" s="187">
        <f>Яро!C90</f>
        <v>0</v>
      </c>
      <c r="EU29" s="187">
        <f>Яро!D90</f>
        <v>0</v>
      </c>
      <c r="EV29" s="187" t="e">
        <f t="shared" si="52"/>
        <v>#DIV/0!</v>
      </c>
      <c r="EW29" s="194">
        <f t="shared" si="15"/>
        <v>-463.34720000000016</v>
      </c>
      <c r="EX29" s="194">
        <f t="shared" si="16"/>
        <v>-444.2647799999995</v>
      </c>
      <c r="EY29" s="187">
        <f t="shared" si="54"/>
        <v>95.88161534158388</v>
      </c>
      <c r="EZ29" s="195"/>
      <c r="FA29" s="196"/>
      <c r="FC29" s="196"/>
    </row>
    <row r="30" spans="1:159" s="172" customFormat="1" ht="17.25" customHeight="1">
      <c r="A30" s="205"/>
      <c r="B30" s="206"/>
      <c r="C30" s="186"/>
      <c r="D30" s="309"/>
      <c r="E30" s="187"/>
      <c r="F30" s="188"/>
      <c r="G30" s="189"/>
      <c r="H30" s="187"/>
      <c r="I30" s="189"/>
      <c r="J30" s="189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9"/>
      <c r="Y30" s="189"/>
      <c r="Z30" s="187"/>
      <c r="AA30" s="189"/>
      <c r="AB30" s="189"/>
      <c r="AC30" s="187"/>
      <c r="AD30" s="189"/>
      <c r="AE30" s="189"/>
      <c r="AF30" s="187"/>
      <c r="AG30" s="187"/>
      <c r="AH30" s="187"/>
      <c r="AI30" s="187"/>
      <c r="AJ30" s="187"/>
      <c r="AK30" s="187"/>
      <c r="AL30" s="187"/>
      <c r="AM30" s="189"/>
      <c r="AN30" s="189"/>
      <c r="AO30" s="187"/>
      <c r="AP30" s="189"/>
      <c r="AQ30" s="189"/>
      <c r="AR30" s="187"/>
      <c r="AS30" s="189"/>
      <c r="AT30" s="189"/>
      <c r="AU30" s="187"/>
      <c r="AV30" s="189"/>
      <c r="AW30" s="189"/>
      <c r="AX30" s="187"/>
      <c r="AY30" s="187"/>
      <c r="AZ30" s="187"/>
      <c r="BA30" s="187" t="e">
        <f t="shared" si="29"/>
        <v>#DIV/0!</v>
      </c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92"/>
      <c r="BW30" s="192"/>
      <c r="BX30" s="192"/>
      <c r="BY30" s="192"/>
      <c r="BZ30" s="207"/>
      <c r="CA30" s="189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9"/>
      <c r="CY30" s="189"/>
      <c r="CZ30" s="187"/>
      <c r="DA30" s="187"/>
      <c r="DB30" s="187"/>
      <c r="DC30" s="187"/>
      <c r="DD30" s="187"/>
      <c r="DE30" s="187"/>
      <c r="DF30" s="187"/>
      <c r="DG30" s="189"/>
      <c r="DH30" s="189"/>
      <c r="DI30" s="187"/>
      <c r="DJ30" s="189"/>
      <c r="DK30" s="20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226"/>
      <c r="EA30" s="187"/>
      <c r="EB30" s="187"/>
      <c r="EC30" s="187"/>
      <c r="ED30" s="187"/>
      <c r="EE30" s="189"/>
      <c r="EF30" s="189"/>
      <c r="EG30" s="187"/>
      <c r="EH30" s="189"/>
      <c r="EI30" s="189"/>
      <c r="EJ30" s="187"/>
      <c r="EK30" s="189"/>
      <c r="EL30" s="189"/>
      <c r="EM30" s="187"/>
      <c r="EN30" s="187"/>
      <c r="EO30" s="187"/>
      <c r="EP30" s="187"/>
      <c r="EQ30" s="188"/>
      <c r="ER30" s="188"/>
      <c r="ES30" s="187"/>
      <c r="ET30" s="187"/>
      <c r="EU30" s="187"/>
      <c r="EV30" s="187"/>
      <c r="EW30" s="194"/>
      <c r="EX30" s="194"/>
      <c r="EY30" s="187" t="e">
        <f t="shared" si="54"/>
        <v>#DIV/0!</v>
      </c>
      <c r="FA30" s="196"/>
      <c r="FC30" s="196"/>
    </row>
    <row r="31" spans="1:155" s="209" customFormat="1" ht="17.25" customHeight="1">
      <c r="A31" s="455" t="s">
        <v>182</v>
      </c>
      <c r="B31" s="456"/>
      <c r="C31" s="310">
        <f>SUM(C14:C29)</f>
        <v>98697.57019</v>
      </c>
      <c r="D31" s="310">
        <f>SUM(D14:D29)</f>
        <v>99797.90834000001</v>
      </c>
      <c r="E31" s="208">
        <f>D31/C31*100</f>
        <v>101.11485839811635</v>
      </c>
      <c r="F31" s="242">
        <f>SUM(F14:F29)</f>
        <v>36637.21761</v>
      </c>
      <c r="G31" s="241">
        <f>SUM(G14:G29)</f>
        <v>37841.48011</v>
      </c>
      <c r="H31" s="244">
        <f>G31/F31*100</f>
        <v>103.28699224056605</v>
      </c>
      <c r="I31" s="241">
        <f>SUM(I14:I29)</f>
        <v>5158.5599999999995</v>
      </c>
      <c r="J31" s="241">
        <f>SUM(J14:J29)</f>
        <v>4826.106999999999</v>
      </c>
      <c r="K31" s="244">
        <f>J31/I31*100</f>
        <v>93.55531388604571</v>
      </c>
      <c r="L31" s="244">
        <f>SUM(L14:L29)</f>
        <v>2459.5996099999998</v>
      </c>
      <c r="M31" s="244">
        <f>SUM(M14:M29)</f>
        <v>3204.31321</v>
      </c>
      <c r="N31" s="244">
        <f>M31/L31*100</f>
        <v>130.27783859503865</v>
      </c>
      <c r="O31" s="244">
        <f>SUM(O14:O29)</f>
        <v>29.339999999999996</v>
      </c>
      <c r="P31" s="244">
        <f>SUM(P14:P29)</f>
        <v>32.52912</v>
      </c>
      <c r="Q31" s="244">
        <f>P31/O31*100</f>
        <v>110.86952965235174</v>
      </c>
      <c r="R31" s="244">
        <f>SUM(R14:R29)</f>
        <v>4921.5199999999995</v>
      </c>
      <c r="S31" s="244">
        <f>SUM(S14:S29)</f>
        <v>5182.049080000002</v>
      </c>
      <c r="T31" s="244">
        <f>S31/R31*100</f>
        <v>105.29367106097307</v>
      </c>
      <c r="U31" s="244">
        <f>SUM(U14:U29)</f>
        <v>0</v>
      </c>
      <c r="V31" s="244">
        <f>SUM(V14:V29)</f>
        <v>-620.5995499999999</v>
      </c>
      <c r="W31" s="244" t="e">
        <f>V31/U31*100</f>
        <v>#DIV/0!</v>
      </c>
      <c r="X31" s="241">
        <f>SUM(X14:X29)</f>
        <v>806</v>
      </c>
      <c r="Y31" s="241">
        <f>SUM(Y14:Y29)</f>
        <v>268.05918999999994</v>
      </c>
      <c r="Z31" s="244">
        <f>Y31/X31*100</f>
        <v>33.25796401985111</v>
      </c>
      <c r="AA31" s="241">
        <f>SUM(AA14:AA29)</f>
        <v>1943</v>
      </c>
      <c r="AB31" s="241">
        <f>SUM(AB14:AB29)</f>
        <v>1856.5594900000003</v>
      </c>
      <c r="AC31" s="244">
        <f>AB31/AA31*100</f>
        <v>95.55118322182194</v>
      </c>
      <c r="AD31" s="241">
        <f>SUM(AD14:AD29)</f>
        <v>16432.75</v>
      </c>
      <c r="AE31" s="241">
        <f>SUM(AE14:AE29)</f>
        <v>17112.28498</v>
      </c>
      <c r="AF31" s="244">
        <f>AE31/AD31*100</f>
        <v>104.13524808689965</v>
      </c>
      <c r="AG31" s="311">
        <f>SUM(AG14:AG29)</f>
        <v>170</v>
      </c>
      <c r="AH31" s="244">
        <f>SUM(AH14:AH29)</f>
        <v>137.884</v>
      </c>
      <c r="AI31" s="187">
        <f t="shared" si="25"/>
        <v>81.10823529411763</v>
      </c>
      <c r="AJ31" s="241">
        <f>AJ14+AJ15+AJ16+AJ17+AJ18+AJ19+AJ20+AJ21+AJ22+AJ23+AJ24+AJ25+AJ26+AJ27+AJ28+AJ29</f>
        <v>0</v>
      </c>
      <c r="AK31" s="241">
        <f>AK14+AK15+AK16+AK17+AK18+AK19+AK20+AK21+AK22+AK23+AK24+AK25+AK26+AK27+AK28+AK29</f>
        <v>8.07236</v>
      </c>
      <c r="AL31" s="187" t="e">
        <f>AK31/AJ31*100</f>
        <v>#DIV/0!</v>
      </c>
      <c r="AM31" s="241">
        <f>SUM(AM14:AM29)</f>
        <v>0</v>
      </c>
      <c r="AN31" s="241">
        <f>SUM(AN14:AN29)</f>
        <v>0</v>
      </c>
      <c r="AO31" s="244" t="e">
        <f>AN31/AM31*100</f>
        <v>#DIV/0!</v>
      </c>
      <c r="AP31" s="241">
        <f>SUM(AP14:AP29)</f>
        <v>2660</v>
      </c>
      <c r="AQ31" s="241">
        <f>SUM(AQ14:AQ29)</f>
        <v>1883.5824200000002</v>
      </c>
      <c r="AR31" s="244">
        <f>AQ31/AP31*100</f>
        <v>70.81136917293233</v>
      </c>
      <c r="AS31" s="241">
        <f>SUM(AS14:AS29)</f>
        <v>295</v>
      </c>
      <c r="AT31" s="241">
        <f>SUM(AT14:AT29)</f>
        <v>639.0896599999999</v>
      </c>
      <c r="AU31" s="244">
        <f>AT31/AS31*100</f>
        <v>216.6405627118644</v>
      </c>
      <c r="AV31" s="241">
        <f>SUM(AV14:AV29)</f>
        <v>0</v>
      </c>
      <c r="AW31" s="241">
        <f>SUM(AW14:AW29)</f>
        <v>0</v>
      </c>
      <c r="AX31" s="244" t="e">
        <f>AW31/AV31*100</f>
        <v>#DIV/0!</v>
      </c>
      <c r="AY31" s="244">
        <f>SUM(AY14:AY29)</f>
        <v>691.904</v>
      </c>
      <c r="AZ31" s="244">
        <f>SUM(AZ14:AZ29)</f>
        <v>627.5808</v>
      </c>
      <c r="BA31" s="187">
        <f t="shared" si="29"/>
        <v>90.70345018962168</v>
      </c>
      <c r="BB31" s="187">
        <f>SUM(BB14:BB29)</f>
        <v>0</v>
      </c>
      <c r="BC31" s="187">
        <f>SUM(BC14:BC29)</f>
        <v>0</v>
      </c>
      <c r="BD31" s="187" t="e">
        <f>BC31/BB31*100</f>
        <v>#DIV/0!</v>
      </c>
      <c r="BE31" s="242">
        <f>SUM(BE14:BE29)</f>
        <v>715</v>
      </c>
      <c r="BF31" s="241">
        <f>SUM(BF14:BF29)</f>
        <v>481.09177999999997</v>
      </c>
      <c r="BG31" s="241">
        <f t="shared" si="30"/>
        <v>67.28556363636363</v>
      </c>
      <c r="BH31" s="241">
        <f>SUM(BH14:BH29)</f>
        <v>0</v>
      </c>
      <c r="BI31" s="241">
        <f>SUM(BI14:BI29)</f>
        <v>0</v>
      </c>
      <c r="BJ31" s="244" t="e">
        <f>BI31/BH31*100</f>
        <v>#DIV/0!</v>
      </c>
      <c r="BK31" s="244">
        <f>SUM(BK14:BK29)</f>
        <v>15</v>
      </c>
      <c r="BL31" s="244">
        <f>BL15+BL27+BL28+BL19+BL22+BL26+BL18</f>
        <v>14.66602</v>
      </c>
      <c r="BM31" s="244">
        <f>BL31/BK31*100</f>
        <v>97.77346666666666</v>
      </c>
      <c r="BN31" s="244">
        <f>BN14+BN15+BN16+BN17+BN18+BN19+BN20+BN21+BN22+BN23+BN24+BN25+BN26+BN27+BN28+BN29</f>
        <v>354.544</v>
      </c>
      <c r="BO31" s="244">
        <f>BO14+BO15+BO16+BO17+BO18+BO19+BO20+BO21+BO22+BO23+BO24+BO25+BO26+BO27+BO28+BO29</f>
        <v>2090.15986</v>
      </c>
      <c r="BP31" s="244">
        <f>BO31/BN31*100</f>
        <v>589.5346868089716</v>
      </c>
      <c r="BQ31" s="241">
        <f>SUM(BQ14:BQ29)</f>
        <v>0</v>
      </c>
      <c r="BR31" s="241">
        <f>SUM(BR14:BR29)</f>
        <v>112.71671</v>
      </c>
      <c r="BS31" s="244" t="e">
        <f>BR31/BQ31*100</f>
        <v>#DIV/0!</v>
      </c>
      <c r="BT31" s="244">
        <f aca="true" t="shared" si="57" ref="BT31:BY31">SUM(BT14:BT29)</f>
        <v>0</v>
      </c>
      <c r="BU31" s="244"/>
      <c r="BV31" s="244" t="e">
        <f t="shared" si="57"/>
        <v>#DIV/0!</v>
      </c>
      <c r="BW31" s="244">
        <f t="shared" si="57"/>
        <v>0</v>
      </c>
      <c r="BX31" s="244">
        <f t="shared" si="57"/>
        <v>0</v>
      </c>
      <c r="BY31" s="312" t="e">
        <f t="shared" si="57"/>
        <v>#DIV/0!</v>
      </c>
      <c r="BZ31" s="242">
        <f>SUM(BZ14:BZ29)</f>
        <v>62060.35258</v>
      </c>
      <c r="CA31" s="241">
        <f>SUM(CA14:CA29)</f>
        <v>61956.42822999999</v>
      </c>
      <c r="CB31" s="241">
        <f t="shared" si="53"/>
        <v>99.83254308801092</v>
      </c>
      <c r="CC31" s="241">
        <f>SUM(CC14:CC29)</f>
        <v>26361.9</v>
      </c>
      <c r="CD31" s="241">
        <f>SUM(CD14:CD29)</f>
        <v>26361.9</v>
      </c>
      <c r="CE31" s="241">
        <f>CD31/CC31*100</f>
        <v>100</v>
      </c>
      <c r="CF31" s="242">
        <f>SUM(CF14:CF29)</f>
        <v>6301.9055</v>
      </c>
      <c r="CG31" s="241">
        <f>SUM(CG14:CG29)</f>
        <v>6301.9055</v>
      </c>
      <c r="CH31" s="241">
        <f>CG31/CF31*100</f>
        <v>100</v>
      </c>
      <c r="CI31" s="241">
        <f>SUM(CI14:CI29)</f>
        <v>18891.089079999998</v>
      </c>
      <c r="CJ31" s="241">
        <f>SUM(CJ14:CJ29)</f>
        <v>18787.294729999998</v>
      </c>
      <c r="CK31" s="241">
        <f>CJ31/CI31*100</f>
        <v>99.45056449863503</v>
      </c>
      <c r="CL31" s="241">
        <f>SUM(CL14:CL29)</f>
        <v>7702.804</v>
      </c>
      <c r="CM31" s="241">
        <f>SUM(CM14:CM29)</f>
        <v>7702.804</v>
      </c>
      <c r="CN31" s="241">
        <f t="shared" si="11"/>
        <v>100</v>
      </c>
      <c r="CO31" s="241">
        <f>SUM(CO14:CO29)</f>
        <v>2225</v>
      </c>
      <c r="CP31" s="241">
        <f>SUM(CP14:CP29)</f>
        <v>2225</v>
      </c>
      <c r="CQ31" s="241">
        <f>CP31/CO31*100</f>
        <v>100</v>
      </c>
      <c r="CR31" s="241">
        <f>SUM(CR14:CR29)</f>
        <v>577.654</v>
      </c>
      <c r="CS31" s="241">
        <f>SUM(CS14:CS29)</f>
        <v>577.524</v>
      </c>
      <c r="CT31" s="241">
        <f t="shared" si="12"/>
        <v>99.97749517877483</v>
      </c>
      <c r="CU31" s="241">
        <f>SUM(CU14:CU29)</f>
        <v>0</v>
      </c>
      <c r="CV31" s="241">
        <f>SUM(CV14:CV29)</f>
        <v>0</v>
      </c>
      <c r="CW31" s="241" t="e">
        <f>CV31/CU31*100</f>
        <v>#DIV/0!</v>
      </c>
      <c r="CX31" s="241">
        <f>SUM(CX14:CX29)</f>
        <v>0</v>
      </c>
      <c r="CY31" s="241">
        <f>SUM(CY14:CY29)</f>
        <v>0</v>
      </c>
      <c r="CZ31" s="244" t="e">
        <f>CY31/CX31*100</f>
        <v>#DIV/0!</v>
      </c>
      <c r="DA31" s="244">
        <f>DA14+DA15+DA16+DA17+DA18+DA19+DA20+DA21+DA22+DA23+DA24+DA25+DA26+DA27+DA28+DA29</f>
        <v>0</v>
      </c>
      <c r="DB31" s="244">
        <f>DB14+DB15+DB16+DB17+DB18+DB19+DB20+DB21+DB22+DB23+DB24+DB25+DB26+DB27+DB28+DB29</f>
        <v>0</v>
      </c>
      <c r="DC31" s="244" t="e">
        <f>DB31/DA31*100</f>
        <v>#DIV/0!</v>
      </c>
      <c r="DD31" s="244">
        <f>DD14+DD15+DD16+DD17+DD18+DD19+DD20+DD21+DD22+DD23+DD24+DD25+DD26+DD27+DD28+DD29</f>
        <v>0</v>
      </c>
      <c r="DE31" s="244">
        <f>DE14+DE15+DE16+DE17+DE18+DE19+DE20+DE21+DE22+DE23+DE24+DE25+DE26+DE27+DE28+DE29</f>
        <v>0</v>
      </c>
      <c r="DF31" s="244">
        <v>0</v>
      </c>
      <c r="DG31" s="396">
        <f>SUM(DG14:DG29)</f>
        <v>106743.15049</v>
      </c>
      <c r="DH31" s="242">
        <f>SUM(DH14:DH29)</f>
        <v>102663.60749999998</v>
      </c>
      <c r="DI31" s="244">
        <f>DH31/DG31*100</f>
        <v>96.17816883680776</v>
      </c>
      <c r="DJ31" s="242">
        <f>SUM(DJ14:DJ29)</f>
        <v>19777.074</v>
      </c>
      <c r="DK31" s="242">
        <f>SUM(DK14:DK29)</f>
        <v>19094.61179</v>
      </c>
      <c r="DL31" s="244">
        <f>DK31/DJ31*100</f>
        <v>96.54922558311709</v>
      </c>
      <c r="DM31" s="241">
        <f>SUM(DM14:DM29)</f>
        <v>19191.31</v>
      </c>
      <c r="DN31" s="242">
        <f>SUM(DN14:DN29)</f>
        <v>18672.847289999998</v>
      </c>
      <c r="DO31" s="244">
        <f>DN31/DM31*100</f>
        <v>97.29845065292571</v>
      </c>
      <c r="DP31" s="241">
        <f>SUM(DP14:DP29)</f>
        <v>106.69999999999999</v>
      </c>
      <c r="DQ31" s="241">
        <f>SUM(DQ14:DQ29)</f>
        <v>106.69999999999999</v>
      </c>
      <c r="DR31" s="244">
        <f>DQ31/DP31*100</f>
        <v>100</v>
      </c>
      <c r="DS31" s="261">
        <f>SUM(DS14:DS29)</f>
        <v>89.112</v>
      </c>
      <c r="DT31" s="244">
        <f>SUM(DT14:DT29)</f>
        <v>0</v>
      </c>
      <c r="DU31" s="244">
        <f>DT31/DS31*100</f>
        <v>0</v>
      </c>
      <c r="DV31" s="244">
        <f>SUM(DV14:DV29)</f>
        <v>389.95199999999994</v>
      </c>
      <c r="DW31" s="244">
        <f>SUM(DW14:DW29)</f>
        <v>315.0645</v>
      </c>
      <c r="DX31" s="187">
        <f>DW31/DV31*100</f>
        <v>80.7957133185623</v>
      </c>
      <c r="DY31" s="244">
        <f>SUM(DY14:DY29)</f>
        <v>1677.4999999999998</v>
      </c>
      <c r="DZ31" s="261">
        <f>SUM(DZ14:DZ29)</f>
        <v>1677.4999999999998</v>
      </c>
      <c r="EA31" s="241">
        <f t="shared" si="47"/>
        <v>100</v>
      </c>
      <c r="EB31" s="261">
        <f>SUM(EB14:EB29)</f>
        <v>184.63469999999998</v>
      </c>
      <c r="EC31" s="261">
        <f>SUM(EC14:EC29)</f>
        <v>160.22030999999998</v>
      </c>
      <c r="ED31" s="187">
        <f t="shared" si="48"/>
        <v>86.7769222145133</v>
      </c>
      <c r="EE31" s="241">
        <f>SUM(EE14:EE29)</f>
        <v>37152.08559</v>
      </c>
      <c r="EF31" s="242">
        <f>SUM(EF14:EF29)</f>
        <v>35295.751350000006</v>
      </c>
      <c r="EG31" s="244">
        <f>EF31/EE31*100</f>
        <v>95.00341848776411</v>
      </c>
      <c r="EH31" s="241">
        <f>SUM(EH14:EH29)</f>
        <v>18160.1202</v>
      </c>
      <c r="EI31" s="242">
        <f>SUM(EI14:EI29)</f>
        <v>17434.19217</v>
      </c>
      <c r="EJ31" s="244">
        <f>EI31/EH31*100</f>
        <v>96.00262541213796</v>
      </c>
      <c r="EK31" s="396">
        <f>SUM(EK14:EK29)</f>
        <v>28007.129</v>
      </c>
      <c r="EL31" s="242">
        <f>SUM(EL14:EL29)</f>
        <v>27229.6151</v>
      </c>
      <c r="EM31" s="244">
        <f>EL31/EK31*100</f>
        <v>97.22387146501164</v>
      </c>
      <c r="EN31" s="242">
        <f>SUM(EN14:EN29)</f>
        <v>0</v>
      </c>
      <c r="EO31" s="242">
        <f>SUM(EO14:EO29)</f>
        <v>0</v>
      </c>
      <c r="EP31" s="244" t="e">
        <f>EO31/EN31*100</f>
        <v>#DIV/0!</v>
      </c>
      <c r="EQ31" s="241">
        <f>SUM(EQ14:EQ29)</f>
        <v>1784.6070000000002</v>
      </c>
      <c r="ER31" s="241">
        <f>SUM(ER14:ER29)</f>
        <v>1771.7167800000002</v>
      </c>
      <c r="ES31" s="244">
        <f>ER31/EQ31*100</f>
        <v>99.27769979608956</v>
      </c>
      <c r="ET31" s="244">
        <f>SUM(ET14:ET29)</f>
        <v>0</v>
      </c>
      <c r="EU31" s="311">
        <f>SUM(EU14:EU29)</f>
        <v>0</v>
      </c>
      <c r="EV31" s="187" t="e">
        <f>EU31/ET31*100</f>
        <v>#DIV/0!</v>
      </c>
      <c r="EW31" s="261">
        <f>SUM(EW14:EW29)</f>
        <v>-8045.5803</v>
      </c>
      <c r="EX31" s="244">
        <f>SUM(EX14:EX29)</f>
        <v>-2865.6991599999974</v>
      </c>
      <c r="EY31" s="187">
        <f>EX31/EW31*100</f>
        <v>35.61830288363411</v>
      </c>
    </row>
    <row r="32" spans="3:153" ht="0.75" customHeight="1">
      <c r="C32" s="210">
        <v>85422.769</v>
      </c>
      <c r="D32" s="211">
        <v>6971.8726</v>
      </c>
      <c r="F32" s="212">
        <v>29714</v>
      </c>
      <c r="G32" s="213">
        <v>2141.1016</v>
      </c>
      <c r="I32" s="213">
        <v>4023</v>
      </c>
      <c r="J32" s="213">
        <v>517.83319</v>
      </c>
      <c r="L32" s="156">
        <v>2648.3</v>
      </c>
      <c r="M32" s="214">
        <v>275.27994</v>
      </c>
      <c r="O32" s="156">
        <v>72.06</v>
      </c>
      <c r="P32" s="215">
        <v>5.59194</v>
      </c>
      <c r="R32" s="216">
        <v>5285.44</v>
      </c>
      <c r="S32" s="156">
        <v>437.64443</v>
      </c>
      <c r="V32" s="215">
        <v>-57.36651</v>
      </c>
      <c r="X32" s="213">
        <v>450</v>
      </c>
      <c r="Y32" s="213">
        <v>50.57213</v>
      </c>
      <c r="AA32" s="213">
        <v>1552</v>
      </c>
      <c r="AB32" s="213">
        <v>33.92976</v>
      </c>
      <c r="AD32" s="213">
        <v>14314</v>
      </c>
      <c r="AE32" s="217">
        <v>765.26734</v>
      </c>
      <c r="AG32" s="213">
        <v>264</v>
      </c>
      <c r="AH32" s="213">
        <v>28.45</v>
      </c>
      <c r="AJ32" s="213"/>
      <c r="AK32" s="217">
        <v>4.11301</v>
      </c>
      <c r="AM32" s="213">
        <v>2902</v>
      </c>
      <c r="AN32" s="213"/>
      <c r="AP32" s="156">
        <v>400</v>
      </c>
      <c r="AQ32" s="156">
        <v>102</v>
      </c>
      <c r="AS32" s="218">
        <v>325.2</v>
      </c>
      <c r="AT32" s="218">
        <v>34.62641</v>
      </c>
      <c r="AY32" s="215"/>
      <c r="AZ32" s="215"/>
      <c r="BC32" s="219"/>
      <c r="BE32" s="220">
        <v>380</v>
      </c>
      <c r="BF32" s="213">
        <v>0</v>
      </c>
      <c r="BH32" s="221"/>
      <c r="BI32" s="213"/>
      <c r="BL32" s="220"/>
      <c r="BN32" s="213"/>
      <c r="BO32" s="213">
        <v>20</v>
      </c>
      <c r="BQ32" s="216"/>
      <c r="BR32" s="218">
        <v>13.81555</v>
      </c>
      <c r="BZ32" s="222">
        <v>55708.769</v>
      </c>
      <c r="CA32" s="213">
        <v>4830.771</v>
      </c>
      <c r="CC32" s="220">
        <v>26193.4</v>
      </c>
      <c r="CD32" s="220">
        <v>4365.583</v>
      </c>
      <c r="CE32" s="218"/>
      <c r="CF32" s="222">
        <v>2800</v>
      </c>
      <c r="CG32" s="213">
        <v>0</v>
      </c>
      <c r="CH32" s="218"/>
      <c r="CI32" s="213">
        <v>20988.289</v>
      </c>
      <c r="CJ32" s="213">
        <v>226.788</v>
      </c>
      <c r="CK32" s="218"/>
      <c r="CL32" s="213">
        <v>5727.08</v>
      </c>
      <c r="CM32" s="213">
        <v>238.4</v>
      </c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DA32" s="216"/>
      <c r="DB32" s="216"/>
      <c r="DD32" s="212"/>
      <c r="DE32" s="222">
        <v>0</v>
      </c>
      <c r="DG32" s="222">
        <v>86467.619</v>
      </c>
      <c r="DH32" s="222">
        <v>8044.31396</v>
      </c>
      <c r="DJ32" s="218">
        <v>18659.286</v>
      </c>
      <c r="DK32" s="212">
        <v>1993.65421</v>
      </c>
      <c r="DM32" s="213">
        <v>18579.286</v>
      </c>
      <c r="DN32" s="213">
        <v>1993.65421</v>
      </c>
      <c r="DP32" s="222"/>
      <c r="DQ32" s="220"/>
      <c r="DS32" s="213">
        <v>80</v>
      </c>
      <c r="DT32" s="213"/>
      <c r="DV32" s="213">
        <v>0</v>
      </c>
      <c r="DW32" s="222">
        <v>0</v>
      </c>
      <c r="DY32" s="212">
        <v>1682.5</v>
      </c>
      <c r="DZ32" s="212">
        <v>141.5366</v>
      </c>
      <c r="EB32" s="213">
        <v>191.3</v>
      </c>
      <c r="EC32" s="222">
        <v>8.5</v>
      </c>
      <c r="EE32" s="218">
        <v>29388.389</v>
      </c>
      <c r="EF32" s="212">
        <v>1077.71337</v>
      </c>
      <c r="EH32" s="212">
        <v>15404.812</v>
      </c>
      <c r="EI32" s="212">
        <v>1328.94025</v>
      </c>
      <c r="EK32" s="212">
        <v>24128.7</v>
      </c>
      <c r="EL32" s="212">
        <v>3489.17053</v>
      </c>
      <c r="EN32" s="213">
        <v>0</v>
      </c>
      <c r="EO32" s="213">
        <v>0</v>
      </c>
      <c r="EQ32" s="213">
        <v>112</v>
      </c>
      <c r="ER32" s="223">
        <v>4.8</v>
      </c>
      <c r="ET32" s="213"/>
      <c r="EU32" s="213"/>
      <c r="EW32" s="218"/>
    </row>
    <row r="33" spans="3:155" ht="27" customHeight="1" hidden="1">
      <c r="C33" s="213">
        <f>C32-C31</f>
        <v>-13274.801189999998</v>
      </c>
      <c r="D33" s="213">
        <f aca="true" t="shared" si="58" ref="D33:BO33">D32-D31</f>
        <v>-92826.03574</v>
      </c>
      <c r="E33" s="213"/>
      <c r="F33" s="213">
        <f t="shared" si="58"/>
        <v>-6923.21761</v>
      </c>
      <c r="G33" s="213">
        <f t="shared" si="58"/>
        <v>-35700.378509999995</v>
      </c>
      <c r="H33" s="213"/>
      <c r="I33" s="213">
        <f t="shared" si="58"/>
        <v>-1135.5599999999995</v>
      </c>
      <c r="J33" s="213">
        <f t="shared" si="58"/>
        <v>-4308.273809999999</v>
      </c>
      <c r="K33" s="213"/>
      <c r="L33" s="213">
        <f t="shared" si="58"/>
        <v>188.70039000000043</v>
      </c>
      <c r="M33" s="213">
        <f t="shared" si="58"/>
        <v>-2929.03327</v>
      </c>
      <c r="N33" s="213"/>
      <c r="O33" s="213">
        <f t="shared" si="58"/>
        <v>42.720000000000006</v>
      </c>
      <c r="P33" s="213">
        <f t="shared" si="58"/>
        <v>-26.937179999999998</v>
      </c>
      <c r="Q33" s="213"/>
      <c r="R33" s="213">
        <f t="shared" si="58"/>
        <v>363.9200000000001</v>
      </c>
      <c r="S33" s="213">
        <f t="shared" si="58"/>
        <v>-4744.404650000001</v>
      </c>
      <c r="T33" s="213"/>
      <c r="U33" s="213">
        <f t="shared" si="58"/>
        <v>0</v>
      </c>
      <c r="V33" s="213">
        <f t="shared" si="58"/>
        <v>563.23304</v>
      </c>
      <c r="W33" s="213" t="e">
        <f t="shared" si="58"/>
        <v>#DIV/0!</v>
      </c>
      <c r="X33" s="213">
        <f t="shared" si="58"/>
        <v>-356</v>
      </c>
      <c r="Y33" s="213">
        <f t="shared" si="58"/>
        <v>-217.48705999999993</v>
      </c>
      <c r="Z33" s="213"/>
      <c r="AA33" s="213">
        <f t="shared" si="58"/>
        <v>-391</v>
      </c>
      <c r="AB33" s="213">
        <f t="shared" si="58"/>
        <v>-1822.6297300000003</v>
      </c>
      <c r="AC33" s="213"/>
      <c r="AD33" s="213">
        <f t="shared" si="58"/>
        <v>-2118.75</v>
      </c>
      <c r="AE33" s="213">
        <f t="shared" si="58"/>
        <v>-16347.01764</v>
      </c>
      <c r="AF33" s="213"/>
      <c r="AG33" s="213">
        <f t="shared" si="58"/>
        <v>94</v>
      </c>
      <c r="AH33" s="213">
        <f t="shared" si="58"/>
        <v>-109.43399999999998</v>
      </c>
      <c r="AI33" s="213"/>
      <c r="AJ33" s="213">
        <f t="shared" si="58"/>
        <v>0</v>
      </c>
      <c r="AK33" s="213">
        <f t="shared" si="58"/>
        <v>-3.9593499999999997</v>
      </c>
      <c r="AL33" s="213"/>
      <c r="AM33" s="213">
        <f t="shared" si="58"/>
        <v>2902</v>
      </c>
      <c r="AN33" s="213">
        <f t="shared" si="58"/>
        <v>0</v>
      </c>
      <c r="AO33" s="213" t="e">
        <f t="shared" si="58"/>
        <v>#DIV/0!</v>
      </c>
      <c r="AP33" s="213">
        <f t="shared" si="58"/>
        <v>-2260</v>
      </c>
      <c r="AQ33" s="213">
        <f t="shared" si="58"/>
        <v>-1781.5824200000002</v>
      </c>
      <c r="AR33" s="213"/>
      <c r="AS33" s="213">
        <f t="shared" si="58"/>
        <v>30.19999999999999</v>
      </c>
      <c r="AT33" s="213">
        <f t="shared" si="58"/>
        <v>-604.4632499999999</v>
      </c>
      <c r="AU33" s="213"/>
      <c r="AV33" s="213">
        <f t="shared" si="58"/>
        <v>0</v>
      </c>
      <c r="AW33" s="213">
        <f t="shared" si="58"/>
        <v>0</v>
      </c>
      <c r="AX33" s="213" t="e">
        <f t="shared" si="58"/>
        <v>#DIV/0!</v>
      </c>
      <c r="AY33" s="213">
        <f t="shared" si="58"/>
        <v>-691.904</v>
      </c>
      <c r="AZ33" s="213">
        <f t="shared" si="58"/>
        <v>-627.5808</v>
      </c>
      <c r="BA33" s="213"/>
      <c r="BB33" s="213">
        <f t="shared" si="58"/>
        <v>0</v>
      </c>
      <c r="BC33" s="213">
        <f t="shared" si="58"/>
        <v>0</v>
      </c>
      <c r="BD33" s="213" t="e">
        <f t="shared" si="58"/>
        <v>#DIV/0!</v>
      </c>
      <c r="BE33" s="213">
        <f t="shared" si="58"/>
        <v>-335</v>
      </c>
      <c r="BF33" s="213">
        <f t="shared" si="58"/>
        <v>-481.09177999999997</v>
      </c>
      <c r="BG33" s="213">
        <f t="shared" si="58"/>
        <v>-67.28556363636363</v>
      </c>
      <c r="BH33" s="213">
        <f t="shared" si="58"/>
        <v>0</v>
      </c>
      <c r="BI33" s="213">
        <f t="shared" si="58"/>
        <v>0</v>
      </c>
      <c r="BJ33" s="213" t="e">
        <f t="shared" si="58"/>
        <v>#DIV/0!</v>
      </c>
      <c r="BK33" s="213">
        <f t="shared" si="58"/>
        <v>-15</v>
      </c>
      <c r="BL33" s="213">
        <f t="shared" si="58"/>
        <v>-14.66602</v>
      </c>
      <c r="BM33" s="213">
        <f t="shared" si="58"/>
        <v>-97.77346666666666</v>
      </c>
      <c r="BN33" s="213">
        <f t="shared" si="58"/>
        <v>-354.544</v>
      </c>
      <c r="BO33" s="213">
        <f t="shared" si="58"/>
        <v>-2070.15986</v>
      </c>
      <c r="BP33" s="213"/>
      <c r="BQ33" s="213">
        <f aca="true" t="shared" si="59" ref="BQ33:DZ33">BQ32-BQ31</f>
        <v>0</v>
      </c>
      <c r="BR33" s="213">
        <f t="shared" si="59"/>
        <v>-98.90116</v>
      </c>
      <c r="BS33" s="213"/>
      <c r="BT33" s="213">
        <f t="shared" si="59"/>
        <v>0</v>
      </c>
      <c r="BU33" s="213">
        <f t="shared" si="59"/>
        <v>0</v>
      </c>
      <c r="BV33" s="213" t="e">
        <f t="shared" si="59"/>
        <v>#DIV/0!</v>
      </c>
      <c r="BW33" s="213">
        <f t="shared" si="59"/>
        <v>0</v>
      </c>
      <c r="BX33" s="213">
        <f t="shared" si="59"/>
        <v>0</v>
      </c>
      <c r="BY33" s="213" t="e">
        <f t="shared" si="59"/>
        <v>#DIV/0!</v>
      </c>
      <c r="BZ33" s="213">
        <f t="shared" si="59"/>
        <v>-6351.583579999999</v>
      </c>
      <c r="CA33" s="213">
        <f t="shared" si="59"/>
        <v>-57125.65722999999</v>
      </c>
      <c r="CB33" s="213"/>
      <c r="CC33" s="213">
        <f t="shared" si="59"/>
        <v>-168.5</v>
      </c>
      <c r="CD33" s="213">
        <f t="shared" si="59"/>
        <v>-21996.317000000003</v>
      </c>
      <c r="CE33" s="213"/>
      <c r="CF33" s="213">
        <f t="shared" si="59"/>
        <v>-3501.9055</v>
      </c>
      <c r="CG33" s="213">
        <f t="shared" si="59"/>
        <v>-6301.9055</v>
      </c>
      <c r="CH33" s="213"/>
      <c r="CI33" s="213">
        <f t="shared" si="59"/>
        <v>2097.1999200000027</v>
      </c>
      <c r="CJ33" s="213">
        <f t="shared" si="59"/>
        <v>-18560.506729999997</v>
      </c>
      <c r="CK33" s="213"/>
      <c r="CL33" s="213">
        <f t="shared" si="59"/>
        <v>-1975.7240000000002</v>
      </c>
      <c r="CM33" s="213">
        <f t="shared" si="59"/>
        <v>-7464.404</v>
      </c>
      <c r="CN33" s="213"/>
      <c r="CO33" s="213">
        <f t="shared" si="59"/>
        <v>-2225</v>
      </c>
      <c r="CP33" s="213">
        <f t="shared" si="59"/>
        <v>-2225</v>
      </c>
      <c r="CQ33" s="213"/>
      <c r="CR33" s="213">
        <f t="shared" si="59"/>
        <v>-577.654</v>
      </c>
      <c r="CS33" s="213">
        <f t="shared" si="59"/>
        <v>-577.524</v>
      </c>
      <c r="CT33" s="213"/>
      <c r="CU33" s="213">
        <f t="shared" si="59"/>
        <v>0</v>
      </c>
      <c r="CV33" s="213">
        <f t="shared" si="59"/>
        <v>0</v>
      </c>
      <c r="CW33" s="213" t="e">
        <f t="shared" si="59"/>
        <v>#DIV/0!</v>
      </c>
      <c r="CX33" s="213">
        <f t="shared" si="59"/>
        <v>0</v>
      </c>
      <c r="CY33" s="213">
        <f t="shared" si="59"/>
        <v>0</v>
      </c>
      <c r="CZ33" s="213" t="e">
        <f t="shared" si="59"/>
        <v>#DIV/0!</v>
      </c>
      <c r="DA33" s="213">
        <f t="shared" si="59"/>
        <v>0</v>
      </c>
      <c r="DB33" s="213">
        <f t="shared" si="59"/>
        <v>0</v>
      </c>
      <c r="DC33" s="213" t="e">
        <f t="shared" si="59"/>
        <v>#DIV/0!</v>
      </c>
      <c r="DD33" s="213">
        <f t="shared" si="59"/>
        <v>0</v>
      </c>
      <c r="DE33" s="213">
        <f t="shared" si="59"/>
        <v>0</v>
      </c>
      <c r="DF33" s="213">
        <f t="shared" si="59"/>
        <v>0</v>
      </c>
      <c r="DG33" s="213">
        <f t="shared" si="59"/>
        <v>-20275.531489999994</v>
      </c>
      <c r="DH33" s="213">
        <f t="shared" si="59"/>
        <v>-94619.29353999998</v>
      </c>
      <c r="DI33" s="213"/>
      <c r="DJ33" s="213">
        <f t="shared" si="59"/>
        <v>-1117.7880000000005</v>
      </c>
      <c r="DK33" s="213">
        <f t="shared" si="59"/>
        <v>-17100.95758</v>
      </c>
      <c r="DL33" s="213"/>
      <c r="DM33" s="213">
        <f t="shared" si="59"/>
        <v>-612.0240000000013</v>
      </c>
      <c r="DN33" s="213">
        <f t="shared" si="59"/>
        <v>-16679.193079999997</v>
      </c>
      <c r="DO33" s="213"/>
      <c r="DP33" s="213">
        <f t="shared" si="59"/>
        <v>-106.69999999999999</v>
      </c>
      <c r="DQ33" s="213">
        <f t="shared" si="59"/>
        <v>-106.69999999999999</v>
      </c>
      <c r="DR33" s="213">
        <f t="shared" si="59"/>
        <v>-100</v>
      </c>
      <c r="DS33" s="213">
        <f t="shared" si="59"/>
        <v>-9.111999999999995</v>
      </c>
      <c r="DT33" s="213">
        <f t="shared" si="59"/>
        <v>0</v>
      </c>
      <c r="DU33" s="213">
        <f t="shared" si="59"/>
        <v>0</v>
      </c>
      <c r="DV33" s="213">
        <f t="shared" si="59"/>
        <v>-389.95199999999994</v>
      </c>
      <c r="DW33" s="213">
        <f t="shared" si="59"/>
        <v>-315.0645</v>
      </c>
      <c r="DX33" s="213"/>
      <c r="DY33" s="213">
        <f t="shared" si="59"/>
        <v>5.000000000000227</v>
      </c>
      <c r="DZ33" s="213">
        <f t="shared" si="59"/>
        <v>-1535.9633999999999</v>
      </c>
      <c r="EA33" s="213"/>
      <c r="EB33" s="213">
        <f aca="true" t="shared" si="60" ref="EB33:EX33">EB32-EB31</f>
        <v>6.66530000000003</v>
      </c>
      <c r="EC33" s="213">
        <f t="shared" si="60"/>
        <v>-151.72030999999998</v>
      </c>
      <c r="ED33" s="213"/>
      <c r="EE33" s="213">
        <f t="shared" si="60"/>
        <v>-7763.696590000003</v>
      </c>
      <c r="EF33" s="213">
        <f t="shared" si="60"/>
        <v>-34218.03798000001</v>
      </c>
      <c r="EG33" s="213"/>
      <c r="EH33" s="213">
        <f t="shared" si="60"/>
        <v>-2755.3082000000013</v>
      </c>
      <c r="EI33" s="213">
        <f t="shared" si="60"/>
        <v>-16105.251919999999</v>
      </c>
      <c r="EJ33" s="213"/>
      <c r="EK33" s="213">
        <f t="shared" si="60"/>
        <v>-3878.429</v>
      </c>
      <c r="EL33" s="213">
        <f t="shared" si="60"/>
        <v>-23740.44457</v>
      </c>
      <c r="EM33" s="213"/>
      <c r="EN33" s="213">
        <f t="shared" si="60"/>
        <v>0</v>
      </c>
      <c r="EO33" s="213">
        <f t="shared" si="60"/>
        <v>0</v>
      </c>
      <c r="EP33" s="213"/>
      <c r="EQ33" s="213">
        <f t="shared" si="60"/>
        <v>-1672.6070000000002</v>
      </c>
      <c r="ER33" s="213">
        <f t="shared" si="60"/>
        <v>-1766.9167800000002</v>
      </c>
      <c r="ES33" s="213"/>
      <c r="ET33" s="213">
        <f t="shared" si="60"/>
        <v>0</v>
      </c>
      <c r="EU33" s="213">
        <f t="shared" si="60"/>
        <v>0</v>
      </c>
      <c r="EV33" s="213"/>
      <c r="EW33" s="213">
        <f t="shared" si="60"/>
        <v>8045.5803</v>
      </c>
      <c r="EX33" s="213">
        <f t="shared" si="60"/>
        <v>2865.6991599999974</v>
      </c>
      <c r="EY33" s="213"/>
    </row>
    <row r="34" spans="3:148" ht="21.75" customHeight="1">
      <c r="C34" s="156">
        <v>98697.57019</v>
      </c>
      <c r="D34" s="227">
        <v>99797.90834</v>
      </c>
      <c r="F34" s="156">
        <v>36637.21761</v>
      </c>
      <c r="G34" s="156">
        <v>37841.48011</v>
      </c>
      <c r="I34" s="216">
        <v>5158.56</v>
      </c>
      <c r="J34" s="215">
        <v>4826.107</v>
      </c>
      <c r="L34" s="156">
        <v>2459.59961</v>
      </c>
      <c r="M34" s="156">
        <v>3204.31321</v>
      </c>
      <c r="O34" s="156">
        <v>29.34</v>
      </c>
      <c r="P34" s="156">
        <v>32.52912</v>
      </c>
      <c r="R34" s="156">
        <v>4921.52</v>
      </c>
      <c r="S34" s="156">
        <v>5182.04908</v>
      </c>
      <c r="V34" s="156">
        <v>-620.59955</v>
      </c>
      <c r="X34" s="156">
        <v>806</v>
      </c>
      <c r="Y34" s="213">
        <v>268.05919</v>
      </c>
      <c r="AA34" s="156">
        <v>1943</v>
      </c>
      <c r="AB34" s="156">
        <v>1856.55949</v>
      </c>
      <c r="AD34" s="156">
        <v>16432.75</v>
      </c>
      <c r="AE34" s="156">
        <v>17112.28498</v>
      </c>
      <c r="AG34" s="156">
        <v>170</v>
      </c>
      <c r="AH34" s="156">
        <v>137.884</v>
      </c>
      <c r="AK34" s="156">
        <v>8.07236</v>
      </c>
      <c r="AN34" s="213"/>
      <c r="AP34" s="156">
        <v>2660</v>
      </c>
      <c r="AQ34" s="156">
        <v>1883.58242</v>
      </c>
      <c r="AS34" s="156">
        <v>295</v>
      </c>
      <c r="AT34" s="156">
        <v>639.08966</v>
      </c>
      <c r="AY34" s="156">
        <v>691.904</v>
      </c>
      <c r="AZ34" s="156">
        <v>627.5808</v>
      </c>
      <c r="BE34" s="156">
        <v>715</v>
      </c>
      <c r="BF34" s="156">
        <v>481.09178</v>
      </c>
      <c r="BN34" s="156">
        <v>354.544</v>
      </c>
      <c r="BO34" s="156">
        <v>2090.15986</v>
      </c>
      <c r="BR34" s="240">
        <v>112.71671</v>
      </c>
      <c r="BZ34" s="156">
        <v>62060.35258</v>
      </c>
      <c r="CA34" s="156">
        <v>61956.42823</v>
      </c>
      <c r="CC34" s="156">
        <v>26361.9</v>
      </c>
      <c r="CD34" s="156">
        <v>26361.9</v>
      </c>
      <c r="CF34" s="156">
        <v>6301.9055</v>
      </c>
      <c r="CG34" s="156">
        <v>6301.9055</v>
      </c>
      <c r="CI34" s="214">
        <v>18891.08908</v>
      </c>
      <c r="CJ34" s="156">
        <v>18787.29473</v>
      </c>
      <c r="CL34" s="156">
        <v>7702.804</v>
      </c>
      <c r="CM34" s="156">
        <v>7702.804</v>
      </c>
      <c r="CO34" s="156">
        <v>2225</v>
      </c>
      <c r="CP34" s="156">
        <v>2225</v>
      </c>
      <c r="CR34" s="156">
        <v>577.654</v>
      </c>
      <c r="CS34" s="156">
        <v>577.524</v>
      </c>
      <c r="DG34" s="215">
        <v>106743.15049</v>
      </c>
      <c r="DH34" s="215">
        <v>102663.6075</v>
      </c>
      <c r="DJ34" s="156">
        <v>19777.074</v>
      </c>
      <c r="DK34" s="213"/>
      <c r="EB34" s="156">
        <v>184.6347</v>
      </c>
      <c r="EE34" s="156">
        <v>37152.08559</v>
      </c>
      <c r="EH34" s="156">
        <v>18160.1202</v>
      </c>
      <c r="EK34" s="156">
        <v>28007.129</v>
      </c>
      <c r="EQ34" s="156">
        <v>1784.607</v>
      </c>
      <c r="ER34" s="156">
        <v>1771.71678</v>
      </c>
    </row>
    <row r="35" spans="3:154" s="224" customFormat="1" ht="27.75" customHeight="1">
      <c r="C35" s="224">
        <f>C34-C31</f>
        <v>0</v>
      </c>
      <c r="D35" s="224">
        <f aca="true" t="shared" si="61" ref="D35:BO35">D34-D31</f>
        <v>0</v>
      </c>
      <c r="F35" s="224">
        <f t="shared" si="61"/>
        <v>0</v>
      </c>
      <c r="G35" s="224">
        <f t="shared" si="61"/>
        <v>0</v>
      </c>
      <c r="I35" s="224">
        <f t="shared" si="61"/>
        <v>0</v>
      </c>
      <c r="J35" s="224">
        <f t="shared" si="61"/>
        <v>0</v>
      </c>
      <c r="L35" s="224">
        <f t="shared" si="61"/>
        <v>0</v>
      </c>
      <c r="M35" s="224">
        <f t="shared" si="61"/>
        <v>0</v>
      </c>
      <c r="O35" s="224">
        <f t="shared" si="61"/>
        <v>0</v>
      </c>
      <c r="P35" s="224">
        <f t="shared" si="61"/>
        <v>0</v>
      </c>
      <c r="R35" s="224">
        <f t="shared" si="61"/>
        <v>0</v>
      </c>
      <c r="S35" s="224">
        <f t="shared" si="61"/>
        <v>0</v>
      </c>
      <c r="U35" s="224">
        <f t="shared" si="61"/>
        <v>0</v>
      </c>
      <c r="V35" s="224">
        <f t="shared" si="61"/>
        <v>0</v>
      </c>
      <c r="X35" s="224">
        <f t="shared" si="61"/>
        <v>0</v>
      </c>
      <c r="Y35" s="224">
        <f t="shared" si="61"/>
        <v>0</v>
      </c>
      <c r="AA35" s="224">
        <f t="shared" si="61"/>
        <v>0</v>
      </c>
      <c r="AB35" s="224">
        <f t="shared" si="61"/>
        <v>0</v>
      </c>
      <c r="AD35" s="224">
        <f t="shared" si="61"/>
        <v>0</v>
      </c>
      <c r="AE35" s="224">
        <f t="shared" si="61"/>
        <v>0</v>
      </c>
      <c r="AG35" s="224">
        <f t="shared" si="61"/>
        <v>0</v>
      </c>
      <c r="AH35" s="224">
        <f t="shared" si="61"/>
        <v>0</v>
      </c>
      <c r="AJ35" s="224">
        <f t="shared" si="61"/>
        <v>0</v>
      </c>
      <c r="AK35" s="224">
        <f t="shared" si="61"/>
        <v>0</v>
      </c>
      <c r="AM35" s="224">
        <f t="shared" si="61"/>
        <v>0</v>
      </c>
      <c r="AN35" s="224">
        <f t="shared" si="61"/>
        <v>0</v>
      </c>
      <c r="AP35" s="224">
        <f t="shared" si="61"/>
        <v>0</v>
      </c>
      <c r="AQ35" s="224">
        <f t="shared" si="61"/>
        <v>0</v>
      </c>
      <c r="AS35" s="224">
        <f t="shared" si="61"/>
        <v>0</v>
      </c>
      <c r="AT35" s="224">
        <f t="shared" si="61"/>
        <v>0</v>
      </c>
      <c r="AV35" s="224">
        <f t="shared" si="61"/>
        <v>0</v>
      </c>
      <c r="AW35" s="224">
        <f t="shared" si="61"/>
        <v>0</v>
      </c>
      <c r="AX35" s="224" t="e">
        <f t="shared" si="61"/>
        <v>#DIV/0!</v>
      </c>
      <c r="AY35" s="224">
        <f t="shared" si="61"/>
        <v>0</v>
      </c>
      <c r="AZ35" s="224">
        <f t="shared" si="61"/>
        <v>0</v>
      </c>
      <c r="BB35" s="224">
        <f t="shared" si="61"/>
        <v>0</v>
      </c>
      <c r="BC35" s="224">
        <f t="shared" si="61"/>
        <v>0</v>
      </c>
      <c r="BD35" s="224" t="e">
        <f t="shared" si="61"/>
        <v>#DIV/0!</v>
      </c>
      <c r="BE35" s="224">
        <f t="shared" si="61"/>
        <v>0</v>
      </c>
      <c r="BF35" s="224">
        <f t="shared" si="61"/>
        <v>0</v>
      </c>
      <c r="BH35" s="224">
        <f t="shared" si="61"/>
        <v>0</v>
      </c>
      <c r="BI35" s="224">
        <f t="shared" si="61"/>
        <v>0</v>
      </c>
      <c r="BJ35" s="224" t="e">
        <f t="shared" si="61"/>
        <v>#DIV/0!</v>
      </c>
      <c r="BK35" s="224">
        <f t="shared" si="61"/>
        <v>-15</v>
      </c>
      <c r="BL35" s="224">
        <f t="shared" si="61"/>
        <v>-14.66602</v>
      </c>
      <c r="BM35" s="224">
        <f t="shared" si="61"/>
        <v>-97.77346666666666</v>
      </c>
      <c r="BN35" s="224">
        <f t="shared" si="61"/>
        <v>0</v>
      </c>
      <c r="BO35" s="224">
        <f t="shared" si="61"/>
        <v>0</v>
      </c>
      <c r="BQ35" s="224">
        <f aca="true" t="shared" si="62" ref="BQ35:DZ35">BQ34-BQ31</f>
        <v>0</v>
      </c>
      <c r="BR35" s="224">
        <f t="shared" si="62"/>
        <v>0</v>
      </c>
      <c r="BT35" s="224">
        <f t="shared" si="62"/>
        <v>0</v>
      </c>
      <c r="BU35" s="224">
        <f t="shared" si="62"/>
        <v>0</v>
      </c>
      <c r="BV35" s="224" t="e">
        <f t="shared" si="62"/>
        <v>#DIV/0!</v>
      </c>
      <c r="BW35" s="224">
        <f t="shared" si="62"/>
        <v>0</v>
      </c>
      <c r="BX35" s="224">
        <f t="shared" si="62"/>
        <v>0</v>
      </c>
      <c r="BY35" s="224" t="e">
        <f t="shared" si="62"/>
        <v>#DIV/0!</v>
      </c>
      <c r="BZ35" s="224">
        <f t="shared" si="62"/>
        <v>0</v>
      </c>
      <c r="CA35" s="224">
        <f t="shared" si="62"/>
        <v>0</v>
      </c>
      <c r="CC35" s="224">
        <f t="shared" si="62"/>
        <v>0</v>
      </c>
      <c r="CD35" s="224">
        <f t="shared" si="62"/>
        <v>0</v>
      </c>
      <c r="CF35" s="224">
        <f t="shared" si="62"/>
        <v>0</v>
      </c>
      <c r="CG35" s="224">
        <f t="shared" si="62"/>
        <v>0</v>
      </c>
      <c r="CI35" s="224">
        <f t="shared" si="62"/>
        <v>0</v>
      </c>
      <c r="CJ35" s="224">
        <f t="shared" si="62"/>
        <v>0</v>
      </c>
      <c r="CL35" s="224">
        <f t="shared" si="62"/>
        <v>0</v>
      </c>
      <c r="CM35" s="224">
        <f t="shared" si="62"/>
        <v>0</v>
      </c>
      <c r="CO35" s="224">
        <f t="shared" si="62"/>
        <v>0</v>
      </c>
      <c r="CP35" s="224">
        <f t="shared" si="62"/>
        <v>0</v>
      </c>
      <c r="CR35" s="224">
        <f t="shared" si="62"/>
        <v>0</v>
      </c>
      <c r="CS35" s="224">
        <f t="shared" si="62"/>
        <v>0</v>
      </c>
      <c r="CU35" s="224">
        <f t="shared" si="62"/>
        <v>0</v>
      </c>
      <c r="CV35" s="224">
        <f t="shared" si="62"/>
        <v>0</v>
      </c>
      <c r="CW35" s="224" t="e">
        <f t="shared" si="62"/>
        <v>#DIV/0!</v>
      </c>
      <c r="CX35" s="224">
        <f t="shared" si="62"/>
        <v>0</v>
      </c>
      <c r="CY35" s="224">
        <f t="shared" si="62"/>
        <v>0</v>
      </c>
      <c r="CZ35" s="224" t="e">
        <f t="shared" si="62"/>
        <v>#DIV/0!</v>
      </c>
      <c r="DA35" s="224">
        <f t="shared" si="62"/>
        <v>0</v>
      </c>
      <c r="DB35" s="224">
        <f t="shared" si="62"/>
        <v>0</v>
      </c>
      <c r="DC35" s="224" t="e">
        <f t="shared" si="62"/>
        <v>#DIV/0!</v>
      </c>
      <c r="DD35" s="224">
        <f t="shared" si="62"/>
        <v>0</v>
      </c>
      <c r="DE35" s="224">
        <f t="shared" si="62"/>
        <v>0</v>
      </c>
      <c r="DG35" s="224">
        <f t="shared" si="62"/>
        <v>0</v>
      </c>
      <c r="DH35" s="224">
        <f t="shared" si="62"/>
        <v>0</v>
      </c>
      <c r="DJ35" s="224">
        <f t="shared" si="62"/>
        <v>0</v>
      </c>
      <c r="DK35" s="224">
        <f t="shared" si="62"/>
        <v>-19094.61179</v>
      </c>
      <c r="DM35" s="224">
        <f t="shared" si="62"/>
        <v>-19191.31</v>
      </c>
      <c r="DN35" s="224">
        <f t="shared" si="62"/>
        <v>-18672.847289999998</v>
      </c>
      <c r="DP35" s="224">
        <f t="shared" si="62"/>
        <v>-106.69999999999999</v>
      </c>
      <c r="DQ35" s="224">
        <f t="shared" si="62"/>
        <v>-106.69999999999999</v>
      </c>
      <c r="DS35" s="224">
        <f t="shared" si="62"/>
        <v>-89.112</v>
      </c>
      <c r="DT35" s="224">
        <f t="shared" si="62"/>
        <v>0</v>
      </c>
      <c r="DV35" s="224">
        <f t="shared" si="62"/>
        <v>-389.95199999999994</v>
      </c>
      <c r="DW35" s="224">
        <f t="shared" si="62"/>
        <v>-315.0645</v>
      </c>
      <c r="DY35" s="224">
        <f t="shared" si="62"/>
        <v>-1677.4999999999998</v>
      </c>
      <c r="DZ35" s="224">
        <f t="shared" si="62"/>
        <v>-1677.4999999999998</v>
      </c>
      <c r="EB35" s="224">
        <f aca="true" t="shared" si="63" ref="EB35:EX35">EB34-EB31</f>
        <v>0</v>
      </c>
      <c r="EC35" s="224">
        <f t="shared" si="63"/>
        <v>-160.22030999999998</v>
      </c>
      <c r="EE35" s="224">
        <f t="shared" si="63"/>
        <v>0</v>
      </c>
      <c r="EF35" s="224">
        <f t="shared" si="63"/>
        <v>-35295.751350000006</v>
      </c>
      <c r="EH35" s="224">
        <f t="shared" si="63"/>
        <v>0</v>
      </c>
      <c r="EI35" s="224">
        <f t="shared" si="63"/>
        <v>-17434.19217</v>
      </c>
      <c r="EK35" s="224">
        <f t="shared" si="63"/>
        <v>0</v>
      </c>
      <c r="EL35" s="224">
        <f t="shared" si="63"/>
        <v>-27229.6151</v>
      </c>
      <c r="EN35" s="224">
        <f t="shared" si="63"/>
        <v>0</v>
      </c>
      <c r="EO35" s="224">
        <f t="shared" si="63"/>
        <v>0</v>
      </c>
      <c r="EQ35" s="224">
        <f t="shared" si="63"/>
        <v>0</v>
      </c>
      <c r="ER35" s="224">
        <f t="shared" si="63"/>
        <v>0</v>
      </c>
      <c r="ET35" s="224">
        <f t="shared" si="63"/>
        <v>0</v>
      </c>
      <c r="EU35" s="224">
        <f t="shared" si="63"/>
        <v>0</v>
      </c>
      <c r="EW35" s="224">
        <f t="shared" si="63"/>
        <v>8045.5803</v>
      </c>
      <c r="EX35" s="224">
        <f t="shared" si="63"/>
        <v>2865.6991599999974</v>
      </c>
    </row>
    <row r="36" spans="3:155" ht="15"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</row>
  </sheetData>
  <sheetProtection/>
  <mergeCells count="69">
    <mergeCell ref="EH9:EJ11"/>
    <mergeCell ref="EK9:EM11"/>
    <mergeCell ref="DV11:DX11"/>
    <mergeCell ref="DM9:DX9"/>
    <mergeCell ref="DY9:EA11"/>
    <mergeCell ref="DA8:DC8"/>
    <mergeCell ref="CO9:CQ11"/>
    <mergeCell ref="CU9:CW11"/>
    <mergeCell ref="DD8:DF8"/>
    <mergeCell ref="DD9:DF11"/>
    <mergeCell ref="EB9:ED11"/>
    <mergeCell ref="DM11:DO11"/>
    <mergeCell ref="BQ9:BS11"/>
    <mergeCell ref="AJ9:AL11"/>
    <mergeCell ref="AP9:AR11"/>
    <mergeCell ref="AY9:BA11"/>
    <mergeCell ref="AV9:AX11"/>
    <mergeCell ref="AS9:AU11"/>
    <mergeCell ref="BB9:BD11"/>
    <mergeCell ref="AM9:AO11"/>
    <mergeCell ref="X3:Z3"/>
    <mergeCell ref="I9:K11"/>
    <mergeCell ref="BK9:BM11"/>
    <mergeCell ref="AD1:AF1"/>
    <mergeCell ref="I8:AX8"/>
    <mergeCell ref="AD2:AF2"/>
    <mergeCell ref="AD3:AF3"/>
    <mergeCell ref="X1:Z1"/>
    <mergeCell ref="B5:Z5"/>
    <mergeCell ref="I6:X6"/>
    <mergeCell ref="L9:N11"/>
    <mergeCell ref="R9:T11"/>
    <mergeCell ref="B4:Z4"/>
    <mergeCell ref="B7:B12"/>
    <mergeCell ref="C7:E11"/>
    <mergeCell ref="O9:Q11"/>
    <mergeCell ref="U9:W11"/>
    <mergeCell ref="X9:Z11"/>
    <mergeCell ref="F8:H11"/>
    <mergeCell ref="DJ7:EV7"/>
    <mergeCell ref="DJ9:DL11"/>
    <mergeCell ref="EQ9:ES11"/>
    <mergeCell ref="A31:B31"/>
    <mergeCell ref="BT9:BV11"/>
    <mergeCell ref="BN9:BP11"/>
    <mergeCell ref="BE9:BG11"/>
    <mergeCell ref="BH9:BJ11"/>
    <mergeCell ref="AA9:AC11"/>
    <mergeCell ref="A7:A12"/>
    <mergeCell ref="AD9:AF11"/>
    <mergeCell ref="AG9:AI11"/>
    <mergeCell ref="CI9:CK11"/>
    <mergeCell ref="EW7:EY11"/>
    <mergeCell ref="DJ8:EV8"/>
    <mergeCell ref="DG7:DI11"/>
    <mergeCell ref="DP11:DR11"/>
    <mergeCell ref="DS11:DU11"/>
    <mergeCell ref="ET9:EV11"/>
    <mergeCell ref="EE9:EG11"/>
    <mergeCell ref="EN9:EP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</mergeCells>
  <printOptions/>
  <pageMargins left="0.7086614173228347" right="0.1968503937007874" top="0.7480314960629921" bottom="0.7480314960629921" header="0.31496062992125984" footer="0.31496062992125984"/>
  <pageSetup fitToHeight="0" fitToWidth="0" horizontalDpi="600" verticalDpi="600" orientation="landscape" paperSize="9" scale="48" r:id="rId1"/>
  <colBreaks count="6" manualBreakCount="6">
    <brk id="17" max="29" man="1"/>
    <brk id="35" max="29" man="1"/>
    <brk id="59" max="29" man="1"/>
    <brk id="89" max="29" man="1"/>
    <brk id="116" max="29" man="1"/>
    <brk id="13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="80" zoomScaleSheetLayoutView="80" workbookViewId="0" topLeftCell="A1">
      <selection activeCell="C4" sqref="C4:C84"/>
    </sheetView>
  </sheetViews>
  <sheetFormatPr defaultColWidth="9.140625" defaultRowHeight="12.75"/>
  <cols>
    <col min="1" max="1" width="16.28125" style="58" customWidth="1"/>
    <col min="2" max="2" width="57.57421875" style="59" customWidth="1"/>
    <col min="3" max="3" width="26.140625" style="264" customWidth="1"/>
    <col min="4" max="4" width="24.140625" style="267" customWidth="1"/>
    <col min="5" max="5" width="15.00390625" style="62" customWidth="1"/>
    <col min="6" max="6" width="17.57421875" style="62" customWidth="1"/>
    <col min="7" max="7" width="14.00390625" style="1" customWidth="1"/>
    <col min="8" max="8" width="15.7109375" style="1" bestFit="1" customWidth="1"/>
    <col min="9" max="16384" width="9.140625" style="1" customWidth="1"/>
  </cols>
  <sheetData>
    <row r="1" spans="1:6" ht="15.75">
      <c r="A1" s="470" t="s">
        <v>0</v>
      </c>
      <c r="B1" s="470"/>
      <c r="C1" s="470"/>
      <c r="D1" s="470"/>
      <c r="E1" s="470"/>
      <c r="F1" s="470"/>
    </row>
    <row r="2" spans="1:6" ht="15.75">
      <c r="A2" s="470" t="s">
        <v>373</v>
      </c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262" t="s">
        <v>340</v>
      </c>
      <c r="D3" s="265" t="s">
        <v>353</v>
      </c>
      <c r="E3" s="72" t="s">
        <v>3</v>
      </c>
      <c r="F3" s="74" t="s">
        <v>4</v>
      </c>
    </row>
    <row r="4" spans="1:6" s="6" customFormat="1" ht="22.5">
      <c r="A4" s="3"/>
      <c r="B4" s="270" t="s">
        <v>5</v>
      </c>
      <c r="C4" s="406">
        <f>C5+C12+C16+C21+C23+C27+C7</f>
        <v>119300.326</v>
      </c>
      <c r="D4" s="319">
        <f>D5+D12+D16+D21+D23+D27+D7</f>
        <v>119647.37716</v>
      </c>
      <c r="E4" s="319">
        <f>SUM(D4/C4*100)</f>
        <v>100.29090545821309</v>
      </c>
      <c r="F4" s="319">
        <f>SUM(D4-C4)</f>
        <v>347.0511600000027</v>
      </c>
    </row>
    <row r="5" spans="1:6" s="6" customFormat="1" ht="22.5">
      <c r="A5" s="68">
        <v>1010000000</v>
      </c>
      <c r="B5" s="270" t="s">
        <v>6</v>
      </c>
      <c r="C5" s="406">
        <f>C6</f>
        <v>98660.22</v>
      </c>
      <c r="D5" s="319">
        <f>D6</f>
        <v>98985.30708</v>
      </c>
      <c r="E5" s="319">
        <f aca="true" t="shared" si="0" ref="E5:E81">SUM(D5/C5*100)</f>
        <v>100.32950167757582</v>
      </c>
      <c r="F5" s="319">
        <f aca="true" t="shared" si="1" ref="F5:F81">SUM(D5-C5)</f>
        <v>325.0870799999975</v>
      </c>
    </row>
    <row r="6" spans="1:6" ht="23.25">
      <c r="A6" s="7">
        <v>1010200001</v>
      </c>
      <c r="B6" s="271" t="s">
        <v>231</v>
      </c>
      <c r="C6" s="407">
        <v>98660.22</v>
      </c>
      <c r="D6" s="321">
        <v>98985.30708</v>
      </c>
      <c r="E6" s="320">
        <f>SUM(D6/C6*100)</f>
        <v>100.32950167757582</v>
      </c>
      <c r="F6" s="320">
        <f t="shared" si="1"/>
        <v>325.0870799999975</v>
      </c>
    </row>
    <row r="7" spans="1:6" ht="37.5">
      <c r="A7" s="68">
        <v>1030000000</v>
      </c>
      <c r="B7" s="272" t="s">
        <v>285</v>
      </c>
      <c r="C7" s="406">
        <f>C8+C10+C9</f>
        <v>4233.906</v>
      </c>
      <c r="D7" s="319">
        <f>D8+D10+D9+D11</f>
        <v>4244.71881</v>
      </c>
      <c r="E7" s="320">
        <f>SUM(D7/C7*100)</f>
        <v>100.25538616114767</v>
      </c>
      <c r="F7" s="320">
        <f t="shared" si="1"/>
        <v>10.812810000000354</v>
      </c>
    </row>
    <row r="8" spans="1:6" ht="23.25">
      <c r="A8" s="7">
        <v>1030223001</v>
      </c>
      <c r="B8" s="271" t="s">
        <v>287</v>
      </c>
      <c r="C8" s="407">
        <v>1539.086</v>
      </c>
      <c r="D8" s="321">
        <v>1744.15233</v>
      </c>
      <c r="E8" s="320">
        <f>SUM(D8/C8*100)</f>
        <v>113.3239032776596</v>
      </c>
      <c r="F8" s="320">
        <f>SUM(D8-C8)</f>
        <v>205.06632999999988</v>
      </c>
    </row>
    <row r="9" spans="1:6" ht="23.25">
      <c r="A9" s="7">
        <v>1030224001</v>
      </c>
      <c r="B9" s="271" t="s">
        <v>293</v>
      </c>
      <c r="C9" s="407">
        <v>15.97</v>
      </c>
      <c r="D9" s="321">
        <v>17.70599</v>
      </c>
      <c r="E9" s="320">
        <f>SUM(D9/C9*100)</f>
        <v>110.87031934877896</v>
      </c>
      <c r="F9" s="320">
        <f>SUM(D9-C9)</f>
        <v>1.7359899999999993</v>
      </c>
    </row>
    <row r="10" spans="1:6" ht="23.25">
      <c r="A10" s="7">
        <v>1030225001</v>
      </c>
      <c r="B10" s="271" t="s">
        <v>286</v>
      </c>
      <c r="C10" s="407">
        <v>2678.85</v>
      </c>
      <c r="D10" s="321">
        <v>2820.66154</v>
      </c>
      <c r="E10" s="320">
        <f>SUM(D10/C10*100)</f>
        <v>105.29374694365119</v>
      </c>
      <c r="F10" s="320">
        <f t="shared" si="1"/>
        <v>141.81154000000015</v>
      </c>
    </row>
    <row r="11" spans="1:6" ht="23.25">
      <c r="A11" s="7">
        <v>1030226001</v>
      </c>
      <c r="B11" s="271" t="s">
        <v>295</v>
      </c>
      <c r="C11" s="407">
        <v>0</v>
      </c>
      <c r="D11" s="321">
        <v>-337.80105</v>
      </c>
      <c r="E11" s="320"/>
      <c r="F11" s="320">
        <f t="shared" si="1"/>
        <v>-337.80105</v>
      </c>
    </row>
    <row r="12" spans="1:6" s="6" customFormat="1" ht="22.5">
      <c r="A12" s="68">
        <v>1050000000</v>
      </c>
      <c r="B12" s="270" t="s">
        <v>7</v>
      </c>
      <c r="C12" s="406">
        <f>SUM(C13:C15)</f>
        <v>12090</v>
      </c>
      <c r="D12" s="319">
        <f>SUM(D13:D15)</f>
        <v>12124.137879999998</v>
      </c>
      <c r="E12" s="319">
        <f t="shared" si="0"/>
        <v>100.28236459884201</v>
      </c>
      <c r="F12" s="319">
        <f t="shared" si="1"/>
        <v>34.137879999998404</v>
      </c>
    </row>
    <row r="13" spans="1:6" ht="23.25">
      <c r="A13" s="7">
        <v>1050200000</v>
      </c>
      <c r="B13" s="273" t="s">
        <v>241</v>
      </c>
      <c r="C13" s="408">
        <v>11175</v>
      </c>
      <c r="D13" s="321">
        <v>11191.14179</v>
      </c>
      <c r="E13" s="320">
        <f t="shared" si="0"/>
        <v>100.14444554809843</v>
      </c>
      <c r="F13" s="320">
        <f t="shared" si="1"/>
        <v>16.141789999999673</v>
      </c>
    </row>
    <row r="14" spans="1:6" ht="16.5" customHeight="1">
      <c r="A14" s="7">
        <v>1050300000</v>
      </c>
      <c r="B14" s="273" t="s">
        <v>232</v>
      </c>
      <c r="C14" s="408">
        <v>615</v>
      </c>
      <c r="D14" s="321">
        <v>625.47143</v>
      </c>
      <c r="E14" s="320">
        <f t="shared" si="0"/>
        <v>101.70267154471546</v>
      </c>
      <c r="F14" s="320">
        <f t="shared" si="1"/>
        <v>10.471430000000055</v>
      </c>
    </row>
    <row r="15" spans="1:6" ht="37.5">
      <c r="A15" s="7">
        <v>1050400002</v>
      </c>
      <c r="B15" s="271" t="s">
        <v>268</v>
      </c>
      <c r="C15" s="408">
        <v>300</v>
      </c>
      <c r="D15" s="321">
        <v>307.52466</v>
      </c>
      <c r="E15" s="320">
        <f t="shared" si="0"/>
        <v>102.50822</v>
      </c>
      <c r="F15" s="320">
        <f t="shared" si="1"/>
        <v>7.524659999999983</v>
      </c>
    </row>
    <row r="16" spans="1:6" s="6" customFormat="1" ht="18" customHeight="1">
      <c r="A16" s="68">
        <v>1060000000</v>
      </c>
      <c r="B16" s="270" t="s">
        <v>136</v>
      </c>
      <c r="C16" s="406">
        <f>SUM(C17:C20)</f>
        <v>1910</v>
      </c>
      <c r="D16" s="319">
        <f>SUM(D17:D20)</f>
        <v>1845.66238</v>
      </c>
      <c r="E16" s="319">
        <f t="shared" si="0"/>
        <v>96.63153821989529</v>
      </c>
      <c r="F16" s="319">
        <f t="shared" si="1"/>
        <v>-64.33762000000002</v>
      </c>
    </row>
    <row r="17" spans="1:6" s="6" customFormat="1" ht="18" customHeight="1" hidden="1">
      <c r="A17" s="7">
        <v>1060100000</v>
      </c>
      <c r="B17" s="273" t="s">
        <v>9</v>
      </c>
      <c r="C17" s="407"/>
      <c r="D17" s="321"/>
      <c r="E17" s="319" t="e">
        <f t="shared" si="0"/>
        <v>#DIV/0!</v>
      </c>
      <c r="F17" s="319">
        <f t="shared" si="1"/>
        <v>0</v>
      </c>
    </row>
    <row r="18" spans="1:6" s="6" customFormat="1" ht="17.25" customHeight="1" hidden="1">
      <c r="A18" s="7">
        <v>1060200000</v>
      </c>
      <c r="B18" s="273" t="s">
        <v>123</v>
      </c>
      <c r="C18" s="407"/>
      <c r="D18" s="321"/>
      <c r="E18" s="319" t="e">
        <f t="shared" si="0"/>
        <v>#DIV/0!</v>
      </c>
      <c r="F18" s="319">
        <f t="shared" si="1"/>
        <v>0</v>
      </c>
    </row>
    <row r="19" spans="1:6" s="6" customFormat="1" ht="17.25" customHeight="1">
      <c r="A19" s="7">
        <v>1060400000</v>
      </c>
      <c r="B19" s="273" t="s">
        <v>284</v>
      </c>
      <c r="C19" s="407">
        <v>1910</v>
      </c>
      <c r="D19" s="321">
        <v>1845.66238</v>
      </c>
      <c r="E19" s="320">
        <f t="shared" si="0"/>
        <v>96.63153821989529</v>
      </c>
      <c r="F19" s="320">
        <f t="shared" si="1"/>
        <v>-64.33762000000002</v>
      </c>
    </row>
    <row r="20" spans="1:6" ht="15.75" customHeight="1" hidden="1">
      <c r="A20" s="7">
        <v>1060600000</v>
      </c>
      <c r="B20" s="273" t="s">
        <v>8</v>
      </c>
      <c r="C20" s="407"/>
      <c r="D20" s="321"/>
      <c r="E20" s="320" t="e">
        <f t="shared" si="0"/>
        <v>#DIV/0!</v>
      </c>
      <c r="F20" s="320">
        <f t="shared" si="1"/>
        <v>0</v>
      </c>
    </row>
    <row r="21" spans="1:6" s="6" customFormat="1" ht="15.75" customHeight="1">
      <c r="A21" s="68">
        <v>1070000000</v>
      </c>
      <c r="B21" s="272" t="s">
        <v>10</v>
      </c>
      <c r="C21" s="406">
        <f>SUM(C22)</f>
        <v>26.2</v>
      </c>
      <c r="D21" s="319">
        <f>SUM(D22)</f>
        <v>30.16666</v>
      </c>
      <c r="E21" s="319">
        <f t="shared" si="0"/>
        <v>115.13992366412214</v>
      </c>
      <c r="F21" s="319">
        <f t="shared" si="1"/>
        <v>3.966660000000001</v>
      </c>
    </row>
    <row r="22" spans="1:6" ht="29.25" customHeight="1">
      <c r="A22" s="7">
        <v>1070102001</v>
      </c>
      <c r="B22" s="271" t="s">
        <v>242</v>
      </c>
      <c r="C22" s="407">
        <v>26.2</v>
      </c>
      <c r="D22" s="321">
        <v>30.16666</v>
      </c>
      <c r="E22" s="320">
        <f t="shared" si="0"/>
        <v>115.13992366412214</v>
      </c>
      <c r="F22" s="320">
        <f t="shared" si="1"/>
        <v>3.966660000000001</v>
      </c>
    </row>
    <row r="23" spans="1:6" s="6" customFormat="1" ht="22.5">
      <c r="A23" s="3">
        <v>1080000000</v>
      </c>
      <c r="B23" s="270" t="s">
        <v>11</v>
      </c>
      <c r="C23" s="406">
        <f>C24+C25+C26</f>
        <v>2380</v>
      </c>
      <c r="D23" s="319">
        <f>D24+D25+D26</f>
        <v>2410.8156900000004</v>
      </c>
      <c r="E23" s="319">
        <f t="shared" si="0"/>
        <v>101.29477689075632</v>
      </c>
      <c r="F23" s="319">
        <f t="shared" si="1"/>
        <v>30.81569000000036</v>
      </c>
    </row>
    <row r="24" spans="1:6" ht="42.75" customHeight="1">
      <c r="A24" s="7">
        <v>1080300001</v>
      </c>
      <c r="B24" s="271" t="s">
        <v>243</v>
      </c>
      <c r="C24" s="407">
        <v>1700</v>
      </c>
      <c r="D24" s="321">
        <v>1716.00294</v>
      </c>
      <c r="E24" s="320">
        <f t="shared" si="0"/>
        <v>100.94134941176472</v>
      </c>
      <c r="F24" s="320">
        <f t="shared" si="1"/>
        <v>16.00294000000008</v>
      </c>
    </row>
    <row r="25" spans="1:6" ht="33.75" customHeight="1">
      <c r="A25" s="7">
        <v>1080600001</v>
      </c>
      <c r="B25" s="271" t="s">
        <v>230</v>
      </c>
      <c r="C25" s="407">
        <v>30</v>
      </c>
      <c r="D25" s="321">
        <v>31.75</v>
      </c>
      <c r="E25" s="320"/>
      <c r="F25" s="320">
        <f t="shared" si="1"/>
        <v>1.75</v>
      </c>
    </row>
    <row r="26" spans="1:6" ht="75">
      <c r="A26" s="7">
        <v>1080714001</v>
      </c>
      <c r="B26" s="271" t="s">
        <v>229</v>
      </c>
      <c r="C26" s="407">
        <v>650</v>
      </c>
      <c r="D26" s="321">
        <v>663.06275</v>
      </c>
      <c r="E26" s="320">
        <f t="shared" si="0"/>
        <v>102.00965384615385</v>
      </c>
      <c r="F26" s="320">
        <f t="shared" si="1"/>
        <v>13.062750000000051</v>
      </c>
    </row>
    <row r="27" spans="1:6" s="15" customFormat="1" ht="44.25" customHeight="1">
      <c r="A27" s="68">
        <v>1090000000</v>
      </c>
      <c r="B27" s="272" t="s">
        <v>233</v>
      </c>
      <c r="C27" s="406">
        <f>C28+C29+C30+C31</f>
        <v>0</v>
      </c>
      <c r="D27" s="319">
        <f>D28+D29+D30+D31</f>
        <v>6.56866</v>
      </c>
      <c r="E27" s="319"/>
      <c r="F27" s="319">
        <f t="shared" si="1"/>
        <v>6.56866</v>
      </c>
    </row>
    <row r="28" spans="1:6" s="15" customFormat="1" ht="17.25" customHeight="1" hidden="1">
      <c r="A28" s="7">
        <v>1090100000</v>
      </c>
      <c r="B28" s="271" t="s">
        <v>125</v>
      </c>
      <c r="C28" s="407">
        <v>0</v>
      </c>
      <c r="D28" s="321">
        <v>0</v>
      </c>
      <c r="E28" s="320" t="e">
        <f t="shared" si="0"/>
        <v>#DIV/0!</v>
      </c>
      <c r="F28" s="320">
        <f t="shared" si="1"/>
        <v>0</v>
      </c>
    </row>
    <row r="29" spans="1:6" s="15" customFormat="1" ht="17.25" customHeight="1" hidden="1">
      <c r="A29" s="7">
        <v>1090400000</v>
      </c>
      <c r="B29" s="271" t="s">
        <v>126</v>
      </c>
      <c r="C29" s="407">
        <v>0</v>
      </c>
      <c r="D29" s="321">
        <v>0</v>
      </c>
      <c r="E29" s="320" t="e">
        <f t="shared" si="0"/>
        <v>#DIV/0!</v>
      </c>
      <c r="F29" s="320">
        <f t="shared" si="1"/>
        <v>0</v>
      </c>
    </row>
    <row r="30" spans="1:6" s="15" customFormat="1" ht="15.75" customHeight="1" hidden="1">
      <c r="A30" s="7">
        <v>1090600000</v>
      </c>
      <c r="B30" s="271" t="s">
        <v>127</v>
      </c>
      <c r="C30" s="407">
        <v>0</v>
      </c>
      <c r="D30" s="321">
        <v>0</v>
      </c>
      <c r="E30" s="320" t="e">
        <f t="shared" si="0"/>
        <v>#DIV/0!</v>
      </c>
      <c r="F30" s="320">
        <f t="shared" si="1"/>
        <v>0</v>
      </c>
    </row>
    <row r="31" spans="1:6" s="15" customFormat="1" ht="15.75" customHeight="1">
      <c r="A31" s="7">
        <v>1090700000</v>
      </c>
      <c r="B31" s="271" t="s">
        <v>128</v>
      </c>
      <c r="C31" s="407">
        <v>0</v>
      </c>
      <c r="D31" s="321">
        <v>6.56866</v>
      </c>
      <c r="E31" s="320"/>
      <c r="F31" s="320">
        <f t="shared" si="1"/>
        <v>6.56866</v>
      </c>
    </row>
    <row r="32" spans="1:6" s="6" customFormat="1" ht="33.75" customHeight="1">
      <c r="A32" s="3"/>
      <c r="B32" s="270" t="s">
        <v>13</v>
      </c>
      <c r="C32" s="406">
        <f>C33+C41+C43+C46+C49+C51+C68</f>
        <v>18150.304</v>
      </c>
      <c r="D32" s="319">
        <f>D33+D41+D43+D46+D49+D51+D68</f>
        <v>18688.888769999998</v>
      </c>
      <c r="E32" s="319">
        <f t="shared" si="0"/>
        <v>102.96735949987392</v>
      </c>
      <c r="F32" s="319">
        <f t="shared" si="1"/>
        <v>538.5847699999977</v>
      </c>
    </row>
    <row r="33" spans="1:6" s="6" customFormat="1" ht="60.75" customHeight="1">
      <c r="A33" s="3">
        <v>1110000000</v>
      </c>
      <c r="B33" s="272" t="s">
        <v>129</v>
      </c>
      <c r="C33" s="406">
        <f>C35+C36+C37+C39+C38+C34+C40</f>
        <v>8429</v>
      </c>
      <c r="D33" s="400">
        <f>D35+D36+D37+D39+D38+D34+D40</f>
        <v>8462.80058</v>
      </c>
      <c r="E33" s="319">
        <f t="shared" si="0"/>
        <v>100.40100344050302</v>
      </c>
      <c r="F33" s="319">
        <f t="shared" si="1"/>
        <v>33.80057999999917</v>
      </c>
    </row>
    <row r="34" spans="1:6" s="6" customFormat="1" ht="33" customHeight="1">
      <c r="A34" s="7">
        <v>1110105005</v>
      </c>
      <c r="B34" s="271" t="s">
        <v>325</v>
      </c>
      <c r="C34" s="407">
        <v>0</v>
      </c>
      <c r="D34" s="320">
        <v>0</v>
      </c>
      <c r="E34" s="320"/>
      <c r="F34" s="320">
        <f t="shared" si="1"/>
        <v>0</v>
      </c>
    </row>
    <row r="35" spans="1:6" ht="17.25" customHeight="1">
      <c r="A35" s="7">
        <v>1110305005</v>
      </c>
      <c r="B35" s="273" t="s">
        <v>244</v>
      </c>
      <c r="C35" s="407">
        <v>0</v>
      </c>
      <c r="D35" s="321">
        <v>0</v>
      </c>
      <c r="E35" s="320"/>
      <c r="F35" s="320">
        <f t="shared" si="1"/>
        <v>0</v>
      </c>
    </row>
    <row r="36" spans="1:6" ht="23.25">
      <c r="A36" s="16">
        <v>1110501101</v>
      </c>
      <c r="B36" s="274" t="s">
        <v>228</v>
      </c>
      <c r="C36" s="408">
        <v>6850</v>
      </c>
      <c r="D36" s="321">
        <v>6848.92825</v>
      </c>
      <c r="E36" s="320">
        <f t="shared" si="0"/>
        <v>99.98435401459854</v>
      </c>
      <c r="F36" s="320">
        <f t="shared" si="1"/>
        <v>-1.0717500000000655</v>
      </c>
    </row>
    <row r="37" spans="1:6" ht="23.25">
      <c r="A37" s="7">
        <v>1110503505</v>
      </c>
      <c r="B37" s="273" t="s">
        <v>227</v>
      </c>
      <c r="C37" s="408">
        <v>875</v>
      </c>
      <c r="D37" s="321">
        <v>899.42696</v>
      </c>
      <c r="E37" s="320">
        <f t="shared" si="0"/>
        <v>102.79165257142857</v>
      </c>
      <c r="F37" s="320">
        <f t="shared" si="1"/>
        <v>24.426960000000008</v>
      </c>
    </row>
    <row r="38" spans="1:6" ht="97.5" customHeight="1">
      <c r="A38" s="7">
        <v>1110502000</v>
      </c>
      <c r="B38" s="271" t="s">
        <v>280</v>
      </c>
      <c r="C38" s="409">
        <v>0</v>
      </c>
      <c r="D38" s="321">
        <v>0</v>
      </c>
      <c r="E38" s="320"/>
      <c r="F38" s="320">
        <f t="shared" si="1"/>
        <v>0</v>
      </c>
    </row>
    <row r="39" spans="1:6" s="15" customFormat="1" ht="23.25">
      <c r="A39" s="7">
        <v>1110701505</v>
      </c>
      <c r="B39" s="273" t="s">
        <v>245</v>
      </c>
      <c r="C39" s="408">
        <v>332</v>
      </c>
      <c r="D39" s="321">
        <v>337.75</v>
      </c>
      <c r="E39" s="320">
        <f t="shared" si="0"/>
        <v>101.73192771084338</v>
      </c>
      <c r="F39" s="320">
        <f t="shared" si="1"/>
        <v>5.75</v>
      </c>
    </row>
    <row r="40" spans="1:6" s="15" customFormat="1" ht="23.25">
      <c r="A40" s="7">
        <v>1110904505</v>
      </c>
      <c r="B40" s="273" t="s">
        <v>339</v>
      </c>
      <c r="C40" s="408">
        <v>372</v>
      </c>
      <c r="D40" s="321">
        <v>376.69537</v>
      </c>
      <c r="E40" s="320">
        <f t="shared" si="0"/>
        <v>101.26219623655915</v>
      </c>
      <c r="F40" s="320">
        <f t="shared" si="1"/>
        <v>4.695370000000025</v>
      </c>
    </row>
    <row r="41" spans="1:6" s="15" customFormat="1" ht="37.5">
      <c r="A41" s="68">
        <v>1120000000</v>
      </c>
      <c r="B41" s="272" t="s">
        <v>130</v>
      </c>
      <c r="C41" s="410">
        <f>C42</f>
        <v>437.3</v>
      </c>
      <c r="D41" s="322">
        <f>D42</f>
        <v>426.70217</v>
      </c>
      <c r="E41" s="319">
        <f t="shared" si="0"/>
        <v>97.57653098559341</v>
      </c>
      <c r="F41" s="319">
        <f t="shared" si="1"/>
        <v>-10.597829999999988</v>
      </c>
    </row>
    <row r="42" spans="1:6" s="15" customFormat="1" ht="35.25" customHeight="1">
      <c r="A42" s="7">
        <v>1120100001</v>
      </c>
      <c r="B42" s="271" t="s">
        <v>246</v>
      </c>
      <c r="C42" s="407">
        <v>437.3</v>
      </c>
      <c r="D42" s="321">
        <v>426.70217</v>
      </c>
      <c r="E42" s="320">
        <f t="shared" si="0"/>
        <v>97.57653098559341</v>
      </c>
      <c r="F42" s="320">
        <f t="shared" si="1"/>
        <v>-10.597829999999988</v>
      </c>
    </row>
    <row r="43" spans="1:6" s="269" customFormat="1" ht="17.25" customHeight="1">
      <c r="A43" s="268">
        <v>1130000000</v>
      </c>
      <c r="B43" s="275" t="s">
        <v>131</v>
      </c>
      <c r="C43" s="406">
        <f>C44+C45</f>
        <v>415</v>
      </c>
      <c r="D43" s="319">
        <f>D44+D45</f>
        <v>856.79402</v>
      </c>
      <c r="E43" s="319">
        <f t="shared" si="0"/>
        <v>206.4563903614458</v>
      </c>
      <c r="F43" s="319">
        <f t="shared" si="1"/>
        <v>441.79402000000005</v>
      </c>
    </row>
    <row r="44" spans="1:6" s="15" customFormat="1" ht="18" customHeight="1">
      <c r="A44" s="100">
        <v>1130200000</v>
      </c>
      <c r="B44" s="271" t="s">
        <v>335</v>
      </c>
      <c r="C44" s="407">
        <v>415</v>
      </c>
      <c r="D44" s="320">
        <v>856.79402</v>
      </c>
      <c r="E44" s="320">
        <f>SUM(D44/C44*100)</f>
        <v>206.4563903614458</v>
      </c>
      <c r="F44" s="320">
        <f>SUM(D44-C44)</f>
        <v>441.79402000000005</v>
      </c>
    </row>
    <row r="45" spans="1:6" ht="19.5" customHeight="1">
      <c r="A45" s="7">
        <v>1130305005</v>
      </c>
      <c r="B45" s="271" t="s">
        <v>226</v>
      </c>
      <c r="C45" s="407">
        <v>0</v>
      </c>
      <c r="D45" s="321">
        <v>0</v>
      </c>
      <c r="E45" s="320"/>
      <c r="F45" s="320">
        <f t="shared" si="1"/>
        <v>0</v>
      </c>
    </row>
    <row r="46" spans="1:6" ht="18" customHeight="1">
      <c r="A46" s="70">
        <v>1140000000</v>
      </c>
      <c r="B46" s="276" t="s">
        <v>132</v>
      </c>
      <c r="C46" s="406">
        <f>C47+C48</f>
        <v>2140</v>
      </c>
      <c r="D46" s="319">
        <f>D47+D48</f>
        <v>2077.29106</v>
      </c>
      <c r="E46" s="319">
        <f t="shared" si="0"/>
        <v>97.06967570093458</v>
      </c>
      <c r="F46" s="319">
        <f t="shared" si="1"/>
        <v>-62.708939999999984</v>
      </c>
    </row>
    <row r="47" spans="1:6" ht="23.25">
      <c r="A47" s="16">
        <v>1140200000</v>
      </c>
      <c r="B47" s="277" t="s">
        <v>224</v>
      </c>
      <c r="C47" s="407">
        <v>340</v>
      </c>
      <c r="D47" s="321">
        <v>326.78389</v>
      </c>
      <c r="E47" s="320">
        <f t="shared" si="0"/>
        <v>96.11290882352941</v>
      </c>
      <c r="F47" s="320">
        <f t="shared" si="1"/>
        <v>-13.216110000000015</v>
      </c>
    </row>
    <row r="48" spans="1:6" ht="15" customHeight="1">
      <c r="A48" s="7">
        <v>1140600000</v>
      </c>
      <c r="B48" s="271" t="s">
        <v>225</v>
      </c>
      <c r="C48" s="407">
        <v>1800</v>
      </c>
      <c r="D48" s="321">
        <v>1750.50717</v>
      </c>
      <c r="E48" s="320">
        <f t="shared" si="0"/>
        <v>97.25039833333334</v>
      </c>
      <c r="F48" s="320">
        <f t="shared" si="1"/>
        <v>-49.49282999999991</v>
      </c>
    </row>
    <row r="49" spans="1:6" ht="37.5" hidden="1">
      <c r="A49" s="3">
        <v>1150000000</v>
      </c>
      <c r="B49" s="272" t="s">
        <v>237</v>
      </c>
      <c r="C49" s="406">
        <f>C50</f>
        <v>0</v>
      </c>
      <c r="D49" s="319">
        <f>D50</f>
        <v>0</v>
      </c>
      <c r="E49" s="319" t="e">
        <f t="shared" si="0"/>
        <v>#DIV/0!</v>
      </c>
      <c r="F49" s="319">
        <f t="shared" si="1"/>
        <v>0</v>
      </c>
    </row>
    <row r="50" spans="1:6" ht="56.25" hidden="1">
      <c r="A50" s="7">
        <v>1150205005</v>
      </c>
      <c r="B50" s="271" t="s">
        <v>238</v>
      </c>
      <c r="C50" s="407">
        <v>0</v>
      </c>
      <c r="D50" s="321">
        <v>0</v>
      </c>
      <c r="E50" s="320" t="e">
        <f t="shared" si="0"/>
        <v>#DIV/0!</v>
      </c>
      <c r="F50" s="320">
        <f t="shared" si="1"/>
        <v>0</v>
      </c>
    </row>
    <row r="51" spans="1:8" ht="37.5">
      <c r="A51" s="68">
        <v>1160000000</v>
      </c>
      <c r="B51" s="272" t="s">
        <v>134</v>
      </c>
      <c r="C51" s="406">
        <f>C52+C53+C54+C55+C56+C57+C58+C59+C60+C61+C62+C63+C64+C65+C66+C67</f>
        <v>6729.004</v>
      </c>
      <c r="D51" s="319">
        <f>D52+D53+D54+D55+D56+D57+D58+D59+D60+D61+D62+D63+D64+D65+D66+D67</f>
        <v>6865.300939999999</v>
      </c>
      <c r="E51" s="319">
        <f>SUM(D51/C51*100)</f>
        <v>102.02551432574568</v>
      </c>
      <c r="F51" s="319">
        <f t="shared" si="1"/>
        <v>136.29693999999927</v>
      </c>
      <c r="H51" s="155"/>
    </row>
    <row r="52" spans="1:6" ht="23.25">
      <c r="A52" s="7">
        <v>1160301001</v>
      </c>
      <c r="B52" s="271" t="s">
        <v>247</v>
      </c>
      <c r="C52" s="407">
        <v>29</v>
      </c>
      <c r="D52" s="323">
        <v>27.53136</v>
      </c>
      <c r="E52" s="320">
        <f>SUM(D52/C52*100)</f>
        <v>94.93572413793103</v>
      </c>
      <c r="F52" s="320">
        <f t="shared" si="1"/>
        <v>-1.4686400000000006</v>
      </c>
    </row>
    <row r="53" spans="1:6" ht="17.25" customHeight="1">
      <c r="A53" s="7">
        <v>1160303001</v>
      </c>
      <c r="B53" s="271" t="s">
        <v>248</v>
      </c>
      <c r="C53" s="407">
        <v>6</v>
      </c>
      <c r="D53" s="324">
        <v>2.49629</v>
      </c>
      <c r="E53" s="320">
        <f t="shared" si="0"/>
        <v>41.60483333333333</v>
      </c>
      <c r="F53" s="320">
        <f t="shared" si="1"/>
        <v>-3.50371</v>
      </c>
    </row>
    <row r="54" spans="1:6" ht="15" customHeight="1">
      <c r="A54" s="7">
        <v>1160600000</v>
      </c>
      <c r="B54" s="271" t="s">
        <v>249</v>
      </c>
      <c r="C54" s="407">
        <v>87</v>
      </c>
      <c r="D54" s="324">
        <v>86.58071</v>
      </c>
      <c r="E54" s="320">
        <f t="shared" si="0"/>
        <v>99.51805747126437</v>
      </c>
      <c r="F54" s="320">
        <f t="shared" si="1"/>
        <v>-0.4192900000000037</v>
      </c>
    </row>
    <row r="55" spans="1:6" s="15" customFormat="1" ht="16.5" customHeight="1">
      <c r="A55" s="7">
        <v>1160800001</v>
      </c>
      <c r="B55" s="271" t="s">
        <v>250</v>
      </c>
      <c r="C55" s="407">
        <v>310</v>
      </c>
      <c r="D55" s="324">
        <v>312</v>
      </c>
      <c r="E55" s="320">
        <f t="shared" si="0"/>
        <v>100.64516129032258</v>
      </c>
      <c r="F55" s="320">
        <f t="shared" si="1"/>
        <v>2</v>
      </c>
    </row>
    <row r="56" spans="1:6" ht="35.25" customHeight="1">
      <c r="A56" s="7">
        <v>1161805005</v>
      </c>
      <c r="B56" s="271" t="s">
        <v>350</v>
      </c>
      <c r="C56" s="407">
        <v>30</v>
      </c>
      <c r="D56" s="321">
        <v>33</v>
      </c>
      <c r="E56" s="320"/>
      <c r="F56" s="320">
        <f t="shared" si="1"/>
        <v>3</v>
      </c>
    </row>
    <row r="57" spans="1:6" ht="18" customHeight="1">
      <c r="A57" s="7">
        <v>1162105005</v>
      </c>
      <c r="B57" s="271" t="s">
        <v>16</v>
      </c>
      <c r="C57" s="407">
        <v>190</v>
      </c>
      <c r="D57" s="321">
        <v>220.15406</v>
      </c>
      <c r="E57" s="320">
        <f t="shared" si="0"/>
        <v>115.87055789473683</v>
      </c>
      <c r="F57" s="320">
        <f t="shared" si="1"/>
        <v>30.154059999999987</v>
      </c>
    </row>
    <row r="58" spans="1:6" ht="15.75" customHeight="1">
      <c r="A58" s="16">
        <v>1162503001</v>
      </c>
      <c r="B58" s="277" t="s">
        <v>338</v>
      </c>
      <c r="C58" s="407">
        <v>85</v>
      </c>
      <c r="D58" s="321">
        <v>83.8854</v>
      </c>
      <c r="E58" s="320">
        <f t="shared" si="0"/>
        <v>98.68870588235295</v>
      </c>
      <c r="F58" s="320">
        <f t="shared" si="1"/>
        <v>-1.1145999999999958</v>
      </c>
    </row>
    <row r="59" spans="1:6" ht="15.75" customHeight="1">
      <c r="A59" s="16">
        <v>1162505001</v>
      </c>
      <c r="B59" s="277" t="s">
        <v>375</v>
      </c>
      <c r="C59" s="407">
        <v>0</v>
      </c>
      <c r="D59" s="321">
        <v>0</v>
      </c>
      <c r="E59" s="320"/>
      <c r="F59" s="320">
        <f t="shared" si="1"/>
        <v>0</v>
      </c>
    </row>
    <row r="60" spans="1:6" ht="15.75" customHeight="1">
      <c r="A60" s="16">
        <v>1162506001</v>
      </c>
      <c r="B60" s="277" t="s">
        <v>271</v>
      </c>
      <c r="C60" s="407">
        <v>490.004</v>
      </c>
      <c r="D60" s="321">
        <v>490.682</v>
      </c>
      <c r="E60" s="320">
        <f t="shared" si="0"/>
        <v>100.13836621741862</v>
      </c>
      <c r="F60" s="320">
        <f t="shared" si="1"/>
        <v>0.6779999999999973</v>
      </c>
    </row>
    <row r="61" spans="1:6" ht="15.75" customHeight="1">
      <c r="A61" s="7">
        <v>1162700001</v>
      </c>
      <c r="B61" s="271" t="s">
        <v>251</v>
      </c>
      <c r="C61" s="407">
        <v>0</v>
      </c>
      <c r="D61" s="321">
        <v>0</v>
      </c>
      <c r="E61" s="320"/>
      <c r="F61" s="320">
        <f t="shared" si="1"/>
        <v>0</v>
      </c>
    </row>
    <row r="62" spans="1:6" ht="21" customHeight="1">
      <c r="A62" s="7">
        <v>1162800001</v>
      </c>
      <c r="B62" s="271" t="s">
        <v>240</v>
      </c>
      <c r="C62" s="407">
        <v>400</v>
      </c>
      <c r="D62" s="321">
        <v>470.13033</v>
      </c>
      <c r="E62" s="320">
        <f>SUM(D62/C62*100)</f>
        <v>117.5325825</v>
      </c>
      <c r="F62" s="320">
        <f>SUM(D62-C62)</f>
        <v>70.13033000000001</v>
      </c>
    </row>
    <row r="63" spans="1:6" ht="36" customHeight="1">
      <c r="A63" s="7">
        <v>1163003001</v>
      </c>
      <c r="B63" s="271" t="s">
        <v>272</v>
      </c>
      <c r="C63" s="407">
        <v>37</v>
      </c>
      <c r="D63" s="321">
        <v>43.74385</v>
      </c>
      <c r="E63" s="320">
        <f>SUM(D63/C63*100)</f>
        <v>118.22662162162163</v>
      </c>
      <c r="F63" s="320">
        <f>SUM(D63-C63)</f>
        <v>6.743850000000002</v>
      </c>
    </row>
    <row r="64" spans="1:6" ht="56.25">
      <c r="A64" s="7">
        <v>1164300001</v>
      </c>
      <c r="B64" s="278" t="s">
        <v>264</v>
      </c>
      <c r="C64" s="407">
        <v>270</v>
      </c>
      <c r="D64" s="321">
        <v>271.6876</v>
      </c>
      <c r="E64" s="320">
        <f t="shared" si="0"/>
        <v>100.62503703703702</v>
      </c>
      <c r="F64" s="320">
        <f t="shared" si="1"/>
        <v>1.687599999999975</v>
      </c>
    </row>
    <row r="65" spans="1:6" ht="75">
      <c r="A65" s="7">
        <v>1163305005</v>
      </c>
      <c r="B65" s="271" t="s">
        <v>17</v>
      </c>
      <c r="C65" s="407">
        <v>2550</v>
      </c>
      <c r="D65" s="321">
        <v>2549.7769</v>
      </c>
      <c r="E65" s="320">
        <f t="shared" si="0"/>
        <v>99.99125098039215</v>
      </c>
      <c r="F65" s="320">
        <f t="shared" si="1"/>
        <v>-0.22310000000015862</v>
      </c>
    </row>
    <row r="66" spans="1:6" ht="23.25">
      <c r="A66" s="7">
        <v>1163500000</v>
      </c>
      <c r="B66" s="271" t="s">
        <v>336</v>
      </c>
      <c r="C66" s="407">
        <v>0</v>
      </c>
      <c r="D66" s="321">
        <v>0</v>
      </c>
      <c r="E66" s="320"/>
      <c r="F66" s="320">
        <f t="shared" si="1"/>
        <v>0</v>
      </c>
    </row>
    <row r="67" spans="1:6" ht="37.5">
      <c r="A67" s="7">
        <v>1169000000</v>
      </c>
      <c r="B67" s="271" t="s">
        <v>239</v>
      </c>
      <c r="C67" s="407">
        <v>2245</v>
      </c>
      <c r="D67" s="321">
        <v>2273.63244</v>
      </c>
      <c r="E67" s="320">
        <f t="shared" si="0"/>
        <v>101.27538708240533</v>
      </c>
      <c r="F67" s="320">
        <f t="shared" si="1"/>
        <v>28.63243999999986</v>
      </c>
    </row>
    <row r="68" spans="1:6" ht="25.5" customHeight="1">
      <c r="A68" s="3">
        <v>1170000000</v>
      </c>
      <c r="B68" s="272" t="s">
        <v>135</v>
      </c>
      <c r="C68" s="406">
        <f>C69+C70</f>
        <v>0</v>
      </c>
      <c r="D68" s="319">
        <f>D69+D70</f>
        <v>0</v>
      </c>
      <c r="E68" s="319"/>
      <c r="F68" s="319">
        <f t="shared" si="1"/>
        <v>0</v>
      </c>
    </row>
    <row r="69" spans="1:6" ht="23.25">
      <c r="A69" s="7">
        <v>1170105005</v>
      </c>
      <c r="B69" s="271" t="s">
        <v>18</v>
      </c>
      <c r="C69" s="407">
        <v>0</v>
      </c>
      <c r="D69" s="320">
        <v>0</v>
      </c>
      <c r="E69" s="320"/>
      <c r="F69" s="320">
        <f t="shared" si="1"/>
        <v>0</v>
      </c>
    </row>
    <row r="70" spans="1:6" ht="23.25">
      <c r="A70" s="7">
        <v>1170505005</v>
      </c>
      <c r="B70" s="273" t="s">
        <v>223</v>
      </c>
      <c r="C70" s="407">
        <v>0</v>
      </c>
      <c r="D70" s="401">
        <v>0</v>
      </c>
      <c r="E70" s="320"/>
      <c r="F70" s="320">
        <f t="shared" si="1"/>
        <v>0</v>
      </c>
    </row>
    <row r="71" spans="1:6" s="6" customFormat="1" ht="22.5">
      <c r="A71" s="3">
        <v>1000000000</v>
      </c>
      <c r="B71" s="270" t="s">
        <v>19</v>
      </c>
      <c r="C71" s="402">
        <f>SUM(C4,C32)</f>
        <v>137450.63</v>
      </c>
      <c r="D71" s="402">
        <f>SUM(D4,D32)</f>
        <v>138336.26593</v>
      </c>
      <c r="E71" s="319">
        <f>SUM(D71/C71*100)</f>
        <v>100.64433020787172</v>
      </c>
      <c r="F71" s="319">
        <f>SUM(D71-C71)</f>
        <v>885.6359299999895</v>
      </c>
    </row>
    <row r="72" spans="1:7" s="6" customFormat="1" ht="18.75" customHeight="1">
      <c r="A72" s="3">
        <v>2000000000</v>
      </c>
      <c r="B72" s="270" t="s">
        <v>20</v>
      </c>
      <c r="C72" s="406">
        <f>C76+C77+C78+C80+C75+C79</f>
        <v>459769.73361</v>
      </c>
      <c r="D72" s="319">
        <f>D76+D77+D78+D80+D75+D79</f>
        <v>458190.98934000003</v>
      </c>
      <c r="E72" s="319">
        <f t="shared" si="0"/>
        <v>99.65662283647859</v>
      </c>
      <c r="F72" s="319">
        <f t="shared" si="1"/>
        <v>-1578.7442699999665</v>
      </c>
      <c r="G72" s="94"/>
    </row>
    <row r="73" spans="1:6" ht="21.75" customHeight="1">
      <c r="A73" s="16">
        <v>2020100000</v>
      </c>
      <c r="B73" s="274" t="s">
        <v>21</v>
      </c>
      <c r="C73" s="408">
        <v>0</v>
      </c>
      <c r="D73" s="325">
        <v>0</v>
      </c>
      <c r="E73" s="320"/>
      <c r="F73" s="320">
        <f t="shared" si="1"/>
        <v>0</v>
      </c>
    </row>
    <row r="74" spans="1:6" ht="32.25" customHeight="1">
      <c r="A74" s="16">
        <v>2020100905</v>
      </c>
      <c r="B74" s="277" t="s">
        <v>278</v>
      </c>
      <c r="C74" s="408">
        <v>0</v>
      </c>
      <c r="D74" s="325">
        <v>0</v>
      </c>
      <c r="E74" s="320"/>
      <c r="F74" s="320">
        <f t="shared" si="1"/>
        <v>0</v>
      </c>
    </row>
    <row r="75" spans="1:6" ht="21.75" customHeight="1">
      <c r="A75" s="16">
        <v>2020100310</v>
      </c>
      <c r="B75" s="274" t="s">
        <v>234</v>
      </c>
      <c r="C75" s="408">
        <v>20628.6</v>
      </c>
      <c r="D75" s="325">
        <v>20628.6</v>
      </c>
      <c r="E75" s="320">
        <f t="shared" si="0"/>
        <v>100</v>
      </c>
      <c r="F75" s="320">
        <f t="shared" si="1"/>
        <v>0</v>
      </c>
    </row>
    <row r="76" spans="1:6" ht="23.25">
      <c r="A76" s="16">
        <v>2020200000</v>
      </c>
      <c r="B76" s="274" t="s">
        <v>22</v>
      </c>
      <c r="C76" s="408">
        <v>98690.17952</v>
      </c>
      <c r="D76" s="321">
        <v>97134.42894</v>
      </c>
      <c r="E76" s="320">
        <f t="shared" si="0"/>
        <v>98.42360142866625</v>
      </c>
      <c r="F76" s="320">
        <f t="shared" si="1"/>
        <v>-1555.7505800000072</v>
      </c>
    </row>
    <row r="77" spans="1:6" ht="23.25">
      <c r="A77" s="16">
        <v>2020300000</v>
      </c>
      <c r="B77" s="274" t="s">
        <v>23</v>
      </c>
      <c r="C77" s="408">
        <v>311408.9677</v>
      </c>
      <c r="D77" s="326">
        <v>311391.83301</v>
      </c>
      <c r="E77" s="320">
        <f t="shared" si="0"/>
        <v>99.994497688963</v>
      </c>
      <c r="F77" s="320">
        <f t="shared" si="1"/>
        <v>-17.134689999977127</v>
      </c>
    </row>
    <row r="78" spans="1:6" ht="21.75" customHeight="1">
      <c r="A78" s="16">
        <v>2020400000</v>
      </c>
      <c r="B78" s="277" t="s">
        <v>24</v>
      </c>
      <c r="C78" s="408">
        <v>29209.2</v>
      </c>
      <c r="D78" s="327">
        <v>29209.2</v>
      </c>
      <c r="E78" s="320">
        <f t="shared" si="0"/>
        <v>100</v>
      </c>
      <c r="F78" s="320">
        <f t="shared" si="1"/>
        <v>0</v>
      </c>
    </row>
    <row r="79" spans="1:6" ht="16.5" customHeight="1">
      <c r="A79" s="16">
        <v>2180500005</v>
      </c>
      <c r="B79" s="277" t="s">
        <v>330</v>
      </c>
      <c r="C79" s="408">
        <v>0</v>
      </c>
      <c r="D79" s="327">
        <v>0</v>
      </c>
      <c r="E79" s="320"/>
      <c r="F79" s="320">
        <f t="shared" si="1"/>
        <v>0</v>
      </c>
    </row>
    <row r="80" spans="1:6" ht="16.5" customHeight="1">
      <c r="A80" s="7">
        <v>2190500005</v>
      </c>
      <c r="B80" s="273" t="s">
        <v>26</v>
      </c>
      <c r="C80" s="411">
        <v>-167.21361</v>
      </c>
      <c r="D80" s="328">
        <v>-173.07261</v>
      </c>
      <c r="E80" s="320">
        <f t="shared" si="0"/>
        <v>103.50390138697443</v>
      </c>
      <c r="F80" s="319">
        <f>SUM(D80-C80)</f>
        <v>-5.859000000000009</v>
      </c>
    </row>
    <row r="81" spans="1:6" s="6" customFormat="1" ht="15" customHeight="1" hidden="1">
      <c r="A81" s="3">
        <v>3000000000</v>
      </c>
      <c r="B81" s="272" t="s">
        <v>27</v>
      </c>
      <c r="C81" s="410">
        <v>0</v>
      </c>
      <c r="D81" s="328">
        <v>0</v>
      </c>
      <c r="E81" s="320" t="e">
        <f t="shared" si="0"/>
        <v>#DIV/0!</v>
      </c>
      <c r="F81" s="319">
        <f t="shared" si="1"/>
        <v>0</v>
      </c>
    </row>
    <row r="82" spans="1:8" s="6" customFormat="1" ht="16.5" customHeight="1">
      <c r="A82" s="3"/>
      <c r="B82" s="270" t="s">
        <v>28</v>
      </c>
      <c r="C82" s="412">
        <f>C71+C72</f>
        <v>597220.36361</v>
      </c>
      <c r="D82" s="403">
        <f>D71+D72</f>
        <v>596527.2552700001</v>
      </c>
      <c r="E82" s="320">
        <f>SUM(D82/C82*100)</f>
        <v>99.88394428887014</v>
      </c>
      <c r="F82" s="319">
        <f>SUM(D83-C82)</f>
        <v>-597975.8964999999</v>
      </c>
      <c r="H82" s="94"/>
    </row>
    <row r="83" spans="1:8" s="6" customFormat="1" ht="22.5">
      <c r="A83" s="3"/>
      <c r="B83" s="279" t="s">
        <v>326</v>
      </c>
      <c r="C83" s="413">
        <f>C82-C141</f>
        <v>-8581.308720000088</v>
      </c>
      <c r="D83" s="319">
        <f>D82-D141</f>
        <v>-755.5328899999149</v>
      </c>
      <c r="E83" s="329"/>
      <c r="F83" s="329"/>
      <c r="G83" s="94"/>
      <c r="H83" s="94"/>
    </row>
    <row r="84" spans="1:6" ht="23.25">
      <c r="A84" s="23"/>
      <c r="B84" s="24"/>
      <c r="C84" s="414"/>
      <c r="D84" s="330"/>
      <c r="E84" s="331"/>
      <c r="F84" s="331"/>
    </row>
    <row r="85" spans="1:6" ht="63">
      <c r="A85" s="28" t="s">
        <v>1</v>
      </c>
      <c r="B85" s="28" t="s">
        <v>29</v>
      </c>
      <c r="C85" s="416" t="s">
        <v>340</v>
      </c>
      <c r="D85" s="333" t="s">
        <v>374</v>
      </c>
      <c r="E85" s="332" t="s">
        <v>3</v>
      </c>
      <c r="F85" s="334" t="s">
        <v>4</v>
      </c>
    </row>
    <row r="86" spans="1:6" ht="22.5">
      <c r="A86" s="29">
        <v>1</v>
      </c>
      <c r="B86" s="28">
        <v>2</v>
      </c>
      <c r="C86" s="417">
        <v>3</v>
      </c>
      <c r="D86" s="335">
        <v>4</v>
      </c>
      <c r="E86" s="335">
        <v>5</v>
      </c>
      <c r="F86" s="335">
        <v>6</v>
      </c>
    </row>
    <row r="87" spans="1:6" s="6" customFormat="1" ht="22.5">
      <c r="A87" s="30" t="s">
        <v>30</v>
      </c>
      <c r="B87" s="280" t="s">
        <v>31</v>
      </c>
      <c r="C87" s="418">
        <f>SUM(C88:C94)</f>
        <v>39500.283149999996</v>
      </c>
      <c r="D87" s="329">
        <f>SUM(D88:D94)</f>
        <v>35302.00517</v>
      </c>
      <c r="E87" s="336">
        <f>SUM(D87/C87*100)</f>
        <v>89.37152434057933</v>
      </c>
      <c r="F87" s="336">
        <f>SUM(D87-C87)</f>
        <v>-4198.277979999999</v>
      </c>
    </row>
    <row r="88" spans="1:6" s="6" customFormat="1" ht="37.5">
      <c r="A88" s="35" t="s">
        <v>32</v>
      </c>
      <c r="B88" s="281" t="s">
        <v>33</v>
      </c>
      <c r="C88" s="419">
        <v>48.2</v>
      </c>
      <c r="D88" s="337">
        <v>35.68515</v>
      </c>
      <c r="E88" s="336">
        <f>SUM(D88/C88*100)</f>
        <v>74.03558091286307</v>
      </c>
      <c r="F88" s="336">
        <f>SUM(D88-C88)</f>
        <v>-12.514850000000003</v>
      </c>
    </row>
    <row r="89" spans="1:6" ht="16.5" customHeight="1">
      <c r="A89" s="35" t="s">
        <v>34</v>
      </c>
      <c r="B89" s="282" t="s">
        <v>35</v>
      </c>
      <c r="C89" s="419">
        <v>21759.1</v>
      </c>
      <c r="D89" s="337">
        <v>21635.83129</v>
      </c>
      <c r="E89" s="338">
        <f aca="true" t="shared" si="2" ref="E89:E141">SUM(D89/C89*100)</f>
        <v>99.4334843352896</v>
      </c>
      <c r="F89" s="338">
        <f aca="true" t="shared" si="3" ref="F89:F141">SUM(D89-C89)</f>
        <v>-123.26871000000028</v>
      </c>
    </row>
    <row r="90" spans="1:6" ht="19.5" customHeight="1">
      <c r="A90" s="35" t="s">
        <v>36</v>
      </c>
      <c r="B90" s="282" t="s">
        <v>37</v>
      </c>
      <c r="C90" s="419">
        <v>0</v>
      </c>
      <c r="D90" s="337">
        <v>0</v>
      </c>
      <c r="E90" s="338"/>
      <c r="F90" s="338">
        <f t="shared" si="3"/>
        <v>0</v>
      </c>
    </row>
    <row r="91" spans="1:6" ht="33.75" customHeight="1">
      <c r="A91" s="35" t="s">
        <v>38</v>
      </c>
      <c r="B91" s="282" t="s">
        <v>39</v>
      </c>
      <c r="C91" s="420">
        <v>5360.15</v>
      </c>
      <c r="D91" s="339">
        <v>5356.39622</v>
      </c>
      <c r="E91" s="338">
        <f t="shared" si="2"/>
        <v>99.92996875087451</v>
      </c>
      <c r="F91" s="338">
        <f t="shared" si="3"/>
        <v>-3.753780000000006</v>
      </c>
    </row>
    <row r="92" spans="1:6" ht="18.75" customHeight="1">
      <c r="A92" s="35" t="s">
        <v>40</v>
      </c>
      <c r="B92" s="282" t="s">
        <v>41</v>
      </c>
      <c r="C92" s="419">
        <v>0</v>
      </c>
      <c r="D92" s="337">
        <v>0</v>
      </c>
      <c r="E92" s="338"/>
      <c r="F92" s="338">
        <f t="shared" si="3"/>
        <v>0</v>
      </c>
    </row>
    <row r="93" spans="1:6" ht="15.75" customHeight="1">
      <c r="A93" s="35" t="s">
        <v>42</v>
      </c>
      <c r="B93" s="282" t="s">
        <v>43</v>
      </c>
      <c r="C93" s="420">
        <v>4057.38064</v>
      </c>
      <c r="D93" s="339">
        <v>0</v>
      </c>
      <c r="E93" s="338">
        <f t="shared" si="2"/>
        <v>0</v>
      </c>
      <c r="F93" s="338">
        <f t="shared" si="3"/>
        <v>-4057.38064</v>
      </c>
    </row>
    <row r="94" spans="1:6" ht="16.5" customHeight="1">
      <c r="A94" s="35" t="s">
        <v>44</v>
      </c>
      <c r="B94" s="282" t="s">
        <v>45</v>
      </c>
      <c r="C94" s="419">
        <v>8275.45251</v>
      </c>
      <c r="D94" s="337">
        <v>8274.09251</v>
      </c>
      <c r="E94" s="338">
        <f t="shared" si="2"/>
        <v>99.98356585336748</v>
      </c>
      <c r="F94" s="338">
        <f t="shared" si="3"/>
        <v>-1.359999999998763</v>
      </c>
    </row>
    <row r="95" spans="1:6" s="6" customFormat="1" ht="22.5">
      <c r="A95" s="41" t="s">
        <v>46</v>
      </c>
      <c r="B95" s="283" t="s">
        <v>47</v>
      </c>
      <c r="C95" s="418">
        <f>C96</f>
        <v>1677.5</v>
      </c>
      <c r="D95" s="329">
        <f>D96</f>
        <v>1677.5</v>
      </c>
      <c r="E95" s="336">
        <f t="shared" si="2"/>
        <v>100</v>
      </c>
      <c r="F95" s="336">
        <f t="shared" si="3"/>
        <v>0</v>
      </c>
    </row>
    <row r="96" spans="1:6" ht="23.25">
      <c r="A96" s="43" t="s">
        <v>48</v>
      </c>
      <c r="B96" s="284" t="s">
        <v>49</v>
      </c>
      <c r="C96" s="419">
        <v>1677.5</v>
      </c>
      <c r="D96" s="337">
        <v>1677.5</v>
      </c>
      <c r="E96" s="338">
        <f t="shared" si="2"/>
        <v>100</v>
      </c>
      <c r="F96" s="338">
        <f t="shared" si="3"/>
        <v>0</v>
      </c>
    </row>
    <row r="97" spans="1:6" s="6" customFormat="1" ht="18" customHeight="1">
      <c r="A97" s="30" t="s">
        <v>50</v>
      </c>
      <c r="B97" s="280" t="s">
        <v>51</v>
      </c>
      <c r="C97" s="418">
        <f>SUM(C99:C101)</f>
        <v>3049.4539999999997</v>
      </c>
      <c r="D97" s="329">
        <f>SUM(D99:D101)</f>
        <v>3027.27047</v>
      </c>
      <c r="E97" s="336">
        <f t="shared" si="2"/>
        <v>99.27254092044019</v>
      </c>
      <c r="F97" s="336">
        <f t="shared" si="3"/>
        <v>-22.18352999999979</v>
      </c>
    </row>
    <row r="98" spans="1:6" ht="23.25" hidden="1">
      <c r="A98" s="35" t="s">
        <v>52</v>
      </c>
      <c r="B98" s="282" t="s">
        <v>53</v>
      </c>
      <c r="C98" s="419"/>
      <c r="D98" s="337"/>
      <c r="E98" s="338" t="e">
        <f t="shared" si="2"/>
        <v>#DIV/0!</v>
      </c>
      <c r="F98" s="338">
        <f t="shared" si="3"/>
        <v>0</v>
      </c>
    </row>
    <row r="99" spans="1:6" ht="23.25">
      <c r="A99" s="45" t="s">
        <v>54</v>
      </c>
      <c r="B99" s="282" t="s">
        <v>332</v>
      </c>
      <c r="C99" s="419">
        <v>1467.1</v>
      </c>
      <c r="D99" s="337">
        <v>1467.1</v>
      </c>
      <c r="E99" s="338">
        <f t="shared" si="2"/>
        <v>100</v>
      </c>
      <c r="F99" s="338">
        <f t="shared" si="3"/>
        <v>0</v>
      </c>
    </row>
    <row r="100" spans="1:6" ht="38.25">
      <c r="A100" s="46" t="s">
        <v>56</v>
      </c>
      <c r="B100" s="285" t="s">
        <v>57</v>
      </c>
      <c r="C100" s="419">
        <v>1582.354</v>
      </c>
      <c r="D100" s="337">
        <v>1560.17047</v>
      </c>
      <c r="E100" s="338">
        <f t="shared" si="2"/>
        <v>98.5980678154193</v>
      </c>
      <c r="F100" s="338">
        <f t="shared" si="3"/>
        <v>-22.18353000000002</v>
      </c>
    </row>
    <row r="101" spans="1:6" ht="21" customHeight="1">
      <c r="A101" s="46" t="s">
        <v>221</v>
      </c>
      <c r="B101" s="285" t="s">
        <v>222</v>
      </c>
      <c r="C101" s="419">
        <v>0</v>
      </c>
      <c r="D101" s="337">
        <v>0</v>
      </c>
      <c r="E101" s="338"/>
      <c r="F101" s="338">
        <f t="shared" si="3"/>
        <v>0</v>
      </c>
    </row>
    <row r="102" spans="1:6" s="6" customFormat="1" ht="25.5" customHeight="1">
      <c r="A102" s="30" t="s">
        <v>58</v>
      </c>
      <c r="B102" s="280" t="s">
        <v>59</v>
      </c>
      <c r="C102" s="421">
        <f>SUM(C104:C106)</f>
        <v>70547.73919</v>
      </c>
      <c r="D102" s="340">
        <f>SUM(D104:D106)</f>
        <v>68489.99817</v>
      </c>
      <c r="E102" s="336">
        <f t="shared" si="2"/>
        <v>97.08319353160552</v>
      </c>
      <c r="F102" s="336">
        <f t="shared" si="3"/>
        <v>-2057.7410199999867</v>
      </c>
    </row>
    <row r="103" spans="1:6" ht="0.75" customHeight="1" hidden="1">
      <c r="A103" s="35" t="s">
        <v>60</v>
      </c>
      <c r="B103" s="282" t="s">
        <v>61</v>
      </c>
      <c r="C103" s="422">
        <v>0</v>
      </c>
      <c r="D103" s="337">
        <v>0</v>
      </c>
      <c r="E103" s="338" t="e">
        <f t="shared" si="2"/>
        <v>#DIV/0!</v>
      </c>
      <c r="F103" s="338">
        <f t="shared" si="3"/>
        <v>0</v>
      </c>
    </row>
    <row r="104" spans="1:7" s="6" customFormat="1" ht="20.25" customHeight="1">
      <c r="A104" s="35" t="s">
        <v>60</v>
      </c>
      <c r="B104" s="282" t="s">
        <v>329</v>
      </c>
      <c r="C104" s="422">
        <v>15.2</v>
      </c>
      <c r="D104" s="337">
        <v>15.2</v>
      </c>
      <c r="E104" s="338">
        <f t="shared" si="2"/>
        <v>100</v>
      </c>
      <c r="F104" s="338">
        <f t="shared" si="3"/>
        <v>0</v>
      </c>
      <c r="G104" s="50"/>
    </row>
    <row r="105" spans="1:6" ht="19.5" customHeight="1">
      <c r="A105" s="35" t="s">
        <v>64</v>
      </c>
      <c r="B105" s="282" t="s">
        <v>65</v>
      </c>
      <c r="C105" s="422">
        <v>67927.52111</v>
      </c>
      <c r="D105" s="337">
        <v>66206.95118</v>
      </c>
      <c r="E105" s="338">
        <f t="shared" si="2"/>
        <v>97.46705031792085</v>
      </c>
      <c r="F105" s="338">
        <f t="shared" si="3"/>
        <v>-1720.5699299999978</v>
      </c>
    </row>
    <row r="106" spans="1:6" ht="38.25">
      <c r="A106" s="35" t="s">
        <v>66</v>
      </c>
      <c r="B106" s="282" t="s">
        <v>67</v>
      </c>
      <c r="C106" s="422">
        <v>2605.01808</v>
      </c>
      <c r="D106" s="337">
        <v>2267.84699</v>
      </c>
      <c r="E106" s="338">
        <f t="shared" si="2"/>
        <v>87.05686180880558</v>
      </c>
      <c r="F106" s="338">
        <f t="shared" si="3"/>
        <v>-337.1710899999998</v>
      </c>
    </row>
    <row r="107" spans="1:6" s="6" customFormat="1" ht="37.5">
      <c r="A107" s="30" t="s">
        <v>68</v>
      </c>
      <c r="B107" s="280" t="s">
        <v>69</v>
      </c>
      <c r="C107" s="418">
        <f>SUM(C108:C109)</f>
        <v>7786.1035</v>
      </c>
      <c r="D107" s="329">
        <f>SUM(D108:D109)</f>
        <v>7779.09201</v>
      </c>
      <c r="E107" s="336">
        <f t="shared" si="2"/>
        <v>99.90994866687811</v>
      </c>
      <c r="F107" s="336">
        <f t="shared" si="3"/>
        <v>-7.011489999999867</v>
      </c>
    </row>
    <row r="108" spans="1:6" ht="23.25">
      <c r="A108" s="35" t="s">
        <v>70</v>
      </c>
      <c r="B108" s="286" t="s">
        <v>71</v>
      </c>
      <c r="C108" s="419">
        <v>7786.1035</v>
      </c>
      <c r="D108" s="337">
        <v>7779.09201</v>
      </c>
      <c r="E108" s="338">
        <f t="shared" si="2"/>
        <v>99.90994866687811</v>
      </c>
      <c r="F108" s="338">
        <f t="shared" si="3"/>
        <v>-7.011489999999867</v>
      </c>
    </row>
    <row r="109" spans="1:6" ht="16.5" customHeight="1">
      <c r="A109" s="35" t="s">
        <v>72</v>
      </c>
      <c r="B109" s="286" t="s">
        <v>73</v>
      </c>
      <c r="C109" s="419"/>
      <c r="D109" s="337">
        <v>0</v>
      </c>
      <c r="E109" s="338"/>
      <c r="F109" s="338">
        <f t="shared" si="3"/>
        <v>0</v>
      </c>
    </row>
    <row r="110" spans="1:6" ht="15" customHeight="1">
      <c r="A110" s="35" t="s">
        <v>74</v>
      </c>
      <c r="B110" s="282" t="s">
        <v>75</v>
      </c>
      <c r="C110" s="419">
        <v>0</v>
      </c>
      <c r="D110" s="337">
        <v>0</v>
      </c>
      <c r="E110" s="338"/>
      <c r="F110" s="338">
        <f t="shared" si="3"/>
        <v>0</v>
      </c>
    </row>
    <row r="111" spans="1:6" s="6" customFormat="1" ht="22.5">
      <c r="A111" s="30" t="s">
        <v>76</v>
      </c>
      <c r="B111" s="287" t="s">
        <v>77</v>
      </c>
      <c r="C111" s="421">
        <f>SUM(C112)</f>
        <v>56.5</v>
      </c>
      <c r="D111" s="340">
        <f>SUM(D112)</f>
        <v>56.5</v>
      </c>
      <c r="E111" s="336">
        <f t="shared" si="2"/>
        <v>100</v>
      </c>
      <c r="F111" s="336">
        <f t="shared" si="3"/>
        <v>0</v>
      </c>
    </row>
    <row r="112" spans="1:6" ht="38.25">
      <c r="A112" s="35" t="s">
        <v>78</v>
      </c>
      <c r="B112" s="286" t="s">
        <v>79</v>
      </c>
      <c r="C112" s="423">
        <v>56.5</v>
      </c>
      <c r="D112" s="339">
        <v>56.5</v>
      </c>
      <c r="E112" s="338">
        <f t="shared" si="2"/>
        <v>100</v>
      </c>
      <c r="F112" s="338">
        <f t="shared" si="3"/>
        <v>0</v>
      </c>
    </row>
    <row r="113" spans="1:6" s="6" customFormat="1" ht="22.5">
      <c r="A113" s="30" t="s">
        <v>80</v>
      </c>
      <c r="B113" s="287" t="s">
        <v>81</v>
      </c>
      <c r="C113" s="421">
        <f>SUM(C114:C118)</f>
        <v>364789.56314999994</v>
      </c>
      <c r="D113" s="340">
        <f>D114+D115+D117+D118+D116</f>
        <v>362978.39954</v>
      </c>
      <c r="E113" s="336">
        <f t="shared" si="2"/>
        <v>99.50350454262991</v>
      </c>
      <c r="F113" s="336">
        <f t="shared" si="3"/>
        <v>-1811.1636099999305</v>
      </c>
    </row>
    <row r="114" spans="1:6" ht="23.25">
      <c r="A114" s="35" t="s">
        <v>82</v>
      </c>
      <c r="B114" s="286" t="s">
        <v>260</v>
      </c>
      <c r="C114" s="422">
        <v>90394.72034</v>
      </c>
      <c r="D114" s="337">
        <v>90366.95959</v>
      </c>
      <c r="E114" s="338">
        <f t="shared" si="2"/>
        <v>99.96928941215197</v>
      </c>
      <c r="F114" s="338">
        <f t="shared" si="3"/>
        <v>-27.76075000000128</v>
      </c>
    </row>
    <row r="115" spans="1:6" ht="23.25">
      <c r="A115" s="35" t="s">
        <v>83</v>
      </c>
      <c r="B115" s="286" t="s">
        <v>261</v>
      </c>
      <c r="C115" s="422">
        <v>246960.71132</v>
      </c>
      <c r="D115" s="337">
        <v>245177.30876</v>
      </c>
      <c r="E115" s="338">
        <f t="shared" si="2"/>
        <v>99.27785980593117</v>
      </c>
      <c r="F115" s="338">
        <f t="shared" si="3"/>
        <v>-1783.4025599999877</v>
      </c>
    </row>
    <row r="116" spans="1:6" ht="23.25">
      <c r="A116" s="35" t="s">
        <v>342</v>
      </c>
      <c r="B116" s="286" t="s">
        <v>343</v>
      </c>
      <c r="C116" s="422">
        <v>16771.20628</v>
      </c>
      <c r="D116" s="337">
        <v>16771.20628</v>
      </c>
      <c r="E116" s="338">
        <f t="shared" si="2"/>
        <v>100</v>
      </c>
      <c r="F116" s="338">
        <f t="shared" si="3"/>
        <v>0</v>
      </c>
    </row>
    <row r="117" spans="1:6" ht="23.25">
      <c r="A117" s="35" t="s">
        <v>84</v>
      </c>
      <c r="B117" s="286" t="s">
        <v>262</v>
      </c>
      <c r="C117" s="422">
        <v>5370.8695</v>
      </c>
      <c r="D117" s="337">
        <v>5370.8692</v>
      </c>
      <c r="E117" s="338">
        <f t="shared" si="2"/>
        <v>99.99999441431225</v>
      </c>
      <c r="F117" s="338">
        <f t="shared" si="3"/>
        <v>-0.00029999999969732016</v>
      </c>
    </row>
    <row r="118" spans="1:6" ht="23.25">
      <c r="A118" s="35" t="s">
        <v>85</v>
      </c>
      <c r="B118" s="286" t="s">
        <v>263</v>
      </c>
      <c r="C118" s="422">
        <v>5292.05571</v>
      </c>
      <c r="D118" s="337">
        <v>5292.05571</v>
      </c>
      <c r="E118" s="338">
        <f t="shared" si="2"/>
        <v>100</v>
      </c>
      <c r="F118" s="338">
        <f t="shared" si="3"/>
        <v>0</v>
      </c>
    </row>
    <row r="119" spans="1:6" s="6" customFormat="1" ht="22.5">
      <c r="A119" s="30" t="s">
        <v>86</v>
      </c>
      <c r="B119" s="280" t="s">
        <v>87</v>
      </c>
      <c r="C119" s="418">
        <f>SUM(C120:C121)</f>
        <v>44615.28743</v>
      </c>
      <c r="D119" s="329">
        <f>SUM(D120:D121)</f>
        <v>44493.87528</v>
      </c>
      <c r="E119" s="336">
        <f t="shared" si="2"/>
        <v>99.72786872618384</v>
      </c>
      <c r="F119" s="336">
        <f t="shared" si="3"/>
        <v>-121.41214999999647</v>
      </c>
    </row>
    <row r="120" spans="1:6" ht="23.25">
      <c r="A120" s="35" t="s">
        <v>88</v>
      </c>
      <c r="B120" s="282" t="s">
        <v>236</v>
      </c>
      <c r="C120" s="419">
        <v>43535.28743</v>
      </c>
      <c r="D120" s="337">
        <v>43474.91608</v>
      </c>
      <c r="E120" s="338">
        <f t="shared" si="2"/>
        <v>99.86132777899522</v>
      </c>
      <c r="F120" s="338">
        <f t="shared" si="3"/>
        <v>-60.37134999999398</v>
      </c>
    </row>
    <row r="121" spans="1:6" ht="38.25">
      <c r="A121" s="35" t="s">
        <v>275</v>
      </c>
      <c r="B121" s="282" t="s">
        <v>276</v>
      </c>
      <c r="C121" s="419">
        <v>1080</v>
      </c>
      <c r="D121" s="337">
        <v>1018.9592</v>
      </c>
      <c r="E121" s="338">
        <f t="shared" si="2"/>
        <v>94.34807407407408</v>
      </c>
      <c r="F121" s="338">
        <f t="shared" si="3"/>
        <v>-61.04079999999999</v>
      </c>
    </row>
    <row r="122" spans="1:6" s="6" customFormat="1" ht="22.5">
      <c r="A122" s="52">
        <v>1000</v>
      </c>
      <c r="B122" s="280" t="s">
        <v>89</v>
      </c>
      <c r="C122" s="418">
        <f>SUM(C123:C126)</f>
        <v>33956.384410000006</v>
      </c>
      <c r="D122" s="341">
        <f>SUM(D123:D126)</f>
        <v>33686.42308</v>
      </c>
      <c r="E122" s="336">
        <f t="shared" si="2"/>
        <v>99.20497622261426</v>
      </c>
      <c r="F122" s="336">
        <f t="shared" si="3"/>
        <v>-269.96133000000555</v>
      </c>
    </row>
    <row r="123" spans="1:6" ht="23.25">
      <c r="A123" s="53">
        <v>1001</v>
      </c>
      <c r="B123" s="288" t="s">
        <v>90</v>
      </c>
      <c r="C123" s="419">
        <v>40</v>
      </c>
      <c r="D123" s="337">
        <v>3.11674</v>
      </c>
      <c r="E123" s="338">
        <f t="shared" si="2"/>
        <v>7.79185</v>
      </c>
      <c r="F123" s="338">
        <f t="shared" si="3"/>
        <v>-36.88326</v>
      </c>
    </row>
    <row r="124" spans="1:6" ht="23.25">
      <c r="A124" s="53">
        <v>1003</v>
      </c>
      <c r="B124" s="288" t="s">
        <v>91</v>
      </c>
      <c r="C124" s="419">
        <v>29903.52071</v>
      </c>
      <c r="D124" s="337">
        <v>29703.51848</v>
      </c>
      <c r="E124" s="338">
        <f t="shared" si="2"/>
        <v>99.331174974547</v>
      </c>
      <c r="F124" s="338">
        <f t="shared" si="3"/>
        <v>-200.00223000000187</v>
      </c>
    </row>
    <row r="125" spans="1:6" ht="23.25">
      <c r="A125" s="53">
        <v>1004</v>
      </c>
      <c r="B125" s="288" t="s">
        <v>92</v>
      </c>
      <c r="C125" s="419">
        <v>3885.0637</v>
      </c>
      <c r="D125" s="342">
        <v>3883.5227</v>
      </c>
      <c r="E125" s="338">
        <f t="shared" si="2"/>
        <v>99.96033527069325</v>
      </c>
      <c r="F125" s="338">
        <f t="shared" si="3"/>
        <v>-1.5410000000001673</v>
      </c>
    </row>
    <row r="126" spans="1:6" ht="17.25" customHeight="1">
      <c r="A126" s="35" t="s">
        <v>93</v>
      </c>
      <c r="B126" s="282" t="s">
        <v>94</v>
      </c>
      <c r="C126" s="419">
        <v>127.8</v>
      </c>
      <c r="D126" s="337">
        <v>96.26516</v>
      </c>
      <c r="E126" s="338">
        <f t="shared" si="2"/>
        <v>75.32485133020343</v>
      </c>
      <c r="F126" s="338">
        <f t="shared" si="3"/>
        <v>-31.534840000000003</v>
      </c>
    </row>
    <row r="127" spans="1:6" ht="23.25">
      <c r="A127" s="30" t="s">
        <v>95</v>
      </c>
      <c r="B127" s="280" t="s">
        <v>96</v>
      </c>
      <c r="C127" s="418">
        <f>C128+C129</f>
        <v>5353.552</v>
      </c>
      <c r="D127" s="329">
        <f>D128+D129</f>
        <v>5353.552</v>
      </c>
      <c r="E127" s="338">
        <f t="shared" si="2"/>
        <v>100</v>
      </c>
      <c r="F127" s="329">
        <f>F128+F129+F130+F131+F132</f>
        <v>0</v>
      </c>
    </row>
    <row r="128" spans="1:6" ht="23.25">
      <c r="A128" s="35" t="s">
        <v>97</v>
      </c>
      <c r="B128" s="282" t="s">
        <v>98</v>
      </c>
      <c r="C128" s="419">
        <v>377</v>
      </c>
      <c r="D128" s="337">
        <v>377</v>
      </c>
      <c r="E128" s="338">
        <f t="shared" si="2"/>
        <v>100</v>
      </c>
      <c r="F128" s="338">
        <f aca="true" t="shared" si="4" ref="F128:F136">SUM(D128-C128)</f>
        <v>0</v>
      </c>
    </row>
    <row r="129" spans="1:6" ht="15.75" customHeight="1">
      <c r="A129" s="35" t="s">
        <v>99</v>
      </c>
      <c r="B129" s="282" t="s">
        <v>100</v>
      </c>
      <c r="C129" s="419">
        <v>4976.552</v>
      </c>
      <c r="D129" s="337">
        <v>4976.552</v>
      </c>
      <c r="E129" s="338">
        <f t="shared" si="2"/>
        <v>100</v>
      </c>
      <c r="F129" s="338">
        <f t="shared" si="4"/>
        <v>0</v>
      </c>
    </row>
    <row r="130" spans="1:6" ht="15.75" customHeight="1" hidden="1">
      <c r="A130" s="35" t="s">
        <v>101</v>
      </c>
      <c r="B130" s="282" t="s">
        <v>102</v>
      </c>
      <c r="C130" s="419">
        <f>SUM(C120:C121)</f>
        <v>44615.28743</v>
      </c>
      <c r="D130" s="337"/>
      <c r="E130" s="338">
        <f t="shared" si="2"/>
        <v>0</v>
      </c>
      <c r="F130" s="338"/>
    </row>
    <row r="131" spans="1:6" ht="15.75" customHeight="1" hidden="1">
      <c r="A131" s="35" t="s">
        <v>103</v>
      </c>
      <c r="B131" s="282" t="s">
        <v>104</v>
      </c>
      <c r="C131" s="419"/>
      <c r="D131" s="337"/>
      <c r="E131" s="338" t="e">
        <f t="shared" si="2"/>
        <v>#DIV/0!</v>
      </c>
      <c r="F131" s="338"/>
    </row>
    <row r="132" spans="1:6" ht="15.75" customHeight="1" hidden="1">
      <c r="A132" s="35" t="s">
        <v>105</v>
      </c>
      <c r="B132" s="282" t="s">
        <v>106</v>
      </c>
      <c r="C132" s="419"/>
      <c r="D132" s="337"/>
      <c r="E132" s="338" t="e">
        <f t="shared" si="2"/>
        <v>#DIV/0!</v>
      </c>
      <c r="F132" s="338"/>
    </row>
    <row r="133" spans="1:6" ht="15.75" customHeight="1">
      <c r="A133" s="30" t="s">
        <v>107</v>
      </c>
      <c r="B133" s="280" t="s">
        <v>108</v>
      </c>
      <c r="C133" s="418">
        <f>C134</f>
        <v>80</v>
      </c>
      <c r="D133" s="343">
        <f>D134</f>
        <v>48.88494</v>
      </c>
      <c r="E133" s="338">
        <f>SUM(D133/C133*100)</f>
        <v>61.10617499999999</v>
      </c>
      <c r="F133" s="338">
        <f t="shared" si="4"/>
        <v>-31.11506</v>
      </c>
    </row>
    <row r="134" spans="1:6" ht="21" customHeight="1">
      <c r="A134" s="35" t="s">
        <v>109</v>
      </c>
      <c r="B134" s="282" t="s">
        <v>110</v>
      </c>
      <c r="C134" s="419">
        <v>80</v>
      </c>
      <c r="D134" s="337">
        <v>48.88494</v>
      </c>
      <c r="E134" s="338">
        <f t="shared" si="2"/>
        <v>61.10617499999999</v>
      </c>
      <c r="F134" s="338">
        <f t="shared" si="4"/>
        <v>-31.11506</v>
      </c>
    </row>
    <row r="135" spans="1:6" ht="19.5" customHeight="1">
      <c r="A135" s="30" t="s">
        <v>111</v>
      </c>
      <c r="B135" s="283" t="s">
        <v>112</v>
      </c>
      <c r="C135" s="424">
        <f>C136</f>
        <v>0</v>
      </c>
      <c r="D135" s="344">
        <f>D136</f>
        <v>0</v>
      </c>
      <c r="E135" s="336"/>
      <c r="F135" s="336">
        <f t="shared" si="4"/>
        <v>0</v>
      </c>
    </row>
    <row r="136" spans="1:6" ht="37.5" customHeight="1">
      <c r="A136" s="35" t="s">
        <v>113</v>
      </c>
      <c r="B136" s="284" t="s">
        <v>114</v>
      </c>
      <c r="C136" s="420">
        <v>0</v>
      </c>
      <c r="D136" s="339">
        <v>0</v>
      </c>
      <c r="E136" s="336"/>
      <c r="F136" s="338">
        <f t="shared" si="4"/>
        <v>0</v>
      </c>
    </row>
    <row r="137" spans="1:6" s="6" customFormat="1" ht="19.5" customHeight="1">
      <c r="A137" s="52">
        <v>1400</v>
      </c>
      <c r="B137" s="289" t="s">
        <v>115</v>
      </c>
      <c r="C137" s="425">
        <f>C138+C139+C140</f>
        <v>34389.3055</v>
      </c>
      <c r="D137" s="345">
        <f>D138+D139+D140</f>
        <v>34389.287500000006</v>
      </c>
      <c r="E137" s="336">
        <f t="shared" si="2"/>
        <v>99.99994765814624</v>
      </c>
      <c r="F137" s="336">
        <f t="shared" si="3"/>
        <v>-0.017999999996391125</v>
      </c>
    </row>
    <row r="138" spans="1:6" ht="40.5" customHeight="1">
      <c r="A138" s="53">
        <v>1401</v>
      </c>
      <c r="B138" s="288" t="s">
        <v>116</v>
      </c>
      <c r="C138" s="422">
        <v>26361.9</v>
      </c>
      <c r="D138" s="337">
        <v>26361.9</v>
      </c>
      <c r="E138" s="338">
        <f t="shared" si="2"/>
        <v>100</v>
      </c>
      <c r="F138" s="338">
        <f t="shared" si="3"/>
        <v>0</v>
      </c>
    </row>
    <row r="139" spans="1:6" ht="24.75" customHeight="1">
      <c r="A139" s="53">
        <v>1402</v>
      </c>
      <c r="B139" s="288" t="s">
        <v>117</v>
      </c>
      <c r="C139" s="422">
        <v>6301.9055</v>
      </c>
      <c r="D139" s="337">
        <v>6301.9055</v>
      </c>
      <c r="E139" s="338">
        <f t="shared" si="2"/>
        <v>100</v>
      </c>
      <c r="F139" s="338">
        <f t="shared" si="3"/>
        <v>0</v>
      </c>
    </row>
    <row r="140" spans="1:6" ht="27" customHeight="1">
      <c r="A140" s="53">
        <v>1403</v>
      </c>
      <c r="B140" s="288" t="s">
        <v>118</v>
      </c>
      <c r="C140" s="422">
        <v>1725.5</v>
      </c>
      <c r="D140" s="337">
        <v>1725.482</v>
      </c>
      <c r="E140" s="338">
        <f t="shared" si="2"/>
        <v>99.99895682410896</v>
      </c>
      <c r="F140" s="338">
        <f t="shared" si="3"/>
        <v>-0.018000000000029104</v>
      </c>
    </row>
    <row r="141" spans="1:6" s="6" customFormat="1" ht="22.5">
      <c r="A141" s="52"/>
      <c r="B141" s="290" t="s">
        <v>119</v>
      </c>
      <c r="C141" s="415">
        <f>C87+C95+C97+C102+C107+C111+C113+C119+C122+C127+C133+C135+C137</f>
        <v>605801.6723300001</v>
      </c>
      <c r="D141" s="403">
        <f>D87+D95+D97+D102+D107+D111+D113+D119+D122+D127+D133+D135+D137</f>
        <v>597282.78816</v>
      </c>
      <c r="E141" s="336">
        <f t="shared" si="2"/>
        <v>98.59378331901343</v>
      </c>
      <c r="F141" s="336">
        <f t="shared" si="3"/>
        <v>-8518.884170000092</v>
      </c>
    </row>
    <row r="142" spans="3:4" ht="15.75">
      <c r="C142" s="293"/>
      <c r="D142" s="294"/>
    </row>
    <row r="143" spans="1:4" s="65" customFormat="1" ht="12.75">
      <c r="A143" s="63" t="s">
        <v>120</v>
      </c>
      <c r="B143" s="63"/>
      <c r="C143" s="263"/>
      <c r="D143" s="266"/>
    </row>
    <row r="144" spans="1:4" s="65" customFormat="1" ht="12.75">
      <c r="A144" s="66" t="s">
        <v>121</v>
      </c>
      <c r="B144" s="66"/>
      <c r="C144" s="263" t="s">
        <v>122</v>
      </c>
      <c r="D144" s="266"/>
    </row>
  </sheetData>
  <sheetProtection/>
  <mergeCells count="2">
    <mergeCell ref="A1:F1"/>
    <mergeCell ref="A2:F2"/>
  </mergeCells>
  <printOptions/>
  <pageMargins left="0.5905511811023623" right="0.5511811023622047" top="0.15748031496062992" bottom="0.15748031496062992" header="0.15748031496062992" footer="0.2755905511811024"/>
  <pageSetup horizontalDpi="600" verticalDpi="600" orientation="portrait" paperSize="9" scale="41" r:id="rId1"/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SheetLayoutView="70" workbookViewId="0" topLeftCell="A1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8.00390625" style="62" customWidth="1"/>
    <col min="4" max="4" width="17.00390625" style="62" customWidth="1"/>
    <col min="5" max="5" width="12.00390625" style="62" customWidth="1"/>
    <col min="6" max="6" width="10.57421875" style="62" customWidth="1"/>
    <col min="7" max="7" width="15.421875" style="1" bestFit="1" customWidth="1"/>
    <col min="8" max="10" width="9.140625" style="1" customWidth="1"/>
    <col min="11" max="11" width="11.7109375" style="1" bestFit="1" customWidth="1"/>
    <col min="12" max="16384" width="9.140625" style="1" customWidth="1"/>
  </cols>
  <sheetData>
    <row r="1" spans="1:6" ht="15.75">
      <c r="A1" s="470" t="s">
        <v>363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C5+C7+C12+C14+C17+C20</f>
        <v>518.0699999999999</v>
      </c>
      <c r="D4" s="5">
        <f>D5+D12+D14+D17+D20+D7</f>
        <v>510.46474</v>
      </c>
      <c r="E4" s="5">
        <f>SUM(D4/C4*100)</f>
        <v>98.53200146698325</v>
      </c>
      <c r="F4" s="5">
        <f>SUM(D4-C4)</f>
        <v>-7.60525999999993</v>
      </c>
    </row>
    <row r="5" spans="1:6" s="6" customFormat="1" ht="15.75">
      <c r="A5" s="68">
        <v>1010000000</v>
      </c>
      <c r="B5" s="67" t="s">
        <v>6</v>
      </c>
      <c r="C5" s="5">
        <f>C6</f>
        <v>61.4</v>
      </c>
      <c r="D5" s="5">
        <f>D6</f>
        <v>56.98738</v>
      </c>
      <c r="E5" s="5">
        <f aca="true" t="shared" si="0" ref="E5:E47">SUM(D5/C5*100)</f>
        <v>92.81332247557003</v>
      </c>
      <c r="F5" s="5">
        <f aca="true" t="shared" si="1" ref="F5:F47">SUM(D5-C5)</f>
        <v>-4.412619999999997</v>
      </c>
    </row>
    <row r="6" spans="1:6" ht="15.75">
      <c r="A6" s="7">
        <v>1010200001</v>
      </c>
      <c r="B6" s="8" t="s">
        <v>231</v>
      </c>
      <c r="C6" s="9">
        <v>61.4</v>
      </c>
      <c r="D6" s="10">
        <v>56.98738</v>
      </c>
      <c r="E6" s="9">
        <f aca="true" t="shared" si="2" ref="E6:E11">SUM(D6/C6*100)</f>
        <v>92.81332247557003</v>
      </c>
      <c r="F6" s="9">
        <f t="shared" si="1"/>
        <v>-4.412619999999997</v>
      </c>
    </row>
    <row r="7" spans="1:6" ht="31.5">
      <c r="A7" s="3">
        <v>1030000000</v>
      </c>
      <c r="B7" s="13" t="s">
        <v>285</v>
      </c>
      <c r="C7" s="5">
        <f>C8+C10+C9</f>
        <v>201.67000000000002</v>
      </c>
      <c r="D7" s="5">
        <f>D8+D10+D9+D11</f>
        <v>214.4218</v>
      </c>
      <c r="E7" s="9">
        <f t="shared" si="2"/>
        <v>106.32310209748599</v>
      </c>
      <c r="F7" s="9">
        <f t="shared" si="1"/>
        <v>12.751799999999974</v>
      </c>
    </row>
    <row r="8" spans="1:6" ht="15.75">
      <c r="A8" s="7">
        <v>1030223001</v>
      </c>
      <c r="B8" s="8" t="s">
        <v>287</v>
      </c>
      <c r="C8" s="9">
        <v>65.54</v>
      </c>
      <c r="D8" s="10">
        <v>88.10578</v>
      </c>
      <c r="E8" s="9">
        <f t="shared" si="2"/>
        <v>134.4305462313091</v>
      </c>
      <c r="F8" s="9">
        <f t="shared" si="1"/>
        <v>22.56577999999999</v>
      </c>
    </row>
    <row r="9" spans="1:6" ht="15.75">
      <c r="A9" s="7">
        <v>1030224001</v>
      </c>
      <c r="B9" s="8" t="s">
        <v>291</v>
      </c>
      <c r="C9" s="9">
        <v>0.81</v>
      </c>
      <c r="D9" s="10">
        <v>0.89441</v>
      </c>
      <c r="E9" s="9">
        <f t="shared" si="2"/>
        <v>110.42098765432098</v>
      </c>
      <c r="F9" s="9">
        <f t="shared" si="1"/>
        <v>0.08440999999999999</v>
      </c>
    </row>
    <row r="10" spans="1:6" ht="15.75">
      <c r="A10" s="7">
        <v>1030225001</v>
      </c>
      <c r="B10" s="8" t="s">
        <v>286</v>
      </c>
      <c r="C10" s="9">
        <v>135.32</v>
      </c>
      <c r="D10" s="10">
        <v>142.48561</v>
      </c>
      <c r="E10" s="9">
        <f t="shared" si="2"/>
        <v>105.29530741945021</v>
      </c>
      <c r="F10" s="9">
        <f t="shared" si="1"/>
        <v>7.165610000000015</v>
      </c>
    </row>
    <row r="11" spans="1:6" ht="15.75">
      <c r="A11" s="7">
        <v>1030226001</v>
      </c>
      <c r="B11" s="8" t="s">
        <v>292</v>
      </c>
      <c r="C11" s="9">
        <v>0</v>
      </c>
      <c r="D11" s="10">
        <v>-17.064</v>
      </c>
      <c r="E11" s="9" t="e">
        <f t="shared" si="2"/>
        <v>#DIV/0!</v>
      </c>
      <c r="F11" s="9">
        <f t="shared" si="1"/>
        <v>-17.064</v>
      </c>
    </row>
    <row r="12" spans="1:6" s="6" customFormat="1" ht="15.75">
      <c r="A12" s="68">
        <v>1050000000</v>
      </c>
      <c r="B12" s="67" t="s">
        <v>7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232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240</v>
      </c>
      <c r="D14" s="5">
        <f>D15+D16</f>
        <v>234.75556</v>
      </c>
      <c r="E14" s="5">
        <f t="shared" si="0"/>
        <v>97.81481666666667</v>
      </c>
      <c r="F14" s="5">
        <f t="shared" si="1"/>
        <v>-5.244439999999997</v>
      </c>
    </row>
    <row r="15" spans="1:6" s="6" customFormat="1" ht="15.75" customHeight="1">
      <c r="A15" s="7">
        <v>1060100000</v>
      </c>
      <c r="B15" s="11" t="s">
        <v>9</v>
      </c>
      <c r="C15" s="9">
        <v>25</v>
      </c>
      <c r="D15" s="10">
        <v>28.06562</v>
      </c>
      <c r="E15" s="9">
        <f t="shared" si="0"/>
        <v>112.26247999999998</v>
      </c>
      <c r="F15" s="9">
        <f>SUM(D15-C15)</f>
        <v>3.065619999999999</v>
      </c>
    </row>
    <row r="16" spans="1:6" ht="15" customHeight="1">
      <c r="A16" s="7">
        <v>1060600000</v>
      </c>
      <c r="B16" s="11" t="s">
        <v>8</v>
      </c>
      <c r="C16" s="9">
        <v>215</v>
      </c>
      <c r="D16" s="10">
        <v>206.68994</v>
      </c>
      <c r="E16" s="9">
        <f t="shared" si="0"/>
        <v>96.1348558139535</v>
      </c>
      <c r="F16" s="9">
        <f t="shared" si="1"/>
        <v>-8.310059999999993</v>
      </c>
    </row>
    <row r="17" spans="1:6" s="6" customFormat="1" ht="15" customHeight="1">
      <c r="A17" s="3">
        <v>1080000000</v>
      </c>
      <c r="B17" s="4" t="s">
        <v>11</v>
      </c>
      <c r="C17" s="5">
        <f>C18</f>
        <v>5</v>
      </c>
      <c r="D17" s="5">
        <f>D18</f>
        <v>4.3</v>
      </c>
      <c r="E17" s="9">
        <f t="shared" si="0"/>
        <v>86</v>
      </c>
      <c r="F17" s="5">
        <f t="shared" si="1"/>
        <v>-0.7000000000000002</v>
      </c>
    </row>
    <row r="18" spans="1:6" ht="17.25" customHeight="1">
      <c r="A18" s="7">
        <v>1080402001</v>
      </c>
      <c r="B18" s="8" t="s">
        <v>230</v>
      </c>
      <c r="C18" s="9">
        <v>5</v>
      </c>
      <c r="D18" s="10">
        <v>4.3</v>
      </c>
      <c r="E18" s="9">
        <f t="shared" si="0"/>
        <v>86</v>
      </c>
      <c r="F18" s="9">
        <f t="shared" si="1"/>
        <v>-0.7000000000000002</v>
      </c>
    </row>
    <row r="19" spans="1:6" ht="15" customHeight="1" hidden="1">
      <c r="A19" s="7">
        <v>1080714001</v>
      </c>
      <c r="B19" s="8" t="s">
        <v>229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customHeight="1" hidden="1">
      <c r="A20" s="68">
        <v>1090000000</v>
      </c>
      <c r="B20" s="69" t="s">
        <v>233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 hidden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170</v>
      </c>
      <c r="D25" s="5">
        <f>D26+D31+D34+D29</f>
        <v>54.28468</v>
      </c>
      <c r="E25" s="5">
        <f t="shared" si="0"/>
        <v>31.932164705882354</v>
      </c>
      <c r="F25" s="5">
        <f t="shared" si="1"/>
        <v>-115.71531999999999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170</v>
      </c>
      <c r="D26" s="5">
        <f>D27+D28</f>
        <v>54.28468</v>
      </c>
      <c r="E26" s="5">
        <f t="shared" si="0"/>
        <v>31.932164705882354</v>
      </c>
      <c r="F26" s="5">
        <f t="shared" si="1"/>
        <v>-115.71531999999999</v>
      </c>
    </row>
    <row r="27" spans="1:6" ht="15.75">
      <c r="A27" s="16">
        <v>1110502000</v>
      </c>
      <c r="B27" s="17" t="s">
        <v>228</v>
      </c>
      <c r="C27" s="12">
        <v>170</v>
      </c>
      <c r="D27" s="10">
        <v>54.28468</v>
      </c>
      <c r="E27" s="9">
        <f t="shared" si="0"/>
        <v>31.932164705882354</v>
      </c>
      <c r="F27" s="9">
        <f t="shared" si="1"/>
        <v>-115.71531999999999</v>
      </c>
    </row>
    <row r="28" spans="1:6" ht="15.75">
      <c r="A28" s="7">
        <v>1110503505</v>
      </c>
      <c r="B28" s="11" t="s">
        <v>227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17.25" customHeight="1">
      <c r="A30" s="7">
        <v>1130200000</v>
      </c>
      <c r="B30" s="8" t="s">
        <v>226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customHeight="1">
      <c r="A32" s="16">
        <v>1140200000</v>
      </c>
      <c r="B32" s="18" t="s">
        <v>224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30.75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3.25" customHeight="1">
      <c r="A34" s="3">
        <v>1170000000</v>
      </c>
      <c r="B34" s="13" t="s">
        <v>135</v>
      </c>
      <c r="C34" s="5">
        <v>0</v>
      </c>
      <c r="D34" s="5">
        <f>D35+D36</f>
        <v>0</v>
      </c>
      <c r="E34" s="9" t="e">
        <f t="shared" si="0"/>
        <v>#DIV/0!</v>
      </c>
      <c r="F34" s="5">
        <f t="shared" si="1"/>
        <v>0</v>
      </c>
    </row>
    <row r="35" spans="1:6" ht="27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6" ht="18.75" customHeight="1">
      <c r="A36" s="7">
        <v>1170505005</v>
      </c>
      <c r="B36" s="11" t="s">
        <v>223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5.75">
      <c r="A37" s="3">
        <v>1000000000</v>
      </c>
      <c r="B37" s="4" t="s">
        <v>19</v>
      </c>
      <c r="C37" s="128">
        <f>C25+C4</f>
        <v>688.0699999999999</v>
      </c>
      <c r="D37" s="128">
        <f>SUM(D4,D25)</f>
        <v>564.74942</v>
      </c>
      <c r="E37" s="5">
        <f t="shared" si="0"/>
        <v>82.07732062144841</v>
      </c>
      <c r="F37" s="5">
        <f t="shared" si="1"/>
        <v>-123.32057999999995</v>
      </c>
    </row>
    <row r="38" spans="1:7" s="6" customFormat="1" ht="15.75">
      <c r="A38" s="3">
        <v>2000000000</v>
      </c>
      <c r="B38" s="4" t="s">
        <v>20</v>
      </c>
      <c r="C38" s="316">
        <f>C39+C40+C41+C42+C43</f>
        <v>1663.9506099999999</v>
      </c>
      <c r="D38" s="316">
        <f>D39+D40+D41+D42+D43</f>
        <v>1663.9506099999999</v>
      </c>
      <c r="E38" s="5">
        <f t="shared" si="0"/>
        <v>100</v>
      </c>
      <c r="F38" s="5">
        <f t="shared" si="1"/>
        <v>0</v>
      </c>
      <c r="G38" s="19"/>
    </row>
    <row r="39" spans="1:6" ht="15.75">
      <c r="A39" s="16">
        <v>2020100000</v>
      </c>
      <c r="B39" s="17" t="s">
        <v>21</v>
      </c>
      <c r="C39" s="99">
        <v>934.81</v>
      </c>
      <c r="D39" s="20">
        <v>934.81</v>
      </c>
      <c r="E39" s="9">
        <f t="shared" si="0"/>
        <v>100</v>
      </c>
      <c r="F39" s="9">
        <f t="shared" si="1"/>
        <v>0</v>
      </c>
    </row>
    <row r="40" spans="1:6" ht="15.75">
      <c r="A40" s="16">
        <v>2020100310</v>
      </c>
      <c r="B40" s="17" t="s">
        <v>234</v>
      </c>
      <c r="C40" s="12">
        <v>496.8</v>
      </c>
      <c r="D40" s="20">
        <v>496.8</v>
      </c>
      <c r="E40" s="9">
        <f>SUM(D40/C40*100)</f>
        <v>100</v>
      </c>
      <c r="F40" s="9">
        <f>SUM(D40-C40)</f>
        <v>0</v>
      </c>
    </row>
    <row r="41" spans="1:6" ht="15.75">
      <c r="A41" s="16">
        <v>2020200000</v>
      </c>
      <c r="B41" s="17" t="s">
        <v>22</v>
      </c>
      <c r="C41" s="12">
        <v>172.161</v>
      </c>
      <c r="D41" s="10">
        <v>172.161</v>
      </c>
      <c r="E41" s="9">
        <f t="shared" si="0"/>
        <v>100</v>
      </c>
      <c r="F41" s="9">
        <f t="shared" si="1"/>
        <v>0</v>
      </c>
    </row>
    <row r="42" spans="1:6" ht="19.5" customHeight="1">
      <c r="A42" s="16">
        <v>2020300000</v>
      </c>
      <c r="B42" s="17" t="s">
        <v>23</v>
      </c>
      <c r="C42" s="12">
        <v>60.17961</v>
      </c>
      <c r="D42" s="258">
        <v>60.17961</v>
      </c>
      <c r="E42" s="9">
        <f t="shared" si="0"/>
        <v>100</v>
      </c>
      <c r="F42" s="9">
        <f t="shared" si="1"/>
        <v>0</v>
      </c>
    </row>
    <row r="43" spans="1:6" ht="23.25" customHeight="1">
      <c r="A43" s="16">
        <v>2020400000</v>
      </c>
      <c r="B43" s="17" t="s">
        <v>24</v>
      </c>
      <c r="C43" s="12">
        <v>0</v>
      </c>
      <c r="D43" s="259">
        <v>0</v>
      </c>
      <c r="E43" s="9" t="e">
        <f t="shared" si="0"/>
        <v>#DIV/0!</v>
      </c>
      <c r="F43" s="9">
        <f t="shared" si="1"/>
        <v>0</v>
      </c>
    </row>
    <row r="44" spans="1:6" ht="33" customHeight="1">
      <c r="A44" s="16">
        <v>2020900000</v>
      </c>
      <c r="B44" s="18" t="s">
        <v>25</v>
      </c>
      <c r="C44" s="12">
        <v>0</v>
      </c>
      <c r="D44" s="259">
        <v>0</v>
      </c>
      <c r="E44" s="9" t="e">
        <f t="shared" si="0"/>
        <v>#DIV/0!</v>
      </c>
      <c r="F44" s="9">
        <f t="shared" si="1"/>
        <v>0</v>
      </c>
    </row>
    <row r="45" spans="1:6" ht="24.75" customHeight="1">
      <c r="A45" s="7">
        <v>2190500005</v>
      </c>
      <c r="B45" s="11" t="s">
        <v>26</v>
      </c>
      <c r="C45" s="10">
        <v>0</v>
      </c>
      <c r="D45" s="10">
        <v>0</v>
      </c>
      <c r="E45" s="5" t="e">
        <f t="shared" si="0"/>
        <v>#DIV/0!</v>
      </c>
      <c r="F45" s="5">
        <f>SUM(D45-C45)</f>
        <v>0</v>
      </c>
    </row>
    <row r="46" spans="1:6" s="6" customFormat="1" ht="18" customHeight="1">
      <c r="A46" s="3">
        <v>3000000000</v>
      </c>
      <c r="B46" s="13" t="s">
        <v>27</v>
      </c>
      <c r="C46" s="295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316">
        <f>C37+C38</f>
        <v>2352.0206099999996</v>
      </c>
      <c r="D47" s="382">
        <f>D37+D38</f>
        <v>2228.70003</v>
      </c>
      <c r="E47" s="5">
        <f t="shared" si="0"/>
        <v>94.75682400589169</v>
      </c>
      <c r="F47" s="5">
        <f t="shared" si="1"/>
        <v>-123.32057999999961</v>
      </c>
      <c r="K47" s="131"/>
    </row>
    <row r="48" spans="1:6" s="6" customFormat="1" ht="15.75">
      <c r="A48" s="3"/>
      <c r="B48" s="21" t="s">
        <v>327</v>
      </c>
      <c r="C48" s="5">
        <f>C47-C93</f>
        <v>-84.15700000000061</v>
      </c>
      <c r="D48" s="5">
        <f>D47-D93</f>
        <v>-67.4076299999997</v>
      </c>
      <c r="E48" s="22"/>
      <c r="F48" s="22"/>
    </row>
    <row r="49" spans="1:6" ht="15.75">
      <c r="A49" s="23"/>
      <c r="B49" s="24"/>
      <c r="C49" s="257"/>
      <c r="D49" s="257"/>
      <c r="E49" s="26"/>
      <c r="F49" s="92"/>
    </row>
    <row r="50" spans="1:6" ht="50.25" customHeight="1">
      <c r="A50" s="28" t="s">
        <v>1</v>
      </c>
      <c r="B50" s="28" t="s">
        <v>29</v>
      </c>
      <c r="C50" s="250" t="s">
        <v>340</v>
      </c>
      <c r="D50" s="251" t="s">
        <v>353</v>
      </c>
      <c r="E50" s="72" t="s">
        <v>3</v>
      </c>
      <c r="F50" s="74" t="s">
        <v>4</v>
      </c>
    </row>
    <row r="51" spans="1:6" ht="15.75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2.25" customHeight="1">
      <c r="A52" s="30" t="s">
        <v>30</v>
      </c>
      <c r="B52" s="31" t="s">
        <v>31</v>
      </c>
      <c r="C52" s="253">
        <f>C54+C57+C58+C59</f>
        <v>945.219</v>
      </c>
      <c r="D52" s="32">
        <f>D54+D57+D58+D59</f>
        <v>907.06207</v>
      </c>
      <c r="E52" s="34">
        <f>SUM(D52/C52*100)</f>
        <v>95.96316515008691</v>
      </c>
      <c r="F52" s="34">
        <f>SUM(D52-C52)</f>
        <v>-38.1569300000001</v>
      </c>
    </row>
    <row r="53" spans="1:6" s="6" customFormat="1" ht="31.5" hidden="1">
      <c r="A53" s="35" t="s">
        <v>32</v>
      </c>
      <c r="B53" s="36" t="s">
        <v>33</v>
      </c>
      <c r="C53" s="37"/>
      <c r="D53" s="37"/>
      <c r="E53" s="38"/>
      <c r="F53" s="38"/>
    </row>
    <row r="54" spans="1:6" ht="16.5" customHeight="1">
      <c r="A54" s="35" t="s">
        <v>34</v>
      </c>
      <c r="B54" s="39" t="s">
        <v>35</v>
      </c>
      <c r="C54" s="37">
        <v>937.6</v>
      </c>
      <c r="D54" s="37">
        <v>904.68057</v>
      </c>
      <c r="E54" s="38">
        <f>SUM(D54/C54*100)</f>
        <v>96.4889686433447</v>
      </c>
      <c r="F54" s="38">
        <f aca="true" t="shared" si="3" ref="F54:F93">SUM(D54-C54)</f>
        <v>-32.919430000000034</v>
      </c>
    </row>
    <row r="55" spans="1:6" ht="16.5" customHeight="1" hidden="1">
      <c r="A55" s="35" t="s">
        <v>36</v>
      </c>
      <c r="B55" s="39" t="s">
        <v>37</v>
      </c>
      <c r="C55" s="37"/>
      <c r="D55" s="37"/>
      <c r="E55" s="38"/>
      <c r="F55" s="38">
        <f t="shared" si="3"/>
        <v>0</v>
      </c>
    </row>
    <row r="56" spans="1:6" ht="15.75" customHeight="1" hidden="1">
      <c r="A56" s="35" t="s">
        <v>38</v>
      </c>
      <c r="B56" s="39" t="s">
        <v>39</v>
      </c>
      <c r="C56" s="37"/>
      <c r="D56" s="37"/>
      <c r="E56" s="38" t="e">
        <f aca="true" t="shared" si="4" ref="E56:E93">SUM(D56/C56*100)</f>
        <v>#DIV/0!</v>
      </c>
      <c r="F56" s="38">
        <f t="shared" si="3"/>
        <v>0</v>
      </c>
    </row>
    <row r="57" spans="1:6" ht="14.25" customHeight="1">
      <c r="A57" s="35" t="s">
        <v>40</v>
      </c>
      <c r="B57" s="39" t="s">
        <v>41</v>
      </c>
      <c r="C57" s="37">
        <v>0</v>
      </c>
      <c r="D57" s="37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40">
        <v>5</v>
      </c>
      <c r="D58" s="4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37">
        <v>2.619</v>
      </c>
      <c r="D59" s="37">
        <v>2.3815</v>
      </c>
      <c r="E59" s="38">
        <f t="shared" si="4"/>
        <v>90.93165330278732</v>
      </c>
      <c r="F59" s="38">
        <f t="shared" si="3"/>
        <v>-0.23750000000000027</v>
      </c>
    </row>
    <row r="60" spans="1:6" s="6" customFormat="1" ht="15.75">
      <c r="A60" s="41" t="s">
        <v>46</v>
      </c>
      <c r="B60" s="42" t="s">
        <v>47</v>
      </c>
      <c r="C60" s="32">
        <f>C61</f>
        <v>59.44831</v>
      </c>
      <c r="D60" s="32">
        <f>D61</f>
        <v>59.44831</v>
      </c>
      <c r="E60" s="34">
        <f t="shared" si="4"/>
        <v>100</v>
      </c>
      <c r="F60" s="34">
        <f t="shared" si="3"/>
        <v>0</v>
      </c>
    </row>
    <row r="61" spans="1:6" ht="15.75">
      <c r="A61" s="43" t="s">
        <v>48</v>
      </c>
      <c r="B61" s="44" t="s">
        <v>49</v>
      </c>
      <c r="C61" s="37">
        <v>59.44831</v>
      </c>
      <c r="D61" s="37">
        <v>59.44831</v>
      </c>
      <c r="E61" s="38">
        <f t="shared" si="4"/>
        <v>100</v>
      </c>
      <c r="F61" s="38">
        <f t="shared" si="3"/>
        <v>0</v>
      </c>
    </row>
    <row r="62" spans="1:6" s="6" customFormat="1" ht="17.25" customHeight="1">
      <c r="A62" s="30" t="s">
        <v>50</v>
      </c>
      <c r="B62" s="31" t="s">
        <v>51</v>
      </c>
      <c r="C62" s="32">
        <f>C65+C66</f>
        <v>8.785</v>
      </c>
      <c r="D62" s="32">
        <f>D65+D66</f>
        <v>8.78347</v>
      </c>
      <c r="E62" s="34">
        <f t="shared" si="4"/>
        <v>99.98258394991461</v>
      </c>
      <c r="F62" s="34">
        <f t="shared" si="3"/>
        <v>-0.0015300000000006975</v>
      </c>
    </row>
    <row r="63" spans="1:6" ht="13.5" customHeight="1" hidden="1">
      <c r="A63" s="35" t="s">
        <v>52</v>
      </c>
      <c r="B63" s="39" t="s">
        <v>53</v>
      </c>
      <c r="C63" s="37"/>
      <c r="D63" s="37"/>
      <c r="E63" s="34" t="e">
        <f t="shared" si="4"/>
        <v>#DIV/0!</v>
      </c>
      <c r="F63" s="34">
        <f t="shared" si="3"/>
        <v>0</v>
      </c>
    </row>
    <row r="64" spans="1:6" ht="15.75" hidden="1">
      <c r="A64" s="45" t="s">
        <v>54</v>
      </c>
      <c r="B64" s="39" t="s">
        <v>55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6" ht="15.75" customHeight="1">
      <c r="A65" s="46" t="s">
        <v>56</v>
      </c>
      <c r="B65" s="47" t="s">
        <v>57</v>
      </c>
      <c r="C65" s="37">
        <v>2.41</v>
      </c>
      <c r="D65" s="37">
        <v>2.40847</v>
      </c>
      <c r="E65" s="34">
        <f t="shared" si="4"/>
        <v>99.93651452282157</v>
      </c>
      <c r="F65" s="34">
        <f t="shared" si="3"/>
        <v>-0.0015300000000002534</v>
      </c>
    </row>
    <row r="66" spans="1:6" ht="15.75" customHeight="1">
      <c r="A66" s="46" t="s">
        <v>221</v>
      </c>
      <c r="B66" s="47" t="s">
        <v>222</v>
      </c>
      <c r="C66" s="37">
        <v>6.375</v>
      </c>
      <c r="D66" s="37">
        <v>6.375</v>
      </c>
      <c r="E66" s="38">
        <f t="shared" si="4"/>
        <v>100</v>
      </c>
      <c r="F66" s="38">
        <f t="shared" si="3"/>
        <v>0</v>
      </c>
    </row>
    <row r="67" spans="1:6" s="6" customFormat="1" ht="15.75">
      <c r="A67" s="30" t="s">
        <v>58</v>
      </c>
      <c r="B67" s="31" t="s">
        <v>59</v>
      </c>
      <c r="C67" s="48">
        <f>C70+C71+C68</f>
        <v>735.1003000000001</v>
      </c>
      <c r="D67" s="48">
        <f>D70+D71+D68</f>
        <v>659.267</v>
      </c>
      <c r="E67" s="34">
        <f t="shared" si="4"/>
        <v>89.68395197226828</v>
      </c>
      <c r="F67" s="34">
        <f t="shared" si="3"/>
        <v>-75.83330000000001</v>
      </c>
    </row>
    <row r="68" spans="1:6" ht="15.75" customHeight="1">
      <c r="A68" s="35" t="s">
        <v>60</v>
      </c>
      <c r="B68" s="39" t="s">
        <v>61</v>
      </c>
      <c r="C68" s="49">
        <v>3.75</v>
      </c>
      <c r="D68" s="37">
        <v>3.75</v>
      </c>
      <c r="E68" s="38">
        <f t="shared" si="4"/>
        <v>100</v>
      </c>
      <c r="F68" s="38">
        <f t="shared" si="3"/>
        <v>0</v>
      </c>
    </row>
    <row r="69" spans="1:7" s="6" customFormat="1" ht="15.75" customHeight="1">
      <c r="A69" s="35" t="s">
        <v>62</v>
      </c>
      <c r="B69" s="39" t="s">
        <v>63</v>
      </c>
      <c r="C69" s="49">
        <v>0</v>
      </c>
      <c r="D69" s="37">
        <v>0</v>
      </c>
      <c r="E69" s="38" t="e">
        <f t="shared" si="4"/>
        <v>#DIV/0!</v>
      </c>
      <c r="F69" s="38">
        <f t="shared" si="3"/>
        <v>0</v>
      </c>
      <c r="G69" s="50"/>
    </row>
    <row r="70" spans="1:6" ht="15.75">
      <c r="A70" s="35" t="s">
        <v>64</v>
      </c>
      <c r="B70" s="39" t="s">
        <v>65</v>
      </c>
      <c r="C70" s="49">
        <v>542.988</v>
      </c>
      <c r="D70" s="37">
        <v>474.947</v>
      </c>
      <c r="E70" s="38">
        <f t="shared" si="4"/>
        <v>87.46915217279202</v>
      </c>
      <c r="F70" s="38">
        <f t="shared" si="3"/>
        <v>-68.04100000000005</v>
      </c>
    </row>
    <row r="71" spans="1:6" ht="15.75">
      <c r="A71" s="35" t="s">
        <v>66</v>
      </c>
      <c r="B71" s="39" t="s">
        <v>67</v>
      </c>
      <c r="C71" s="49">
        <v>188.3623</v>
      </c>
      <c r="D71" s="37">
        <v>180.57</v>
      </c>
      <c r="E71" s="38">
        <f t="shared" si="4"/>
        <v>95.86313184750875</v>
      </c>
      <c r="F71" s="38">
        <f t="shared" si="3"/>
        <v>-7.7923000000000116</v>
      </c>
    </row>
    <row r="72" spans="1:6" s="6" customFormat="1" ht="15.75">
      <c r="A72" s="30" t="s">
        <v>68</v>
      </c>
      <c r="B72" s="31" t="s">
        <v>69</v>
      </c>
      <c r="C72" s="32">
        <f>C75</f>
        <v>215.025</v>
      </c>
      <c r="D72" s="32">
        <f>D75</f>
        <v>188.94681</v>
      </c>
      <c r="E72" s="34">
        <f t="shared" si="4"/>
        <v>87.87201953261248</v>
      </c>
      <c r="F72" s="34">
        <f t="shared" si="3"/>
        <v>-26.078190000000006</v>
      </c>
    </row>
    <row r="73" spans="1:6" ht="15.75" hidden="1">
      <c r="A73" s="35" t="s">
        <v>70</v>
      </c>
      <c r="B73" s="51" t="s">
        <v>71</v>
      </c>
      <c r="C73" s="37"/>
      <c r="D73" s="37"/>
      <c r="E73" s="38" t="e">
        <f t="shared" si="4"/>
        <v>#DIV/0!</v>
      </c>
      <c r="F73" s="38">
        <f t="shared" si="3"/>
        <v>0</v>
      </c>
    </row>
    <row r="74" spans="1:6" ht="15.75" hidden="1">
      <c r="A74" s="35" t="s">
        <v>72</v>
      </c>
      <c r="B74" s="51" t="s">
        <v>73</v>
      </c>
      <c r="C74" s="37"/>
      <c r="D74" s="37"/>
      <c r="E74" s="38" t="e">
        <f t="shared" si="4"/>
        <v>#DIV/0!</v>
      </c>
      <c r="F74" s="38">
        <f t="shared" si="3"/>
        <v>0</v>
      </c>
    </row>
    <row r="75" spans="1:6" ht="15.75">
      <c r="A75" s="35" t="s">
        <v>74</v>
      </c>
      <c r="B75" s="39" t="s">
        <v>75</v>
      </c>
      <c r="C75" s="37">
        <v>215.025</v>
      </c>
      <c r="D75" s="37">
        <v>188.94681</v>
      </c>
      <c r="E75" s="38">
        <f t="shared" si="4"/>
        <v>87.87201953261248</v>
      </c>
      <c r="F75" s="38">
        <f t="shared" si="3"/>
        <v>-26.078190000000006</v>
      </c>
    </row>
    <row r="76" spans="1:6" s="6" customFormat="1" ht="15.75">
      <c r="A76" s="30" t="s">
        <v>86</v>
      </c>
      <c r="B76" s="31" t="s">
        <v>87</v>
      </c>
      <c r="C76" s="32">
        <f>C77</f>
        <v>467.6</v>
      </c>
      <c r="D76" s="32">
        <f>D77</f>
        <v>467.6</v>
      </c>
      <c r="E76" s="34">
        <f t="shared" si="4"/>
        <v>100</v>
      </c>
      <c r="F76" s="34">
        <f t="shared" si="3"/>
        <v>0</v>
      </c>
    </row>
    <row r="77" spans="1:6" ht="15" customHeight="1">
      <c r="A77" s="35" t="s">
        <v>88</v>
      </c>
      <c r="B77" s="39" t="s">
        <v>236</v>
      </c>
      <c r="C77" s="37">
        <v>467.6</v>
      </c>
      <c r="D77" s="37">
        <v>467.6</v>
      </c>
      <c r="E77" s="38">
        <f t="shared" si="4"/>
        <v>100</v>
      </c>
      <c r="F77" s="38">
        <f t="shared" si="3"/>
        <v>0</v>
      </c>
    </row>
    <row r="78" spans="1:6" s="6" customFormat="1" ht="16.5" customHeight="1" hidden="1">
      <c r="A78" s="52">
        <v>1000</v>
      </c>
      <c r="B78" s="31" t="s">
        <v>89</v>
      </c>
      <c r="C78" s="32"/>
      <c r="D78" s="32"/>
      <c r="E78" s="34" t="e">
        <f t="shared" si="4"/>
        <v>#DIV/0!</v>
      </c>
      <c r="F78" s="34">
        <f t="shared" si="3"/>
        <v>0</v>
      </c>
    </row>
    <row r="79" spans="1:6" ht="16.5" customHeight="1" hidden="1">
      <c r="A79" s="53">
        <v>1001</v>
      </c>
      <c r="B79" s="54" t="s">
        <v>90</v>
      </c>
      <c r="C79" s="37"/>
      <c r="D79" s="37"/>
      <c r="E79" s="38" t="e">
        <f t="shared" si="4"/>
        <v>#DIV/0!</v>
      </c>
      <c r="F79" s="38">
        <f t="shared" si="3"/>
        <v>0</v>
      </c>
    </row>
    <row r="80" spans="1:6" ht="15.75" customHeight="1" hidden="1">
      <c r="A80" s="53">
        <v>1003</v>
      </c>
      <c r="B80" s="54" t="s">
        <v>91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6" ht="16.5" customHeight="1" hidden="1">
      <c r="A81" s="53">
        <v>1004</v>
      </c>
      <c r="B81" s="54" t="s">
        <v>92</v>
      </c>
      <c r="C81" s="37"/>
      <c r="D81" s="55"/>
      <c r="E81" s="38" t="e">
        <f t="shared" si="4"/>
        <v>#DIV/0!</v>
      </c>
      <c r="F81" s="38">
        <f t="shared" si="3"/>
        <v>0</v>
      </c>
    </row>
    <row r="82" spans="1:6" ht="16.5" customHeight="1" hidden="1">
      <c r="A82" s="35" t="s">
        <v>93</v>
      </c>
      <c r="B82" s="39" t="s">
        <v>94</v>
      </c>
      <c r="C82" s="37"/>
      <c r="D82" s="37"/>
      <c r="E82" s="38"/>
      <c r="F82" s="38">
        <f t="shared" si="3"/>
        <v>0</v>
      </c>
    </row>
    <row r="83" spans="1:6" ht="15.75">
      <c r="A83" s="30" t="s">
        <v>95</v>
      </c>
      <c r="B83" s="31" t="s">
        <v>96</v>
      </c>
      <c r="C83" s="32">
        <f>C84</f>
        <v>5</v>
      </c>
      <c r="D83" s="32">
        <f>D84</f>
        <v>5</v>
      </c>
      <c r="E83" s="38">
        <f t="shared" si="4"/>
        <v>100</v>
      </c>
      <c r="F83" s="22">
        <f>F84+F85+F86+F87+F88</f>
        <v>0</v>
      </c>
    </row>
    <row r="84" spans="1:6" ht="15.75">
      <c r="A84" s="35" t="s">
        <v>97</v>
      </c>
      <c r="B84" s="39" t="s">
        <v>98</v>
      </c>
      <c r="C84" s="37">
        <v>5</v>
      </c>
      <c r="D84" s="37">
        <v>5</v>
      </c>
      <c r="E84" s="38">
        <v>0</v>
      </c>
      <c r="F84" s="38">
        <f>SUM(D84-C84)</f>
        <v>0</v>
      </c>
    </row>
    <row r="85" spans="1:6" ht="15.75" customHeight="1" hidden="1">
      <c r="A85" s="35" t="s">
        <v>99</v>
      </c>
      <c r="B85" s="39" t="s">
        <v>100</v>
      </c>
      <c r="C85" s="37"/>
      <c r="D85" s="37"/>
      <c r="E85" s="38" t="e">
        <f t="shared" si="4"/>
        <v>#DIV/0!</v>
      </c>
      <c r="F85" s="38">
        <f>SUM(D85-C85)</f>
        <v>0</v>
      </c>
    </row>
    <row r="86" spans="1:6" ht="15.75" customHeight="1" hidden="1">
      <c r="A86" s="35" t="s">
        <v>101</v>
      </c>
      <c r="B86" s="39" t="s">
        <v>102</v>
      </c>
      <c r="C86" s="37"/>
      <c r="D86" s="37"/>
      <c r="E86" s="38" t="e">
        <f t="shared" si="4"/>
        <v>#DIV/0!</v>
      </c>
      <c r="F86" s="38"/>
    </row>
    <row r="87" spans="1:6" ht="15.75" customHeight="1" hidden="1">
      <c r="A87" s="35" t="s">
        <v>103</v>
      </c>
      <c r="B87" s="39" t="s">
        <v>104</v>
      </c>
      <c r="C87" s="37"/>
      <c r="D87" s="37"/>
      <c r="E87" s="38" t="e">
        <f t="shared" si="4"/>
        <v>#DIV/0!</v>
      </c>
      <c r="F87" s="38"/>
    </row>
    <row r="88" spans="1:6" ht="15.75" customHeight="1" hidden="1">
      <c r="A88" s="35" t="s">
        <v>105</v>
      </c>
      <c r="B88" s="39" t="s">
        <v>106</v>
      </c>
      <c r="C88" s="37"/>
      <c r="D88" s="37"/>
      <c r="E88" s="38" t="e">
        <f t="shared" si="4"/>
        <v>#DIV/0!</v>
      </c>
      <c r="F88" s="38"/>
    </row>
    <row r="89" spans="1:6" s="6" customFormat="1" ht="15.75" hidden="1">
      <c r="A89" s="52">
        <v>1400</v>
      </c>
      <c r="B89" s="56" t="s">
        <v>115</v>
      </c>
      <c r="C89" s="48">
        <v>0</v>
      </c>
      <c r="D89" s="48">
        <f>SUM(D90:D92)</f>
        <v>0</v>
      </c>
      <c r="E89" s="34" t="e">
        <f t="shared" si="4"/>
        <v>#DIV/0!</v>
      </c>
      <c r="F89" s="34">
        <f t="shared" si="3"/>
        <v>0</v>
      </c>
    </row>
    <row r="90" spans="1:6" ht="15.75" hidden="1">
      <c r="A90" s="53">
        <v>1401</v>
      </c>
      <c r="B90" s="54" t="s">
        <v>116</v>
      </c>
      <c r="C90" s="49"/>
      <c r="D90" s="37"/>
      <c r="E90" s="38" t="e">
        <f t="shared" si="4"/>
        <v>#DIV/0!</v>
      </c>
      <c r="F90" s="38">
        <f t="shared" si="3"/>
        <v>0</v>
      </c>
    </row>
    <row r="91" spans="1:6" ht="15" customHeight="1" hidden="1">
      <c r="A91" s="53">
        <v>1402</v>
      </c>
      <c r="B91" s="54" t="s">
        <v>117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6" ht="15.75" hidden="1">
      <c r="A92" s="53">
        <v>1403</v>
      </c>
      <c r="B92" s="54" t="s">
        <v>118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s="6" customFormat="1" ht="15.75">
      <c r="A93" s="52"/>
      <c r="B93" s="57" t="s">
        <v>119</v>
      </c>
      <c r="C93" s="317">
        <f>C52+C60+C62+C67+C72+C76+C83</f>
        <v>2436.17761</v>
      </c>
      <c r="D93" s="317">
        <f>D52+D60+D62+D67+D72+D76+D78+D83+D89</f>
        <v>2296.1076599999997</v>
      </c>
      <c r="E93" s="129">
        <f t="shared" si="4"/>
        <v>94.25042125725798</v>
      </c>
      <c r="F93" s="34">
        <f t="shared" si="3"/>
        <v>-140.06995000000052</v>
      </c>
    </row>
    <row r="94" spans="3:4" ht="15.75">
      <c r="C94" s="127"/>
      <c r="D94" s="102"/>
    </row>
    <row r="95" spans="1:4" s="65" customFormat="1" ht="16.5" customHeight="1">
      <c r="A95" s="63" t="s">
        <v>120</v>
      </c>
      <c r="B95" s="63"/>
      <c r="C95" s="256"/>
      <c r="D95" s="256"/>
    </row>
    <row r="96" spans="1:3" s="65" customFormat="1" ht="20.25" customHeight="1">
      <c r="A96" s="66" t="s">
        <v>121</v>
      </c>
      <c r="B96" s="66"/>
      <c r="C96" s="65" t="s">
        <v>122</v>
      </c>
    </row>
    <row r="97" ht="13.5" customHeight="1"/>
    <row r="99" ht="5.25" customHeight="1"/>
  </sheetData>
  <sheetProtection/>
  <mergeCells count="2">
    <mergeCell ref="A1:F1"/>
    <mergeCell ref="A2:F2"/>
  </mergeCells>
  <printOptions/>
  <pageMargins left="0.75" right="0.75" top="0.18" bottom="0.17" header="0.5" footer="0.2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70" zoomScaleSheetLayoutView="70" zoomScalePageLayoutView="0" workbookViewId="0" topLeftCell="A18">
      <selection activeCell="J73" sqref="J73"/>
    </sheetView>
  </sheetViews>
  <sheetFormatPr defaultColWidth="9.140625" defaultRowHeight="12.75"/>
  <cols>
    <col min="1" max="1" width="14.7109375" style="58" customWidth="1"/>
    <col min="2" max="2" width="56.421875" style="59" customWidth="1"/>
    <col min="3" max="3" width="16.7109375" style="60" customWidth="1"/>
    <col min="4" max="4" width="16.8515625" style="62" customWidth="1"/>
    <col min="5" max="5" width="10.8515625" style="62" customWidth="1"/>
    <col min="6" max="6" width="10.140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364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136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2483.98</v>
      </c>
      <c r="D4" s="5">
        <f>D5+D12+D14+D17+D7</f>
        <v>2432.5542800000003</v>
      </c>
      <c r="E4" s="5">
        <f>SUM(D4/C4*100)</f>
        <v>97.92970474802536</v>
      </c>
      <c r="F4" s="5">
        <f>SUM(D4-C4)</f>
        <v>-51.42571999999973</v>
      </c>
    </row>
    <row r="5" spans="1:6" s="6" customFormat="1" ht="15.75">
      <c r="A5" s="68">
        <v>1010000000</v>
      </c>
      <c r="B5" s="67" t="s">
        <v>6</v>
      </c>
      <c r="C5" s="5">
        <f>C6</f>
        <v>457.95</v>
      </c>
      <c r="D5" s="5">
        <f>D6</f>
        <v>430.73935</v>
      </c>
      <c r="E5" s="5">
        <f aca="true" t="shared" si="0" ref="E5:E50">SUM(D5/C5*100)</f>
        <v>94.05816137132875</v>
      </c>
      <c r="F5" s="5">
        <f aca="true" t="shared" si="1" ref="F5:F50">SUM(D5-C5)</f>
        <v>-27.210649999999987</v>
      </c>
    </row>
    <row r="6" spans="1:6" ht="15.75">
      <c r="A6" s="7">
        <v>1010200001</v>
      </c>
      <c r="B6" s="8" t="s">
        <v>231</v>
      </c>
      <c r="C6" s="9">
        <v>457.95</v>
      </c>
      <c r="D6" s="10">
        <v>430.73935</v>
      </c>
      <c r="E6" s="9">
        <f aca="true" t="shared" si="2" ref="E6:E11">SUM(D6/C6*100)</f>
        <v>94.05816137132875</v>
      </c>
      <c r="F6" s="9">
        <f t="shared" si="1"/>
        <v>-27.210649999999987</v>
      </c>
    </row>
    <row r="7" spans="1:6" ht="31.5">
      <c r="A7" s="3">
        <v>1030000000</v>
      </c>
      <c r="B7" s="13" t="s">
        <v>285</v>
      </c>
      <c r="C7" s="5">
        <f>C8+C10+C9</f>
        <v>511.03000000000003</v>
      </c>
      <c r="D7" s="5">
        <f>D8+D10+D9+D11</f>
        <v>543.3406600000001</v>
      </c>
      <c r="E7" s="5">
        <f t="shared" si="2"/>
        <v>106.32265424730447</v>
      </c>
      <c r="F7" s="5">
        <f t="shared" si="1"/>
        <v>32.31066000000004</v>
      </c>
    </row>
    <row r="8" spans="1:6" ht="15.75">
      <c r="A8" s="7">
        <v>1030223001</v>
      </c>
      <c r="B8" s="8" t="s">
        <v>287</v>
      </c>
      <c r="C8" s="9">
        <v>166.09</v>
      </c>
      <c r="D8" s="10">
        <v>223.25835</v>
      </c>
      <c r="E8" s="9">
        <f t="shared" si="2"/>
        <v>134.42010355831175</v>
      </c>
      <c r="F8" s="9">
        <f t="shared" si="1"/>
        <v>57.168350000000004</v>
      </c>
    </row>
    <row r="9" spans="1:6" ht="15.75">
      <c r="A9" s="7">
        <v>1030224001</v>
      </c>
      <c r="B9" s="8" t="s">
        <v>293</v>
      </c>
      <c r="C9" s="9">
        <v>2.04</v>
      </c>
      <c r="D9" s="10">
        <v>2.26644</v>
      </c>
      <c r="E9" s="9">
        <f t="shared" si="2"/>
        <v>111.1</v>
      </c>
      <c r="F9" s="9">
        <f t="shared" si="1"/>
        <v>0.22643999999999975</v>
      </c>
    </row>
    <row r="10" spans="1:6" ht="15.75">
      <c r="A10" s="7">
        <v>1030225001</v>
      </c>
      <c r="B10" s="8" t="s">
        <v>286</v>
      </c>
      <c r="C10" s="9">
        <v>342.9</v>
      </c>
      <c r="D10" s="10">
        <v>361.05574</v>
      </c>
      <c r="E10" s="9">
        <f t="shared" si="2"/>
        <v>105.29476232137651</v>
      </c>
      <c r="F10" s="9">
        <f t="shared" si="1"/>
        <v>18.155740000000037</v>
      </c>
    </row>
    <row r="11" spans="1:6" ht="15.75">
      <c r="A11" s="7">
        <v>1030226001</v>
      </c>
      <c r="B11" s="8" t="s">
        <v>295</v>
      </c>
      <c r="C11" s="9">
        <v>0</v>
      </c>
      <c r="D11" s="10">
        <v>-43.23987</v>
      </c>
      <c r="E11" s="9" t="e">
        <f t="shared" si="2"/>
        <v>#DIV/0!</v>
      </c>
      <c r="F11" s="9">
        <f t="shared" si="1"/>
        <v>-43.23987</v>
      </c>
    </row>
    <row r="12" spans="1:6" s="6" customFormat="1" ht="15.75">
      <c r="A12" s="68">
        <v>1050000000</v>
      </c>
      <c r="B12" s="67" t="s">
        <v>7</v>
      </c>
      <c r="C12" s="5">
        <f>SUM(C13:C13)</f>
        <v>30</v>
      </c>
      <c r="D12" s="5">
        <f>SUM(D13:D13)</f>
        <v>24.88718</v>
      </c>
      <c r="E12" s="5">
        <f t="shared" si="0"/>
        <v>82.95726666666667</v>
      </c>
      <c r="F12" s="5">
        <f t="shared" si="1"/>
        <v>-5.112819999999999</v>
      </c>
    </row>
    <row r="13" spans="1:6" ht="15.75" customHeight="1">
      <c r="A13" s="7">
        <v>1050300000</v>
      </c>
      <c r="B13" s="11" t="s">
        <v>232</v>
      </c>
      <c r="C13" s="12">
        <v>30</v>
      </c>
      <c r="D13" s="10">
        <v>24.88718</v>
      </c>
      <c r="E13" s="9">
        <f t="shared" si="0"/>
        <v>82.95726666666667</v>
      </c>
      <c r="F13" s="9">
        <f t="shared" si="1"/>
        <v>-5.112819999999999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1470</v>
      </c>
      <c r="D14" s="5">
        <f>D15+D16</f>
        <v>1420.41209</v>
      </c>
      <c r="E14" s="5">
        <f t="shared" si="0"/>
        <v>96.62667278911566</v>
      </c>
      <c r="F14" s="5">
        <f t="shared" si="1"/>
        <v>-49.587909999999965</v>
      </c>
    </row>
    <row r="15" spans="1:6" s="6" customFormat="1" ht="15.75" customHeight="1">
      <c r="A15" s="7">
        <v>1060100000</v>
      </c>
      <c r="B15" s="11" t="s">
        <v>9</v>
      </c>
      <c r="C15" s="9">
        <v>220</v>
      </c>
      <c r="D15" s="10">
        <v>174.02235</v>
      </c>
      <c r="E15" s="5">
        <f t="shared" si="0"/>
        <v>79.10106818181818</v>
      </c>
      <c r="F15" s="9">
        <f>SUM(D15-C15)</f>
        <v>-45.97765000000001</v>
      </c>
    </row>
    <row r="16" spans="1:6" ht="15" customHeight="1">
      <c r="A16" s="7">
        <v>1060600000</v>
      </c>
      <c r="B16" s="11" t="s">
        <v>8</v>
      </c>
      <c r="C16" s="9">
        <v>1250</v>
      </c>
      <c r="D16" s="10">
        <v>1246.38974</v>
      </c>
      <c r="E16" s="5">
        <f t="shared" si="0"/>
        <v>99.7111792</v>
      </c>
      <c r="F16" s="9">
        <f t="shared" si="1"/>
        <v>-3.6102599999999256</v>
      </c>
    </row>
    <row r="17" spans="1:6" s="6" customFormat="1" ht="18" customHeight="1">
      <c r="A17" s="3">
        <v>1080000000</v>
      </c>
      <c r="B17" s="4" t="s">
        <v>11</v>
      </c>
      <c r="C17" s="5">
        <f>C18</f>
        <v>15</v>
      </c>
      <c r="D17" s="5">
        <f>D18</f>
        <v>13.175</v>
      </c>
      <c r="E17" s="5">
        <f t="shared" si="0"/>
        <v>87.83333333333334</v>
      </c>
      <c r="F17" s="5">
        <f t="shared" si="1"/>
        <v>-1.8249999999999993</v>
      </c>
    </row>
    <row r="18" spans="1:6" ht="16.5" customHeight="1">
      <c r="A18" s="7">
        <v>1080400001</v>
      </c>
      <c r="B18" s="8" t="s">
        <v>230</v>
      </c>
      <c r="C18" s="9">
        <v>15</v>
      </c>
      <c r="D18" s="10">
        <v>13.175</v>
      </c>
      <c r="E18" s="9">
        <f t="shared" si="0"/>
        <v>87.83333333333334</v>
      </c>
      <c r="F18" s="9">
        <f t="shared" si="1"/>
        <v>-1.8249999999999993</v>
      </c>
    </row>
    <row r="19" spans="1:6" ht="30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8" customHeight="1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7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1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C26+C30+C32+C37+C35</f>
        <v>370</v>
      </c>
      <c r="D25" s="5">
        <f>D26+D30+D32+D35+D37</f>
        <v>471.15806</v>
      </c>
      <c r="E25" s="5">
        <f t="shared" si="0"/>
        <v>127.3400162162162</v>
      </c>
      <c r="F25" s="5">
        <f t="shared" si="1"/>
        <v>101.15805999999998</v>
      </c>
    </row>
    <row r="26" spans="1:6" s="6" customFormat="1" ht="30.75" customHeight="1">
      <c r="A26" s="68">
        <v>1110000000</v>
      </c>
      <c r="B26" s="69" t="s">
        <v>129</v>
      </c>
      <c r="C26" s="5">
        <f>C28+C29</f>
        <v>305</v>
      </c>
      <c r="D26" s="5">
        <f>D28+D29</f>
        <v>356.3078</v>
      </c>
      <c r="E26" s="5">
        <f t="shared" si="0"/>
        <v>116.82222950819671</v>
      </c>
      <c r="F26" s="5">
        <f t="shared" si="1"/>
        <v>51.307799999999986</v>
      </c>
    </row>
    <row r="27" spans="1:6" ht="15.75">
      <c r="A27" s="16">
        <v>1110502501</v>
      </c>
      <c r="B27" s="17" t="s">
        <v>228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>
      <c r="A28" s="16">
        <v>1110502510</v>
      </c>
      <c r="B28" s="17" t="s">
        <v>333</v>
      </c>
      <c r="C28" s="12">
        <v>205</v>
      </c>
      <c r="D28" s="10">
        <v>56.5</v>
      </c>
      <c r="E28" s="9">
        <f t="shared" si="0"/>
        <v>27.5609756097561</v>
      </c>
      <c r="F28" s="9">
        <f t="shared" si="1"/>
        <v>-148.5</v>
      </c>
    </row>
    <row r="29" spans="1:6" ht="18.75" customHeight="1">
      <c r="A29" s="7">
        <v>1110503505</v>
      </c>
      <c r="B29" s="11" t="s">
        <v>227</v>
      </c>
      <c r="C29" s="12">
        <v>100</v>
      </c>
      <c r="D29" s="10">
        <v>299.8078</v>
      </c>
      <c r="E29" s="9">
        <f>SUM(D29/C29*100)</f>
        <v>299.8078</v>
      </c>
      <c r="F29" s="9">
        <f t="shared" si="1"/>
        <v>199.8078</v>
      </c>
    </row>
    <row r="30" spans="1:6" s="15" customFormat="1" ht="35.25" customHeight="1">
      <c r="A30" s="68">
        <v>1130000000</v>
      </c>
      <c r="B30" s="69" t="s">
        <v>131</v>
      </c>
      <c r="C30" s="5">
        <f>C31</f>
        <v>50</v>
      </c>
      <c r="D30" s="5">
        <f>D31</f>
        <v>100.18424</v>
      </c>
      <c r="E30" s="5">
        <f t="shared" si="0"/>
        <v>200.36848000000003</v>
      </c>
      <c r="F30" s="5">
        <f t="shared" si="1"/>
        <v>50.18424</v>
      </c>
    </row>
    <row r="31" spans="1:6" ht="23.25" customHeight="1">
      <c r="A31" s="7">
        <v>1130206005</v>
      </c>
      <c r="B31" s="8" t="s">
        <v>226</v>
      </c>
      <c r="C31" s="9">
        <v>50</v>
      </c>
      <c r="D31" s="10">
        <v>100.18424</v>
      </c>
      <c r="E31" s="9">
        <f>SUM(D31/C31*100)</f>
        <v>200.36848000000003</v>
      </c>
      <c r="F31" s="9">
        <f t="shared" si="1"/>
        <v>50.18424</v>
      </c>
    </row>
    <row r="32" spans="1:6" ht="17.25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6" ht="27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7.25" customHeight="1">
      <c r="A34" s="7">
        <v>1140600000</v>
      </c>
      <c r="B34" s="8" t="s">
        <v>225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27.75" customHeight="1">
      <c r="A35" s="101">
        <v>1163305010</v>
      </c>
      <c r="B35" s="13" t="s">
        <v>254</v>
      </c>
      <c r="C35" s="5">
        <f>C36</f>
        <v>15</v>
      </c>
      <c r="D35" s="14">
        <f>D36</f>
        <v>14.66602</v>
      </c>
      <c r="E35" s="9">
        <f t="shared" si="0"/>
        <v>97.77346666666666</v>
      </c>
      <c r="F35" s="9">
        <f t="shared" si="1"/>
        <v>-0.3339800000000004</v>
      </c>
    </row>
    <row r="36" spans="1:6" ht="33" customHeight="1">
      <c r="A36" s="7">
        <v>1163305010</v>
      </c>
      <c r="B36" s="8" t="s">
        <v>270</v>
      </c>
      <c r="C36" s="9">
        <v>15</v>
      </c>
      <c r="D36" s="10">
        <v>14.66602</v>
      </c>
      <c r="E36" s="9">
        <f t="shared" si="0"/>
        <v>97.77346666666666</v>
      </c>
      <c r="F36" s="9">
        <f t="shared" si="1"/>
        <v>-0.3339800000000004</v>
      </c>
    </row>
    <row r="37" spans="1:6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6" ht="19.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6" ht="15" customHeight="1">
      <c r="A39" s="7">
        <v>1170505005</v>
      </c>
      <c r="B39" s="11" t="s">
        <v>223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6" s="6" customFormat="1" ht="19.5" customHeight="1">
      <c r="A40" s="3">
        <v>1000000000</v>
      </c>
      <c r="B40" s="4" t="s">
        <v>19</v>
      </c>
      <c r="C40" s="128">
        <f>SUM(C4,C25)</f>
        <v>2853.98</v>
      </c>
      <c r="D40" s="128">
        <f>D4+D25</f>
        <v>2903.71234</v>
      </c>
      <c r="E40" s="5">
        <f t="shared" si="0"/>
        <v>101.74256091493284</v>
      </c>
      <c r="F40" s="5">
        <f t="shared" si="1"/>
        <v>49.73234000000002</v>
      </c>
    </row>
    <row r="41" spans="1:7" s="6" customFormat="1" ht="20.25" customHeight="1">
      <c r="A41" s="3">
        <v>2000000000</v>
      </c>
      <c r="B41" s="4" t="s">
        <v>20</v>
      </c>
      <c r="C41" s="5">
        <f>C42+C43+C44+C45+C46</f>
        <v>4203.86626</v>
      </c>
      <c r="D41" s="5">
        <f>D42+D44+D45+D46+D43</f>
        <v>4203.86626</v>
      </c>
      <c r="E41" s="5">
        <f t="shared" si="0"/>
        <v>100</v>
      </c>
      <c r="F41" s="5">
        <f t="shared" si="1"/>
        <v>0</v>
      </c>
      <c r="G41" s="19"/>
    </row>
    <row r="42" spans="1:6" ht="16.5" customHeight="1">
      <c r="A42" s="16">
        <v>2020100000</v>
      </c>
      <c r="B42" s="17" t="s">
        <v>21</v>
      </c>
      <c r="C42" s="12">
        <v>3444.16</v>
      </c>
      <c r="D42" s="20">
        <v>3444.16</v>
      </c>
      <c r="E42" s="9">
        <f t="shared" si="0"/>
        <v>100</v>
      </c>
      <c r="F42" s="9">
        <f t="shared" si="1"/>
        <v>0</v>
      </c>
    </row>
    <row r="43" spans="1:6" ht="18" customHeight="1">
      <c r="A43" s="16">
        <v>2020100310</v>
      </c>
      <c r="B43" s="17" t="s">
        <v>234</v>
      </c>
      <c r="C43" s="12">
        <v>351.12</v>
      </c>
      <c r="D43" s="20">
        <v>351.12</v>
      </c>
      <c r="E43" s="9">
        <f t="shared" si="0"/>
        <v>100</v>
      </c>
      <c r="F43" s="9">
        <f t="shared" si="1"/>
        <v>0</v>
      </c>
    </row>
    <row r="44" spans="1:6" ht="15.75">
      <c r="A44" s="16">
        <v>2020200000</v>
      </c>
      <c r="B44" s="17" t="s">
        <v>22</v>
      </c>
      <c r="C44" s="12">
        <v>264.15</v>
      </c>
      <c r="D44" s="10">
        <v>264.15</v>
      </c>
      <c r="E44" s="9">
        <f t="shared" si="0"/>
        <v>100</v>
      </c>
      <c r="F44" s="9">
        <f t="shared" si="1"/>
        <v>0</v>
      </c>
    </row>
    <row r="45" spans="1:6" ht="17.25" customHeight="1">
      <c r="A45" s="16">
        <v>2020300000</v>
      </c>
      <c r="B45" s="17" t="s">
        <v>23</v>
      </c>
      <c r="C45" s="12">
        <v>144.43626</v>
      </c>
      <c r="D45" s="258">
        <v>144.43626</v>
      </c>
      <c r="E45" s="9">
        <f t="shared" si="0"/>
        <v>100</v>
      </c>
      <c r="F45" s="9">
        <f t="shared" si="1"/>
        <v>0</v>
      </c>
    </row>
    <row r="46" spans="1:6" ht="16.5" customHeight="1">
      <c r="A46" s="16">
        <v>2020400000</v>
      </c>
      <c r="B46" s="17" t="s">
        <v>24</v>
      </c>
      <c r="C46" s="12">
        <v>0</v>
      </c>
      <c r="D46" s="259">
        <v>0</v>
      </c>
      <c r="E46" s="9" t="e">
        <f t="shared" si="0"/>
        <v>#DIV/0!</v>
      </c>
      <c r="F46" s="9">
        <f t="shared" si="1"/>
        <v>0</v>
      </c>
    </row>
    <row r="47" spans="1:6" ht="24" customHeight="1" hidden="1">
      <c r="A47" s="16">
        <v>2020900000</v>
      </c>
      <c r="B47" s="18" t="s">
        <v>25</v>
      </c>
      <c r="C47" s="12"/>
      <c r="D47" s="259"/>
      <c r="E47" s="9" t="e">
        <f t="shared" si="0"/>
        <v>#DIV/0!</v>
      </c>
      <c r="F47" s="9">
        <f t="shared" si="1"/>
        <v>0</v>
      </c>
    </row>
    <row r="48" spans="1:6" ht="17.25" customHeight="1" hidden="1">
      <c r="A48" s="7">
        <v>2190500005</v>
      </c>
      <c r="B48" s="11" t="s">
        <v>26</v>
      </c>
      <c r="C48" s="14">
        <v>0</v>
      </c>
      <c r="D48" s="14"/>
      <c r="E48" s="5"/>
      <c r="F48" s="5">
        <f>SUM(D48-C48)</f>
        <v>0</v>
      </c>
    </row>
    <row r="49" spans="1:6" s="6" customFormat="1" ht="15.75" customHeight="1" hidden="1">
      <c r="A49" s="3">
        <v>3000000000</v>
      </c>
      <c r="B49" s="13" t="s">
        <v>27</v>
      </c>
      <c r="C49" s="123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6" s="6" customFormat="1" ht="23.25" customHeight="1">
      <c r="A50" s="3"/>
      <c r="B50" s="4" t="s">
        <v>28</v>
      </c>
      <c r="C50" s="316">
        <f>SUM(C40,C41,C49)</f>
        <v>7057.84626</v>
      </c>
      <c r="D50" s="296">
        <f>D40+D41</f>
        <v>7107.5786</v>
      </c>
      <c r="E50" s="5">
        <f t="shared" si="0"/>
        <v>100.70463903814193</v>
      </c>
      <c r="F50" s="5">
        <f t="shared" si="1"/>
        <v>49.73233999999957</v>
      </c>
    </row>
    <row r="51" spans="1:6" s="6" customFormat="1" ht="15.75">
      <c r="A51" s="3"/>
      <c r="B51" s="21" t="s">
        <v>326</v>
      </c>
      <c r="C51" s="5">
        <f>C50-C98</f>
        <v>-250.52099999999973</v>
      </c>
      <c r="D51" s="5">
        <f>D50-D98</f>
        <v>5.09979999999905</v>
      </c>
      <c r="E51" s="22"/>
      <c r="F51" s="22"/>
    </row>
    <row r="52" spans="1:6" ht="32.25" customHeight="1">
      <c r="A52" s="23"/>
      <c r="B52" s="24"/>
      <c r="C52" s="254"/>
      <c r="D52" s="148"/>
      <c r="E52" s="26"/>
      <c r="F52" s="27"/>
    </row>
    <row r="53" spans="1:6" ht="63">
      <c r="A53" s="28" t="s">
        <v>1</v>
      </c>
      <c r="B53" s="28" t="s">
        <v>29</v>
      </c>
      <c r="C53" s="149" t="s">
        <v>340</v>
      </c>
      <c r="D53" s="150" t="s">
        <v>365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15.75">
      <c r="A55" s="30" t="s">
        <v>30</v>
      </c>
      <c r="B55" s="31" t="s">
        <v>31</v>
      </c>
      <c r="C55" s="103">
        <f>C56+C57+C58+C59+C60+C62+C61</f>
        <v>1729.647</v>
      </c>
      <c r="D55" s="103">
        <f>D56+D57+D58+D59+D60+D62+D61</f>
        <v>1708.37464</v>
      </c>
      <c r="E55" s="34">
        <f>SUM(D55/C55*100)</f>
        <v>98.77013286526095</v>
      </c>
      <c r="F55" s="34">
        <f>SUM(D55-C55)</f>
        <v>-21.272359999999935</v>
      </c>
    </row>
    <row r="56" spans="1:6" s="6" customFormat="1" ht="31.5" hidden="1">
      <c r="A56" s="35" t="s">
        <v>32</v>
      </c>
      <c r="B56" s="36" t="s">
        <v>33</v>
      </c>
      <c r="C56" s="92"/>
      <c r="D56" s="92"/>
      <c r="E56" s="38"/>
      <c r="F56" s="38"/>
    </row>
    <row r="57" spans="1:6" ht="17.25" customHeight="1">
      <c r="A57" s="35" t="s">
        <v>34</v>
      </c>
      <c r="B57" s="39" t="s">
        <v>35</v>
      </c>
      <c r="C57" s="151">
        <v>1701.547</v>
      </c>
      <c r="D57" s="92">
        <v>1690.27018</v>
      </c>
      <c r="E57" s="38">
        <f aca="true" t="shared" si="3" ref="E57:E98">SUM(D57/C57*100)</f>
        <v>99.33726073978562</v>
      </c>
      <c r="F57" s="38">
        <f aca="true" t="shared" si="4" ref="F57:F98">SUM(D57-C57)</f>
        <v>-11.276820000000043</v>
      </c>
    </row>
    <row r="58" spans="1:6" ht="12.75" customHeight="1" hidden="1">
      <c r="A58" s="35" t="s">
        <v>36</v>
      </c>
      <c r="B58" s="39" t="s">
        <v>37</v>
      </c>
      <c r="C58" s="92"/>
      <c r="D58" s="92"/>
      <c r="E58" s="38" t="e">
        <f t="shared" si="3"/>
        <v>#DIV/0!</v>
      </c>
      <c r="F58" s="38">
        <f t="shared" si="4"/>
        <v>0</v>
      </c>
    </row>
    <row r="59" spans="1:6" ht="12.75" customHeight="1" hidden="1">
      <c r="A59" s="35" t="s">
        <v>38</v>
      </c>
      <c r="B59" s="39" t="s">
        <v>39</v>
      </c>
      <c r="C59" s="92"/>
      <c r="D59" s="92"/>
      <c r="E59" s="38" t="e">
        <f t="shared" si="3"/>
        <v>#DIV/0!</v>
      </c>
      <c r="F59" s="38">
        <f t="shared" si="4"/>
        <v>0</v>
      </c>
    </row>
    <row r="60" spans="1:6" ht="16.5" customHeight="1">
      <c r="A60" s="35" t="s">
        <v>40</v>
      </c>
      <c r="B60" s="39" t="s">
        <v>41</v>
      </c>
      <c r="C60" s="92">
        <v>0</v>
      </c>
      <c r="D60" s="92">
        <v>0</v>
      </c>
      <c r="E60" s="38" t="e">
        <f t="shared" si="3"/>
        <v>#DIV/0!</v>
      </c>
      <c r="F60" s="38">
        <f t="shared" si="4"/>
        <v>0</v>
      </c>
    </row>
    <row r="61" spans="1:6" ht="15.75" customHeight="1">
      <c r="A61" s="35" t="s">
        <v>42</v>
      </c>
      <c r="B61" s="39" t="s">
        <v>43</v>
      </c>
      <c r="C61" s="105">
        <v>5</v>
      </c>
      <c r="D61" s="105">
        <v>0</v>
      </c>
      <c r="E61" s="38">
        <f t="shared" si="3"/>
        <v>0</v>
      </c>
      <c r="F61" s="38">
        <f t="shared" si="4"/>
        <v>-5</v>
      </c>
    </row>
    <row r="62" spans="1:6" ht="18" customHeight="1">
      <c r="A62" s="35" t="s">
        <v>44</v>
      </c>
      <c r="B62" s="39" t="s">
        <v>45</v>
      </c>
      <c r="C62" s="92">
        <v>23.1</v>
      </c>
      <c r="D62" s="92">
        <v>18.10446</v>
      </c>
      <c r="E62" s="38">
        <f t="shared" si="3"/>
        <v>78.3742857142857</v>
      </c>
      <c r="F62" s="38">
        <f t="shared" si="4"/>
        <v>-4.995540000000002</v>
      </c>
    </row>
    <row r="63" spans="1:6" s="6" customFormat="1" ht="15.75" customHeight="1">
      <c r="A63" s="41" t="s">
        <v>46</v>
      </c>
      <c r="B63" s="42" t="s">
        <v>47</v>
      </c>
      <c r="C63" s="22">
        <f>C64</f>
        <v>143.63846</v>
      </c>
      <c r="D63" s="22">
        <f>D64</f>
        <v>143.63846</v>
      </c>
      <c r="E63" s="34">
        <f t="shared" si="3"/>
        <v>100</v>
      </c>
      <c r="F63" s="34">
        <f t="shared" si="4"/>
        <v>0</v>
      </c>
    </row>
    <row r="64" spans="1:6" ht="15.75">
      <c r="A64" s="43" t="s">
        <v>48</v>
      </c>
      <c r="B64" s="44" t="s">
        <v>49</v>
      </c>
      <c r="C64" s="92">
        <v>143.63846</v>
      </c>
      <c r="D64" s="92">
        <v>143.63846</v>
      </c>
      <c r="E64" s="38">
        <f t="shared" si="3"/>
        <v>100</v>
      </c>
      <c r="F64" s="38">
        <f t="shared" si="4"/>
        <v>0</v>
      </c>
    </row>
    <row r="65" spans="1:6" s="6" customFormat="1" ht="15.75" customHeight="1">
      <c r="A65" s="30" t="s">
        <v>50</v>
      </c>
      <c r="B65" s="31" t="s">
        <v>51</v>
      </c>
      <c r="C65" s="22">
        <f>C68+C69</f>
        <v>5.6</v>
      </c>
      <c r="D65" s="22">
        <f>D68+D69</f>
        <v>0.87524</v>
      </c>
      <c r="E65" s="34">
        <f t="shared" si="3"/>
        <v>15.629285714285714</v>
      </c>
      <c r="F65" s="34">
        <f t="shared" si="4"/>
        <v>-4.72476</v>
      </c>
    </row>
    <row r="66" spans="1:6" ht="14.25" customHeight="1" hidden="1">
      <c r="A66" s="35" t="s">
        <v>52</v>
      </c>
      <c r="B66" s="39" t="s">
        <v>53</v>
      </c>
      <c r="C66" s="92"/>
      <c r="D66" s="92"/>
      <c r="E66" s="34" t="e">
        <f t="shared" si="3"/>
        <v>#DIV/0!</v>
      </c>
      <c r="F66" s="34">
        <f t="shared" si="4"/>
        <v>0</v>
      </c>
    </row>
    <row r="67" spans="1:6" ht="16.5" customHeight="1" hidden="1">
      <c r="A67" s="45" t="s">
        <v>54</v>
      </c>
      <c r="B67" s="39" t="s">
        <v>55</v>
      </c>
      <c r="C67" s="92">
        <v>0</v>
      </c>
      <c r="D67" s="92"/>
      <c r="E67" s="34" t="e">
        <f t="shared" si="3"/>
        <v>#DIV/0!</v>
      </c>
      <c r="F67" s="34">
        <f t="shared" si="4"/>
        <v>0</v>
      </c>
    </row>
    <row r="68" spans="1:6" ht="15.75" customHeight="1">
      <c r="A68" s="46" t="s">
        <v>56</v>
      </c>
      <c r="B68" s="47" t="s">
        <v>57</v>
      </c>
      <c r="C68" s="92">
        <v>3.6</v>
      </c>
      <c r="D68" s="92">
        <v>0.87524</v>
      </c>
      <c r="E68" s="34">
        <f t="shared" si="3"/>
        <v>24.31222222222222</v>
      </c>
      <c r="F68" s="34">
        <f t="shared" si="4"/>
        <v>-2.72476</v>
      </c>
    </row>
    <row r="69" spans="1:6" ht="15" customHeight="1">
      <c r="A69" s="46" t="s">
        <v>221</v>
      </c>
      <c r="B69" s="47" t="s">
        <v>222</v>
      </c>
      <c r="C69" s="92">
        <v>2</v>
      </c>
      <c r="D69" s="92">
        <v>0</v>
      </c>
      <c r="E69" s="38">
        <f t="shared" si="3"/>
        <v>0</v>
      </c>
      <c r="F69" s="38">
        <f t="shared" si="4"/>
        <v>-2</v>
      </c>
    </row>
    <row r="70" spans="1:6" s="6" customFormat="1" ht="17.25" customHeight="1">
      <c r="A70" s="30" t="s">
        <v>58</v>
      </c>
      <c r="B70" s="31" t="s">
        <v>59</v>
      </c>
      <c r="C70" s="106">
        <f>C72+C73+C74+C71</f>
        <v>2031.5439999999999</v>
      </c>
      <c r="D70" s="106">
        <f>SUM(D71:D74)</f>
        <v>1927.3419700000002</v>
      </c>
      <c r="E70" s="34">
        <f t="shared" si="3"/>
        <v>94.87079630074467</v>
      </c>
      <c r="F70" s="34">
        <f t="shared" si="4"/>
        <v>-104.2020299999997</v>
      </c>
    </row>
    <row r="71" spans="1:6" ht="15.75" customHeight="1">
      <c r="A71" s="35" t="s">
        <v>60</v>
      </c>
      <c r="B71" s="39" t="s">
        <v>61</v>
      </c>
      <c r="C71" s="107">
        <v>3.75</v>
      </c>
      <c r="D71" s="92">
        <v>3.75</v>
      </c>
      <c r="E71" s="38">
        <f t="shared" si="3"/>
        <v>100</v>
      </c>
      <c r="F71" s="38">
        <f t="shared" si="4"/>
        <v>0</v>
      </c>
    </row>
    <row r="72" spans="1:7" s="6" customFormat="1" ht="19.5" customHeight="1">
      <c r="A72" s="35" t="s">
        <v>62</v>
      </c>
      <c r="B72" s="39" t="s">
        <v>63</v>
      </c>
      <c r="C72" s="107">
        <v>695.093</v>
      </c>
      <c r="D72" s="92">
        <v>643.15197</v>
      </c>
      <c r="E72" s="38">
        <f t="shared" si="3"/>
        <v>92.52747042482086</v>
      </c>
      <c r="F72" s="38">
        <f t="shared" si="4"/>
        <v>-51.941029999999955</v>
      </c>
      <c r="G72" s="50"/>
    </row>
    <row r="73" spans="1:6" ht="15.75">
      <c r="A73" s="35" t="s">
        <v>64</v>
      </c>
      <c r="B73" s="39" t="s">
        <v>65</v>
      </c>
      <c r="C73" s="107">
        <v>1093.201</v>
      </c>
      <c r="D73" s="92">
        <v>1070.51</v>
      </c>
      <c r="E73" s="38">
        <f t="shared" si="3"/>
        <v>97.92435242924219</v>
      </c>
      <c r="F73" s="38">
        <f t="shared" si="4"/>
        <v>-22.69100000000003</v>
      </c>
    </row>
    <row r="74" spans="1:6" ht="15.75">
      <c r="A74" s="35" t="s">
        <v>66</v>
      </c>
      <c r="B74" s="39" t="s">
        <v>67</v>
      </c>
      <c r="C74" s="107">
        <v>239.5</v>
      </c>
      <c r="D74" s="92">
        <v>209.93</v>
      </c>
      <c r="E74" s="38">
        <f t="shared" si="3"/>
        <v>87.65344467640918</v>
      </c>
      <c r="F74" s="38">
        <f t="shared" si="4"/>
        <v>-29.569999999999993</v>
      </c>
    </row>
    <row r="75" spans="1:6" s="6" customFormat="1" ht="15.75" customHeight="1">
      <c r="A75" s="30" t="s">
        <v>68</v>
      </c>
      <c r="B75" s="31" t="s">
        <v>69</v>
      </c>
      <c r="C75" s="22">
        <f>SUM(C76:C79)</f>
        <v>1019.9478</v>
      </c>
      <c r="D75" s="22">
        <f>SUM(D76:D79)</f>
        <v>980.19436</v>
      </c>
      <c r="E75" s="34">
        <f t="shared" si="3"/>
        <v>96.10240445638492</v>
      </c>
      <c r="F75" s="34">
        <f t="shared" si="4"/>
        <v>-39.75344000000007</v>
      </c>
    </row>
    <row r="76" spans="1:6" ht="15" customHeight="1" hidden="1">
      <c r="A76" s="35" t="s">
        <v>70</v>
      </c>
      <c r="B76" s="51" t="s">
        <v>71</v>
      </c>
      <c r="C76" s="92">
        <v>0</v>
      </c>
      <c r="D76" s="92">
        <v>0</v>
      </c>
      <c r="E76" s="38" t="e">
        <f t="shared" si="3"/>
        <v>#DIV/0!</v>
      </c>
      <c r="F76" s="38">
        <f t="shared" si="4"/>
        <v>0</v>
      </c>
    </row>
    <row r="77" spans="1:6" ht="17.25" customHeight="1" hidden="1">
      <c r="A77" s="35" t="s">
        <v>72</v>
      </c>
      <c r="B77" s="51" t="s">
        <v>73</v>
      </c>
      <c r="C77" s="92"/>
      <c r="D77" s="92"/>
      <c r="E77" s="38" t="e">
        <f t="shared" si="3"/>
        <v>#DIV/0!</v>
      </c>
      <c r="F77" s="38">
        <f t="shared" si="4"/>
        <v>0</v>
      </c>
    </row>
    <row r="78" spans="1:6" ht="15" customHeight="1">
      <c r="A78" s="35" t="s">
        <v>74</v>
      </c>
      <c r="B78" s="39" t="s">
        <v>75</v>
      </c>
      <c r="C78" s="92">
        <v>1019.9478</v>
      </c>
      <c r="D78" s="92">
        <v>980.19436</v>
      </c>
      <c r="E78" s="38">
        <f t="shared" si="3"/>
        <v>96.10240445638492</v>
      </c>
      <c r="F78" s="38">
        <f t="shared" si="4"/>
        <v>-39.75344000000007</v>
      </c>
    </row>
    <row r="79" spans="1:6" ht="18" customHeight="1" hidden="1">
      <c r="A79" s="35" t="s">
        <v>266</v>
      </c>
      <c r="B79" s="39" t="s">
        <v>267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6" s="6" customFormat="1" ht="18" customHeight="1">
      <c r="A80" s="30" t="s">
        <v>86</v>
      </c>
      <c r="B80" s="31" t="s">
        <v>87</v>
      </c>
      <c r="C80" s="22">
        <f>C81+C82</f>
        <v>2357.99</v>
      </c>
      <c r="D80" s="22">
        <f>D81+D82</f>
        <v>2324.03713</v>
      </c>
      <c r="E80" s="34">
        <f t="shared" si="3"/>
        <v>98.56009270607595</v>
      </c>
      <c r="F80" s="34">
        <f t="shared" si="4"/>
        <v>-33.95286999999962</v>
      </c>
    </row>
    <row r="81" spans="1:6" ht="17.25" customHeight="1">
      <c r="A81" s="35" t="s">
        <v>88</v>
      </c>
      <c r="B81" s="39" t="s">
        <v>236</v>
      </c>
      <c r="C81" s="92">
        <v>2357.99</v>
      </c>
      <c r="D81" s="92">
        <v>2324.03713</v>
      </c>
      <c r="E81" s="38">
        <f t="shared" si="3"/>
        <v>98.56009270607595</v>
      </c>
      <c r="F81" s="38">
        <f t="shared" si="4"/>
        <v>-33.95286999999962</v>
      </c>
    </row>
    <row r="82" spans="1:6" ht="2.25" customHeight="1" hidden="1">
      <c r="A82" s="35" t="s">
        <v>275</v>
      </c>
      <c r="B82" s="39" t="s">
        <v>276</v>
      </c>
      <c r="C82" s="92"/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5" customHeight="1" hidden="1">
      <c r="A83" s="52">
        <v>1000</v>
      </c>
      <c r="B83" s="31" t="s">
        <v>89</v>
      </c>
      <c r="C83" s="22">
        <f>SUM(C84:C87)</f>
        <v>0</v>
      </c>
      <c r="D83" s="2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" customHeight="1" hidden="1">
      <c r="A84" s="53">
        <v>1001</v>
      </c>
      <c r="B84" s="54" t="s">
        <v>90</v>
      </c>
      <c r="C84" s="92"/>
      <c r="D84" s="92"/>
      <c r="E84" s="34" t="e">
        <f t="shared" si="3"/>
        <v>#DIV/0!</v>
      </c>
      <c r="F84" s="38">
        <f t="shared" si="4"/>
        <v>0</v>
      </c>
    </row>
    <row r="85" spans="1:6" ht="17.25" customHeight="1" hidden="1">
      <c r="A85" s="53">
        <v>1003</v>
      </c>
      <c r="B85" s="54" t="s">
        <v>91</v>
      </c>
      <c r="C85" s="92">
        <v>0</v>
      </c>
      <c r="D85" s="92">
        <v>0</v>
      </c>
      <c r="E85" s="34" t="e">
        <f t="shared" si="3"/>
        <v>#DIV/0!</v>
      </c>
      <c r="F85" s="38">
        <f t="shared" si="4"/>
        <v>0</v>
      </c>
    </row>
    <row r="86" spans="1:6" ht="14.25" customHeight="1" hidden="1">
      <c r="A86" s="53">
        <v>1004</v>
      </c>
      <c r="B86" s="54" t="s">
        <v>92</v>
      </c>
      <c r="C86" s="92"/>
      <c r="D86" s="291"/>
      <c r="E86" s="34" t="e">
        <f t="shared" si="3"/>
        <v>#DIV/0!</v>
      </c>
      <c r="F86" s="38">
        <f t="shared" si="4"/>
        <v>0</v>
      </c>
    </row>
    <row r="87" spans="1:6" ht="15.75" customHeight="1" hidden="1">
      <c r="A87" s="35" t="s">
        <v>93</v>
      </c>
      <c r="B87" s="39" t="s">
        <v>94</v>
      </c>
      <c r="C87" s="92"/>
      <c r="D87" s="92"/>
      <c r="E87" s="38" t="e">
        <f t="shared" si="3"/>
        <v>#DIV/0!</v>
      </c>
      <c r="F87" s="38">
        <f t="shared" si="4"/>
        <v>0</v>
      </c>
    </row>
    <row r="88" spans="1:6" ht="15" customHeight="1">
      <c r="A88" s="30" t="s">
        <v>95</v>
      </c>
      <c r="B88" s="31" t="s">
        <v>96</v>
      </c>
      <c r="C88" s="22">
        <f>C89+C90+C91+C92+C93</f>
        <v>20</v>
      </c>
      <c r="D88" s="22">
        <f>D89+D90+D91+D92+D93</f>
        <v>18.017</v>
      </c>
      <c r="E88" s="34">
        <f t="shared" si="3"/>
        <v>90.085</v>
      </c>
      <c r="F88" s="22">
        <f>F89+F90+F91+F92+F93</f>
        <v>-1.9830000000000005</v>
      </c>
    </row>
    <row r="89" spans="1:6" ht="16.5" customHeight="1">
      <c r="A89" s="35" t="s">
        <v>97</v>
      </c>
      <c r="B89" s="39" t="s">
        <v>98</v>
      </c>
      <c r="C89" s="92">
        <v>20</v>
      </c>
      <c r="D89" s="92">
        <v>18.017</v>
      </c>
      <c r="E89" s="38">
        <f t="shared" si="3"/>
        <v>90.085</v>
      </c>
      <c r="F89" s="38">
        <f>SUM(D89-C89)</f>
        <v>-1.9830000000000005</v>
      </c>
    </row>
    <row r="90" spans="1:6" ht="15" customHeight="1" hidden="1">
      <c r="A90" s="35" t="s">
        <v>99</v>
      </c>
      <c r="B90" s="39" t="s">
        <v>100</v>
      </c>
      <c r="C90" s="133"/>
      <c r="D90" s="92"/>
      <c r="E90" s="38" t="e">
        <f t="shared" si="3"/>
        <v>#DIV/0!</v>
      </c>
      <c r="F90" s="38">
        <f>SUM(D90-C90)</f>
        <v>0</v>
      </c>
    </row>
    <row r="91" spans="1:6" ht="15" customHeight="1" hidden="1">
      <c r="A91" s="35" t="s">
        <v>101</v>
      </c>
      <c r="B91" s="39" t="s">
        <v>102</v>
      </c>
      <c r="C91" s="133"/>
      <c r="D91" s="92"/>
      <c r="E91" s="38" t="e">
        <f t="shared" si="3"/>
        <v>#DIV/0!</v>
      </c>
      <c r="F91" s="38"/>
    </row>
    <row r="92" spans="1:6" ht="15" customHeight="1" hidden="1">
      <c r="A92" s="35" t="s">
        <v>103</v>
      </c>
      <c r="B92" s="39" t="s">
        <v>104</v>
      </c>
      <c r="C92" s="133"/>
      <c r="D92" s="92"/>
      <c r="E92" s="38" t="e">
        <f t="shared" si="3"/>
        <v>#DIV/0!</v>
      </c>
      <c r="F92" s="38"/>
    </row>
    <row r="93" spans="1:6" ht="57.75" customHeight="1" hidden="1">
      <c r="A93" s="35" t="s">
        <v>105</v>
      </c>
      <c r="B93" s="39" t="s">
        <v>106</v>
      </c>
      <c r="C93" s="247"/>
      <c r="D93" s="92"/>
      <c r="E93" s="38" t="e">
        <f t="shared" si="3"/>
        <v>#DIV/0!</v>
      </c>
      <c r="F93" s="38"/>
    </row>
    <row r="94" spans="1:6" s="6" customFormat="1" ht="18" customHeight="1" hidden="1">
      <c r="A94" s="52">
        <v>1400</v>
      </c>
      <c r="B94" s="56" t="s">
        <v>115</v>
      </c>
      <c r="C94" s="48"/>
      <c r="D94" s="106"/>
      <c r="E94" s="34" t="e">
        <f t="shared" si="3"/>
        <v>#DIV/0!</v>
      </c>
      <c r="F94" s="34">
        <f t="shared" si="4"/>
        <v>0</v>
      </c>
    </row>
    <row r="95" spans="1:6" ht="16.5" customHeight="1">
      <c r="A95" s="53">
        <v>1401</v>
      </c>
      <c r="B95" s="54" t="s">
        <v>116</v>
      </c>
      <c r="C95" s="107">
        <v>0</v>
      </c>
      <c r="D95" s="92">
        <v>0</v>
      </c>
      <c r="E95" s="38" t="e">
        <f t="shared" si="3"/>
        <v>#DIV/0!</v>
      </c>
      <c r="F95" s="38">
        <f t="shared" si="4"/>
        <v>0</v>
      </c>
    </row>
    <row r="96" spans="1:6" ht="20.25" customHeight="1">
      <c r="A96" s="53">
        <v>1402</v>
      </c>
      <c r="B96" s="54" t="s">
        <v>117</v>
      </c>
      <c r="C96" s="107">
        <v>0</v>
      </c>
      <c r="D96" s="92">
        <v>0</v>
      </c>
      <c r="E96" s="38" t="e">
        <f t="shared" si="3"/>
        <v>#DIV/0!</v>
      </c>
      <c r="F96" s="38">
        <f t="shared" si="4"/>
        <v>0</v>
      </c>
    </row>
    <row r="97" spans="1:6" ht="13.5" customHeight="1">
      <c r="A97" s="53">
        <v>1403</v>
      </c>
      <c r="B97" s="54" t="s">
        <v>118</v>
      </c>
      <c r="C97" s="107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s="6" customFormat="1" ht="15" customHeight="1">
      <c r="A98" s="52"/>
      <c r="B98" s="57" t="s">
        <v>119</v>
      </c>
      <c r="C98" s="103">
        <f>C55+C63+C65+C70+C75+C80+C88+C83+C94</f>
        <v>7308.36726</v>
      </c>
      <c r="D98" s="103">
        <f>D55+D63+D65+D70+D75+D80+D88+D83+D94</f>
        <v>7102.478800000001</v>
      </c>
      <c r="E98" s="34">
        <f t="shared" si="3"/>
        <v>97.1828391667334</v>
      </c>
      <c r="F98" s="34">
        <f t="shared" si="4"/>
        <v>-205.8884599999992</v>
      </c>
    </row>
    <row r="99" ht="5.25" customHeight="1">
      <c r="D99" s="61"/>
    </row>
    <row r="100" spans="1:4" s="65" customFormat="1" ht="12.75">
      <c r="A100" s="63" t="s">
        <v>120</v>
      </c>
      <c r="B100" s="63"/>
      <c r="C100" s="134"/>
      <c r="D100" s="64"/>
    </row>
    <row r="101" spans="1:3" s="65" customFormat="1" ht="12.75">
      <c r="A101" s="66" t="s">
        <v>121</v>
      </c>
      <c r="B101" s="66"/>
      <c r="C101" s="134" t="s">
        <v>122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70" zoomScaleSheetLayoutView="70" workbookViewId="0" topLeftCell="A44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6.140625" style="62" customWidth="1"/>
    <col min="4" max="4" width="15.57421875" style="62" customWidth="1"/>
    <col min="5" max="5" width="10.28125" style="62" customWidth="1"/>
    <col min="6" max="6" width="10.00390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366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1501.3700000000001</v>
      </c>
      <c r="D4" s="5">
        <f>D5+D12+D14+D17+D7</f>
        <v>1570.5467600000002</v>
      </c>
      <c r="E4" s="5">
        <f>SUM(D4/C4*100)</f>
        <v>104.60757574748396</v>
      </c>
      <c r="F4" s="5">
        <f>SUM(D4-C4)</f>
        <v>69.17676000000006</v>
      </c>
    </row>
    <row r="5" spans="1:6" s="6" customFormat="1" ht="15.75">
      <c r="A5" s="68">
        <v>1010000000</v>
      </c>
      <c r="B5" s="67" t="s">
        <v>6</v>
      </c>
      <c r="C5" s="5">
        <f>C6</f>
        <v>73.34</v>
      </c>
      <c r="D5" s="5">
        <f>D6</f>
        <v>81.12276</v>
      </c>
      <c r="E5" s="5">
        <f aca="true" t="shared" si="0" ref="E5:E50">SUM(D5/C5*100)</f>
        <v>110.61188982819743</v>
      </c>
      <c r="F5" s="5">
        <f aca="true" t="shared" si="1" ref="F5:F50">SUM(D5-C5)</f>
        <v>7.782759999999996</v>
      </c>
    </row>
    <row r="6" spans="1:6" ht="15.75">
      <c r="A6" s="7">
        <v>1010200001</v>
      </c>
      <c r="B6" s="8" t="s">
        <v>231</v>
      </c>
      <c r="C6" s="9">
        <v>73.34</v>
      </c>
      <c r="D6" s="10">
        <v>81.12276</v>
      </c>
      <c r="E6" s="9">
        <f aca="true" t="shared" si="2" ref="E6:E11">SUM(D6/C6*100)</f>
        <v>110.61188982819743</v>
      </c>
      <c r="F6" s="9">
        <f t="shared" si="1"/>
        <v>7.782759999999996</v>
      </c>
    </row>
    <row r="7" spans="1:6" ht="31.5">
      <c r="A7" s="3">
        <v>1030000000</v>
      </c>
      <c r="B7" s="13" t="s">
        <v>285</v>
      </c>
      <c r="C7" s="5">
        <f>C8+C10+C9</f>
        <v>546.2800000000001</v>
      </c>
      <c r="D7" s="5">
        <f>D8+D10+D9+D11</f>
        <v>580.8124500000001</v>
      </c>
      <c r="E7" s="9">
        <f t="shared" si="2"/>
        <v>106.32138280735155</v>
      </c>
      <c r="F7" s="9">
        <f t="shared" si="1"/>
        <v>34.53245000000004</v>
      </c>
    </row>
    <row r="8" spans="1:6" ht="15.75">
      <c r="A8" s="7">
        <v>1030223001</v>
      </c>
      <c r="B8" s="8" t="s">
        <v>287</v>
      </c>
      <c r="C8" s="9">
        <v>177.54</v>
      </c>
      <c r="D8" s="10">
        <v>238.65547</v>
      </c>
      <c r="E8" s="9">
        <f t="shared" si="2"/>
        <v>134.42349329728515</v>
      </c>
      <c r="F8" s="9">
        <f t="shared" si="1"/>
        <v>61.115470000000016</v>
      </c>
    </row>
    <row r="9" spans="1:6" ht="15.75">
      <c r="A9" s="7">
        <v>1030224001</v>
      </c>
      <c r="B9" s="8" t="s">
        <v>293</v>
      </c>
      <c r="C9" s="9">
        <v>2.19</v>
      </c>
      <c r="D9" s="10">
        <v>2.42276</v>
      </c>
      <c r="E9" s="9">
        <f t="shared" si="2"/>
        <v>110.6283105022831</v>
      </c>
      <c r="F9" s="9">
        <f t="shared" si="1"/>
        <v>0.23275999999999986</v>
      </c>
    </row>
    <row r="10" spans="1:6" ht="15.75">
      <c r="A10" s="7">
        <v>1030225001</v>
      </c>
      <c r="B10" s="8" t="s">
        <v>286</v>
      </c>
      <c r="C10" s="9">
        <v>366.55</v>
      </c>
      <c r="D10" s="10">
        <v>385.95614</v>
      </c>
      <c r="E10" s="9">
        <f t="shared" si="2"/>
        <v>105.29426817623788</v>
      </c>
      <c r="F10" s="9">
        <f t="shared" si="1"/>
        <v>19.406139999999994</v>
      </c>
    </row>
    <row r="11" spans="1:6" ht="15.75">
      <c r="A11" s="7">
        <v>1030226001</v>
      </c>
      <c r="B11" s="8" t="s">
        <v>295</v>
      </c>
      <c r="C11" s="9">
        <v>0</v>
      </c>
      <c r="D11" s="10">
        <v>-46.22192</v>
      </c>
      <c r="E11" s="9" t="e">
        <f t="shared" si="2"/>
        <v>#DIV/0!</v>
      </c>
      <c r="F11" s="9">
        <f t="shared" si="1"/>
        <v>-46.22192</v>
      </c>
    </row>
    <row r="12" spans="1:6" s="6" customFormat="1" ht="15.75">
      <c r="A12" s="68">
        <v>1050000000</v>
      </c>
      <c r="B12" s="67" t="s">
        <v>7</v>
      </c>
      <c r="C12" s="5">
        <f>SUM(C13:C13)</f>
        <v>10</v>
      </c>
      <c r="D12" s="5">
        <f>SUM(D13:D13)</f>
        <v>7.72391</v>
      </c>
      <c r="E12" s="5">
        <f t="shared" si="0"/>
        <v>77.23910000000001</v>
      </c>
      <c r="F12" s="5">
        <f t="shared" si="1"/>
        <v>-2.27609</v>
      </c>
    </row>
    <row r="13" spans="1:6" ht="15.75" customHeight="1">
      <c r="A13" s="7">
        <v>1050300000</v>
      </c>
      <c r="B13" s="11" t="s">
        <v>232</v>
      </c>
      <c r="C13" s="12">
        <v>10</v>
      </c>
      <c r="D13" s="10">
        <v>7.72391</v>
      </c>
      <c r="E13" s="9">
        <f t="shared" si="0"/>
        <v>77.23910000000001</v>
      </c>
      <c r="F13" s="9">
        <f t="shared" si="1"/>
        <v>-2.27609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851.75</v>
      </c>
      <c r="D14" s="5">
        <f>D15+D16</f>
        <v>884.68764</v>
      </c>
      <c r="E14" s="5">
        <f t="shared" si="0"/>
        <v>103.86705488699737</v>
      </c>
      <c r="F14" s="5">
        <f t="shared" si="1"/>
        <v>32.93763999999999</v>
      </c>
    </row>
    <row r="15" spans="1:6" s="6" customFormat="1" ht="15.75" customHeight="1">
      <c r="A15" s="7">
        <v>1060100000</v>
      </c>
      <c r="B15" s="11" t="s">
        <v>9</v>
      </c>
      <c r="C15" s="9">
        <v>80</v>
      </c>
      <c r="D15" s="10">
        <v>93.81675</v>
      </c>
      <c r="E15" s="9">
        <f t="shared" si="0"/>
        <v>117.27093749999999</v>
      </c>
      <c r="F15" s="9">
        <f>SUM(D15-C15)</f>
        <v>13.816749999999999</v>
      </c>
    </row>
    <row r="16" spans="1:6" ht="15.75" customHeight="1">
      <c r="A16" s="7">
        <v>1060600000</v>
      </c>
      <c r="B16" s="11" t="s">
        <v>8</v>
      </c>
      <c r="C16" s="9">
        <v>771.75</v>
      </c>
      <c r="D16" s="10">
        <v>790.87089</v>
      </c>
      <c r="E16" s="9">
        <f t="shared" si="0"/>
        <v>102.47760155490768</v>
      </c>
      <c r="F16" s="9">
        <f t="shared" si="1"/>
        <v>19.12089000000003</v>
      </c>
    </row>
    <row r="17" spans="1:6" s="6" customFormat="1" ht="15.75">
      <c r="A17" s="3">
        <v>1080000000</v>
      </c>
      <c r="B17" s="4" t="s">
        <v>11</v>
      </c>
      <c r="C17" s="5">
        <f>C18</f>
        <v>20</v>
      </c>
      <c r="D17" s="5">
        <f>D18</f>
        <v>16.2</v>
      </c>
      <c r="E17" s="5">
        <f t="shared" si="0"/>
        <v>81</v>
      </c>
      <c r="F17" s="5">
        <f t="shared" si="1"/>
        <v>-3.8000000000000007</v>
      </c>
    </row>
    <row r="18" spans="1:6" ht="17.25" customHeight="1">
      <c r="A18" s="7">
        <v>1080400001</v>
      </c>
      <c r="B18" s="8" t="s">
        <v>230</v>
      </c>
      <c r="C18" s="9">
        <v>20</v>
      </c>
      <c r="D18" s="10">
        <v>16.2</v>
      </c>
      <c r="E18" s="9">
        <f t="shared" si="0"/>
        <v>81</v>
      </c>
      <c r="F18" s="9">
        <f t="shared" si="1"/>
        <v>-3.8000000000000007</v>
      </c>
    </row>
    <row r="19" spans="1:6" ht="0.7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198</v>
      </c>
      <c r="D25" s="5">
        <f>D26+D30+D32+D37+D35</f>
        <v>177.13673000000003</v>
      </c>
      <c r="E25" s="5">
        <f t="shared" si="0"/>
        <v>89.46299494949497</v>
      </c>
      <c r="F25" s="5">
        <f t="shared" si="1"/>
        <v>-20.86326999999997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198</v>
      </c>
      <c r="D26" s="5">
        <f>D28+D29</f>
        <v>173.34160000000003</v>
      </c>
      <c r="E26" s="5">
        <f t="shared" si="0"/>
        <v>87.54626262626263</v>
      </c>
      <c r="F26" s="5">
        <f t="shared" si="1"/>
        <v>-24.658399999999972</v>
      </c>
    </row>
    <row r="27" spans="1:6" ht="15.75">
      <c r="A27" s="16">
        <v>1110501101</v>
      </c>
      <c r="B27" s="17" t="s">
        <v>228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304</v>
      </c>
      <c r="C28" s="12">
        <v>165</v>
      </c>
      <c r="D28" s="10">
        <v>131.6998</v>
      </c>
      <c r="E28" s="9">
        <f t="shared" si="0"/>
        <v>79.81806060606061</v>
      </c>
      <c r="F28" s="9">
        <f t="shared" si="1"/>
        <v>-33.30019999999999</v>
      </c>
    </row>
    <row r="29" spans="1:6" ht="15" customHeight="1">
      <c r="A29" s="7">
        <v>1110503505</v>
      </c>
      <c r="B29" s="11" t="s">
        <v>227</v>
      </c>
      <c r="C29" s="12">
        <v>33</v>
      </c>
      <c r="D29" s="10">
        <v>41.6418</v>
      </c>
      <c r="E29" s="9">
        <f t="shared" si="0"/>
        <v>126.18727272727274</v>
      </c>
      <c r="F29" s="9">
        <f t="shared" si="1"/>
        <v>8.641800000000003</v>
      </c>
    </row>
    <row r="30" spans="1:6" s="15" customFormat="1" ht="15.75" customHeight="1" hidden="1">
      <c r="A30" s="68">
        <v>1130000000</v>
      </c>
      <c r="B30" s="69" t="s">
        <v>131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t="15.75" hidden="1">
      <c r="A31" s="7">
        <v>1130305005</v>
      </c>
      <c r="B31" s="8" t="s">
        <v>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70">
        <v>1140000000</v>
      </c>
      <c r="B32" s="71" t="s">
        <v>132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6" ht="15.75" hidden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" customHeight="1">
      <c r="A34" s="7">
        <v>1140600000</v>
      </c>
      <c r="B34" s="8" t="s">
        <v>225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16.5" customHeight="1">
      <c r="A35" s="3">
        <v>1160000000</v>
      </c>
      <c r="B35" s="13" t="s">
        <v>254</v>
      </c>
      <c r="C35" s="5">
        <f>C36</f>
        <v>0</v>
      </c>
      <c r="D35" s="5">
        <f>D36</f>
        <v>1.48393</v>
      </c>
      <c r="E35" s="5" t="e">
        <f t="shared" si="0"/>
        <v>#DIV/0!</v>
      </c>
      <c r="F35" s="5">
        <f t="shared" si="1"/>
        <v>1.48393</v>
      </c>
    </row>
    <row r="36" spans="1:6" ht="52.5" customHeight="1">
      <c r="A36" s="7">
        <v>1169005010</v>
      </c>
      <c r="B36" s="8" t="s">
        <v>328</v>
      </c>
      <c r="C36" s="9">
        <v>0</v>
      </c>
      <c r="D36" s="10">
        <v>1.48393</v>
      </c>
      <c r="E36" s="9" t="e">
        <f t="shared" si="0"/>
        <v>#DIV/0!</v>
      </c>
      <c r="F36" s="9">
        <f t="shared" si="1"/>
        <v>1.48393</v>
      </c>
    </row>
    <row r="37" spans="1:6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2.3112</v>
      </c>
      <c r="E37" s="9" t="e">
        <f t="shared" si="0"/>
        <v>#DIV/0!</v>
      </c>
      <c r="F37" s="5">
        <f t="shared" si="1"/>
        <v>2.3112</v>
      </c>
    </row>
    <row r="38" spans="1:6" ht="1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6" ht="17.25" customHeight="1">
      <c r="A39" s="7">
        <v>1170505005</v>
      </c>
      <c r="B39" s="11" t="s">
        <v>223</v>
      </c>
      <c r="C39" s="9">
        <v>0</v>
      </c>
      <c r="D39" s="10">
        <v>2.3112</v>
      </c>
      <c r="E39" s="9" t="e">
        <f t="shared" si="0"/>
        <v>#DIV/0!</v>
      </c>
      <c r="F39" s="9">
        <f t="shared" si="1"/>
        <v>2.3112</v>
      </c>
    </row>
    <row r="40" spans="1:6" s="6" customFormat="1" ht="15" customHeight="1">
      <c r="A40" s="3">
        <v>1000000000</v>
      </c>
      <c r="B40" s="4" t="s">
        <v>19</v>
      </c>
      <c r="C40" s="128">
        <f>SUM(C4,C25)</f>
        <v>1699.3700000000001</v>
      </c>
      <c r="D40" s="128">
        <f>D4+D25</f>
        <v>1747.6834900000001</v>
      </c>
      <c r="E40" s="5">
        <f t="shared" si="0"/>
        <v>102.84302359109552</v>
      </c>
      <c r="F40" s="5">
        <f t="shared" si="1"/>
        <v>48.31349</v>
      </c>
    </row>
    <row r="41" spans="1:7" s="6" customFormat="1" ht="15.75">
      <c r="A41" s="3">
        <v>2000000000</v>
      </c>
      <c r="B41" s="4" t="s">
        <v>20</v>
      </c>
      <c r="C41" s="5">
        <f>C42+C44+C45+C46+C47+C48+C43</f>
        <v>3945.3941999999997</v>
      </c>
      <c r="D41" s="5">
        <f>D42+D44+D45+D46+D47+D48+D43</f>
        <v>3924.5011999999997</v>
      </c>
      <c r="E41" s="5">
        <f t="shared" si="0"/>
        <v>99.47044581755607</v>
      </c>
      <c r="F41" s="5">
        <f t="shared" si="1"/>
        <v>-20.89300000000003</v>
      </c>
      <c r="G41" s="19"/>
    </row>
    <row r="42" spans="1:6" ht="15.75">
      <c r="A42" s="16">
        <v>2020100000</v>
      </c>
      <c r="B42" s="17" t="s">
        <v>21</v>
      </c>
      <c r="C42" s="99">
        <v>1738.07</v>
      </c>
      <c r="D42" s="20">
        <v>1738.07</v>
      </c>
      <c r="E42" s="9">
        <f t="shared" si="0"/>
        <v>100</v>
      </c>
      <c r="F42" s="9">
        <f t="shared" si="1"/>
        <v>0</v>
      </c>
    </row>
    <row r="43" spans="1:6" ht="15.75">
      <c r="A43" s="16">
        <v>2020100310</v>
      </c>
      <c r="B43" s="17" t="s">
        <v>234</v>
      </c>
      <c r="C43" s="12">
        <v>277.5</v>
      </c>
      <c r="D43" s="20">
        <v>277.5</v>
      </c>
      <c r="E43" s="9">
        <f t="shared" si="0"/>
        <v>100</v>
      </c>
      <c r="F43" s="9">
        <f t="shared" si="1"/>
        <v>0</v>
      </c>
    </row>
    <row r="44" spans="1:6" ht="15.75">
      <c r="A44" s="16">
        <v>2020200000</v>
      </c>
      <c r="B44" s="17" t="s">
        <v>22</v>
      </c>
      <c r="C44" s="12">
        <v>482.46</v>
      </c>
      <c r="D44" s="10">
        <v>461.567</v>
      </c>
      <c r="E44" s="9">
        <f t="shared" si="0"/>
        <v>95.66948555320648</v>
      </c>
      <c r="F44" s="9">
        <f t="shared" si="1"/>
        <v>-20.892999999999972</v>
      </c>
    </row>
    <row r="45" spans="1:6" ht="15" customHeight="1">
      <c r="A45" s="16">
        <v>2020300000</v>
      </c>
      <c r="B45" s="17" t="s">
        <v>23</v>
      </c>
      <c r="C45" s="12">
        <v>147.3642</v>
      </c>
      <c r="D45" s="258">
        <v>147.3642</v>
      </c>
      <c r="E45" s="9">
        <f t="shared" si="0"/>
        <v>100</v>
      </c>
      <c r="F45" s="9">
        <f t="shared" si="1"/>
        <v>0</v>
      </c>
    </row>
    <row r="46" spans="1:6" ht="25.5" customHeight="1">
      <c r="A46" s="16">
        <v>2020400000</v>
      </c>
      <c r="B46" s="17" t="s">
        <v>24</v>
      </c>
      <c r="C46" s="12">
        <v>1300</v>
      </c>
      <c r="D46" s="259">
        <v>1300</v>
      </c>
      <c r="E46" s="9">
        <f t="shared" si="0"/>
        <v>100</v>
      </c>
      <c r="F46" s="9">
        <f t="shared" si="1"/>
        <v>0</v>
      </c>
    </row>
    <row r="47" spans="1:6" ht="30" customHeight="1">
      <c r="A47" s="16">
        <v>2020900000</v>
      </c>
      <c r="B47" s="18" t="s">
        <v>25</v>
      </c>
      <c r="C47" s="12">
        <v>0</v>
      </c>
      <c r="D47" s="259">
        <v>0</v>
      </c>
      <c r="E47" s="9" t="e">
        <f t="shared" si="0"/>
        <v>#DIV/0!</v>
      </c>
      <c r="F47" s="9">
        <f t="shared" si="1"/>
        <v>0</v>
      </c>
    </row>
    <row r="48" spans="1:6" ht="25.5" customHeight="1">
      <c r="A48" s="7">
        <v>2190500005</v>
      </c>
      <c r="B48" s="11" t="s">
        <v>26</v>
      </c>
      <c r="C48" s="14">
        <v>0</v>
      </c>
      <c r="D48" s="14">
        <v>0</v>
      </c>
      <c r="E48" s="5" t="e">
        <f t="shared" si="0"/>
        <v>#DIV/0!</v>
      </c>
      <c r="F48" s="5">
        <f>SUM(D48-C48)</f>
        <v>0</v>
      </c>
    </row>
    <row r="49" spans="1:6" s="6" customFormat="1" ht="0.75" customHeight="1" hidden="1">
      <c r="A49" s="3">
        <v>3000000000</v>
      </c>
      <c r="B49" s="13" t="s">
        <v>27</v>
      </c>
      <c r="C49" s="123">
        <v>0</v>
      </c>
      <c r="D49" s="122">
        <v>0</v>
      </c>
      <c r="E49" s="5" t="e">
        <f t="shared" si="0"/>
        <v>#DIV/0!</v>
      </c>
      <c r="F49" s="5">
        <f t="shared" si="1"/>
        <v>0</v>
      </c>
    </row>
    <row r="50" spans="1:6" s="6" customFormat="1" ht="23.25" customHeight="1">
      <c r="A50" s="3"/>
      <c r="B50" s="4" t="s">
        <v>28</v>
      </c>
      <c r="C50" s="5">
        <f>C40+C41</f>
        <v>5644.7642</v>
      </c>
      <c r="D50" s="296">
        <f>D40+D41</f>
        <v>5672.18469</v>
      </c>
      <c r="E50" s="5">
        <f t="shared" si="0"/>
        <v>100.48576856407927</v>
      </c>
      <c r="F50" s="5">
        <f t="shared" si="1"/>
        <v>27.420490000000427</v>
      </c>
    </row>
    <row r="51" spans="1:6" s="6" customFormat="1" ht="15.75">
      <c r="A51" s="3"/>
      <c r="B51" s="21" t="s">
        <v>326</v>
      </c>
      <c r="C51" s="5">
        <f>C50-C98</f>
        <v>-417.308</v>
      </c>
      <c r="D51" s="5">
        <f>D50-D98</f>
        <v>-266.9221899999993</v>
      </c>
      <c r="E51" s="22"/>
      <c r="F51" s="22"/>
    </row>
    <row r="52" spans="1:6" ht="32.25" customHeight="1">
      <c r="A52" s="23"/>
      <c r="B52" s="24"/>
      <c r="C52" s="254"/>
      <c r="D52" s="25"/>
      <c r="E52" s="26"/>
      <c r="F52" s="27"/>
    </row>
    <row r="53" spans="1:6" ht="63">
      <c r="A53" s="28" t="s">
        <v>1</v>
      </c>
      <c r="B53" s="28" t="s">
        <v>29</v>
      </c>
      <c r="C53" s="72" t="s">
        <v>340</v>
      </c>
      <c r="D53" s="73" t="s">
        <v>353</v>
      </c>
      <c r="E53" s="72" t="s">
        <v>3</v>
      </c>
      <c r="F53" s="74" t="s">
        <v>4</v>
      </c>
    </row>
    <row r="54" spans="1:6" ht="15.75">
      <c r="A54" s="8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15.75">
      <c r="A55" s="30" t="s">
        <v>30</v>
      </c>
      <c r="B55" s="31" t="s">
        <v>31</v>
      </c>
      <c r="C55" s="32">
        <f>C56+C57+C58+C59+C60+C62+C61</f>
        <v>1219.6599999999999</v>
      </c>
      <c r="D55" s="33">
        <f>D56+D57+D58+D59+D60+D62+D61</f>
        <v>1193.9019</v>
      </c>
      <c r="E55" s="34">
        <f>SUM(D55/C55*100)</f>
        <v>97.88809176327831</v>
      </c>
      <c r="F55" s="34">
        <f>SUM(D55-C55)</f>
        <v>-25.758099999999786</v>
      </c>
    </row>
    <row r="56" spans="1:6" s="6" customFormat="1" ht="14.25" customHeight="1">
      <c r="A56" s="35" t="s">
        <v>32</v>
      </c>
      <c r="B56" s="36" t="s">
        <v>33</v>
      </c>
      <c r="C56" s="37">
        <v>0</v>
      </c>
      <c r="D56" s="37">
        <v>0</v>
      </c>
      <c r="E56" s="38" t="e">
        <f>SUM(D56/C56*100)</f>
        <v>#DIV/0!</v>
      </c>
      <c r="F56" s="38">
        <f>SUM(D56-C56)</f>
        <v>0</v>
      </c>
    </row>
    <row r="57" spans="1:6" ht="15.75">
      <c r="A57" s="35" t="s">
        <v>34</v>
      </c>
      <c r="B57" s="39" t="s">
        <v>35</v>
      </c>
      <c r="C57" s="37">
        <v>1143.86</v>
      </c>
      <c r="D57" s="37">
        <v>1123.2234</v>
      </c>
      <c r="E57" s="38">
        <f aca="true" t="shared" si="3" ref="E57:E98">SUM(D57/C57*100)</f>
        <v>98.19588061476057</v>
      </c>
      <c r="F57" s="38">
        <f aca="true" t="shared" si="4" ref="F57:F98">SUM(D57-C57)</f>
        <v>-20.636599999999817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7.25" customHeight="1">
      <c r="A60" s="35" t="s">
        <v>40</v>
      </c>
      <c r="B60" s="39" t="s">
        <v>41</v>
      </c>
      <c r="C60" s="37">
        <v>11.8</v>
      </c>
      <c r="D60" s="37">
        <v>11.8</v>
      </c>
      <c r="E60" s="38">
        <f t="shared" si="3"/>
        <v>100</v>
      </c>
      <c r="F60" s="38">
        <f t="shared" si="4"/>
        <v>0</v>
      </c>
    </row>
    <row r="61" spans="1:6" ht="15.75" customHeight="1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3"/>
        <v>0</v>
      </c>
      <c r="F61" s="38">
        <f t="shared" si="4"/>
        <v>-5</v>
      </c>
    </row>
    <row r="62" spans="1:6" ht="14.25" customHeight="1">
      <c r="A62" s="35" t="s">
        <v>44</v>
      </c>
      <c r="B62" s="39" t="s">
        <v>45</v>
      </c>
      <c r="C62" s="37">
        <v>59</v>
      </c>
      <c r="D62" s="37">
        <v>58.8785</v>
      </c>
      <c r="E62" s="38">
        <f t="shared" si="3"/>
        <v>99.79406779661018</v>
      </c>
      <c r="F62" s="38">
        <f t="shared" si="4"/>
        <v>-0.1214999999999975</v>
      </c>
    </row>
    <row r="63" spans="1:6" s="6" customFormat="1" ht="15.75">
      <c r="A63" s="41" t="s">
        <v>46</v>
      </c>
      <c r="B63" s="42" t="s">
        <v>47</v>
      </c>
      <c r="C63" s="32">
        <f>C64</f>
        <v>147.0318</v>
      </c>
      <c r="D63" s="32">
        <f>D64</f>
        <v>147.0318</v>
      </c>
      <c r="E63" s="34">
        <f t="shared" si="3"/>
        <v>100</v>
      </c>
      <c r="F63" s="34">
        <f t="shared" si="4"/>
        <v>0</v>
      </c>
    </row>
    <row r="64" spans="1:6" ht="15" customHeight="1">
      <c r="A64" s="43" t="s">
        <v>48</v>
      </c>
      <c r="B64" s="44" t="s">
        <v>49</v>
      </c>
      <c r="C64" s="37">
        <v>147.0318</v>
      </c>
      <c r="D64" s="37">
        <v>147.0318</v>
      </c>
      <c r="E64" s="38">
        <f t="shared" si="3"/>
        <v>100</v>
      </c>
      <c r="F64" s="38">
        <f t="shared" si="4"/>
        <v>0</v>
      </c>
    </row>
    <row r="65" spans="1:6" s="6" customFormat="1" ht="16.5" customHeight="1">
      <c r="A65" s="30" t="s">
        <v>50</v>
      </c>
      <c r="B65" s="31" t="s">
        <v>51</v>
      </c>
      <c r="C65" s="32">
        <f>C68+C69</f>
        <v>4</v>
      </c>
      <c r="D65" s="32">
        <f>SUM(D66:D68)</f>
        <v>0</v>
      </c>
      <c r="E65" s="34">
        <f t="shared" si="3"/>
        <v>0</v>
      </c>
      <c r="F65" s="34">
        <f t="shared" si="4"/>
        <v>-4</v>
      </c>
    </row>
    <row r="66" spans="1:6" ht="0.75" customHeight="1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8" customHeight="1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4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6" ht="19.5" customHeight="1">
      <c r="A69" s="46" t="s">
        <v>221</v>
      </c>
      <c r="B69" s="47" t="s">
        <v>222</v>
      </c>
      <c r="C69" s="37">
        <v>2</v>
      </c>
      <c r="D69" s="37">
        <v>0</v>
      </c>
      <c r="E69" s="38">
        <f t="shared" si="3"/>
        <v>0</v>
      </c>
      <c r="F69" s="38">
        <f t="shared" si="4"/>
        <v>-2</v>
      </c>
    </row>
    <row r="70" spans="1:6" s="6" customFormat="1" ht="19.5" customHeight="1">
      <c r="A70" s="30" t="s">
        <v>58</v>
      </c>
      <c r="B70" s="31" t="s">
        <v>59</v>
      </c>
      <c r="C70" s="48">
        <f>C72+C73+C74+C71</f>
        <v>2943.6549999999997</v>
      </c>
      <c r="D70" s="48">
        <f>SUM(D71:D74)</f>
        <v>2930.84123</v>
      </c>
      <c r="E70" s="34">
        <f t="shared" si="3"/>
        <v>99.56469864844895</v>
      </c>
      <c r="F70" s="34">
        <f t="shared" si="4"/>
        <v>-12.81376999999975</v>
      </c>
    </row>
    <row r="71" spans="1:6" ht="17.25" customHeight="1">
      <c r="A71" s="35" t="s">
        <v>60</v>
      </c>
      <c r="B71" s="39" t="s">
        <v>61</v>
      </c>
      <c r="C71" s="49">
        <v>1.25</v>
      </c>
      <c r="D71" s="37">
        <v>1.25</v>
      </c>
      <c r="E71" s="38">
        <f t="shared" si="3"/>
        <v>100</v>
      </c>
      <c r="F71" s="38">
        <f t="shared" si="4"/>
        <v>0</v>
      </c>
    </row>
    <row r="72" spans="1:7" s="6" customFormat="1" ht="17.25" customHeight="1">
      <c r="A72" s="35" t="s">
        <v>62</v>
      </c>
      <c r="B72" s="39" t="s">
        <v>63</v>
      </c>
      <c r="C72" s="49">
        <v>281.75</v>
      </c>
      <c r="D72" s="37">
        <v>268.93623</v>
      </c>
      <c r="E72" s="38">
        <f t="shared" si="3"/>
        <v>95.45207808340729</v>
      </c>
      <c r="F72" s="38">
        <f t="shared" si="4"/>
        <v>-12.813769999999977</v>
      </c>
      <c r="G72" s="50"/>
    </row>
    <row r="73" spans="1:6" ht="16.5" customHeight="1">
      <c r="A73" s="35" t="s">
        <v>64</v>
      </c>
      <c r="B73" s="39" t="s">
        <v>65</v>
      </c>
      <c r="C73" s="49">
        <v>2438.548</v>
      </c>
      <c r="D73" s="37">
        <v>2438.548</v>
      </c>
      <c r="E73" s="38">
        <f t="shared" si="3"/>
        <v>100</v>
      </c>
      <c r="F73" s="38">
        <f t="shared" si="4"/>
        <v>0</v>
      </c>
    </row>
    <row r="74" spans="1:6" ht="18" customHeight="1">
      <c r="A74" s="35" t="s">
        <v>66</v>
      </c>
      <c r="B74" s="39" t="s">
        <v>67</v>
      </c>
      <c r="C74" s="49">
        <v>222.107</v>
      </c>
      <c r="D74" s="37">
        <v>222.107</v>
      </c>
      <c r="E74" s="38">
        <f t="shared" si="3"/>
        <v>100</v>
      </c>
      <c r="F74" s="38">
        <f t="shared" si="4"/>
        <v>0</v>
      </c>
    </row>
    <row r="75" spans="1:6" ht="15.75" customHeight="1" hidden="1">
      <c r="A75" s="30" t="s">
        <v>50</v>
      </c>
      <c r="B75" s="31" t="s">
        <v>51</v>
      </c>
      <c r="C75" s="48">
        <v>0</v>
      </c>
      <c r="D75" s="37"/>
      <c r="E75" s="38"/>
      <c r="F75" s="38"/>
    </row>
    <row r="76" spans="1:6" ht="15.75" customHeight="1" hidden="1">
      <c r="A76" s="46" t="s">
        <v>221</v>
      </c>
      <c r="B76" s="47" t="s">
        <v>222</v>
      </c>
      <c r="C76" s="49">
        <v>0</v>
      </c>
      <c r="D76" s="37"/>
      <c r="E76" s="38"/>
      <c r="F76" s="38"/>
    </row>
    <row r="77" spans="1:6" s="6" customFormat="1" ht="19.5" customHeight="1">
      <c r="A77" s="30" t="s">
        <v>68</v>
      </c>
      <c r="B77" s="31" t="s">
        <v>69</v>
      </c>
      <c r="C77" s="32">
        <f>SUM(C78:C80)</f>
        <v>319.8854</v>
      </c>
      <c r="D77" s="32">
        <f>SUM(D78:D80)</f>
        <v>274.43829</v>
      </c>
      <c r="E77" s="34">
        <f t="shared" si="3"/>
        <v>85.79269013215357</v>
      </c>
      <c r="F77" s="34">
        <f t="shared" si="4"/>
        <v>-45.44711000000001</v>
      </c>
    </row>
    <row r="78" spans="1:6" ht="15.75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6" ht="15.75" customHeight="1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6" ht="15.75">
      <c r="A80" s="35" t="s">
        <v>74</v>
      </c>
      <c r="B80" s="39" t="s">
        <v>75</v>
      </c>
      <c r="C80" s="37">
        <v>319.8854</v>
      </c>
      <c r="D80" s="37">
        <v>274.43829</v>
      </c>
      <c r="E80" s="38">
        <f t="shared" si="3"/>
        <v>85.79269013215357</v>
      </c>
      <c r="F80" s="38">
        <f t="shared" si="4"/>
        <v>-45.44711000000001</v>
      </c>
    </row>
    <row r="81" spans="1:6" s="6" customFormat="1" ht="15.75">
      <c r="A81" s="30" t="s">
        <v>86</v>
      </c>
      <c r="B81" s="31" t="s">
        <v>87</v>
      </c>
      <c r="C81" s="32">
        <f>C82</f>
        <v>1425.84</v>
      </c>
      <c r="D81" s="32">
        <f>SUM(D82)</f>
        <v>1390.92566</v>
      </c>
      <c r="E81" s="34">
        <f t="shared" si="3"/>
        <v>97.55131431296641</v>
      </c>
      <c r="F81" s="34">
        <f t="shared" si="4"/>
        <v>-34.91433999999981</v>
      </c>
    </row>
    <row r="82" spans="1:6" ht="16.5" customHeight="1">
      <c r="A82" s="35" t="s">
        <v>88</v>
      </c>
      <c r="B82" s="39" t="s">
        <v>236</v>
      </c>
      <c r="C82" s="37">
        <v>1425.84</v>
      </c>
      <c r="D82" s="37">
        <v>1390.92566</v>
      </c>
      <c r="E82" s="38">
        <f t="shared" si="3"/>
        <v>97.55131431296641</v>
      </c>
      <c r="F82" s="38">
        <f t="shared" si="4"/>
        <v>-34.91433999999981</v>
      </c>
    </row>
    <row r="83" spans="1:6" s="6" customFormat="1" ht="0.75" customHeight="1" hidden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" customHeight="1" hidden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customHeight="1" hidden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6.5" customHeight="1" hidden="1">
      <c r="A86" s="53">
        <v>1004</v>
      </c>
      <c r="B86" s="54" t="s">
        <v>92</v>
      </c>
      <c r="C86" s="37">
        <v>0</v>
      </c>
      <c r="D86" s="55">
        <v>0</v>
      </c>
      <c r="E86" s="38" t="e">
        <f t="shared" si="3"/>
        <v>#DIV/0!</v>
      </c>
      <c r="F86" s="38">
        <f t="shared" si="4"/>
        <v>0</v>
      </c>
    </row>
    <row r="87" spans="1:6" ht="12.75" customHeight="1" hidden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" customHeight="1">
      <c r="A88" s="30" t="s">
        <v>95</v>
      </c>
      <c r="B88" s="31" t="s">
        <v>96</v>
      </c>
      <c r="C88" s="32">
        <f>C89+C90+C91+C92+C93</f>
        <v>2</v>
      </c>
      <c r="D88" s="300">
        <f>D89+D90+D91+D92+D93</f>
        <v>1.968</v>
      </c>
      <c r="E88" s="38">
        <f t="shared" si="3"/>
        <v>98.4</v>
      </c>
      <c r="F88" s="22">
        <f>F89+F90+F91+F92+F93</f>
        <v>-0.03200000000000003</v>
      </c>
    </row>
    <row r="89" spans="1:6" ht="15.75">
      <c r="A89" s="35" t="s">
        <v>97</v>
      </c>
      <c r="B89" s="39" t="s">
        <v>98</v>
      </c>
      <c r="C89" s="37">
        <v>2</v>
      </c>
      <c r="D89" s="301">
        <v>1.968</v>
      </c>
      <c r="E89" s="38">
        <f t="shared" si="3"/>
        <v>98.4</v>
      </c>
      <c r="F89" s="38">
        <f>SUM(D89-C89)</f>
        <v>-0.03200000000000003</v>
      </c>
    </row>
    <row r="90" spans="1:6" ht="15" customHeight="1" hidden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customHeight="1" hidden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 hidden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57.75" customHeight="1" hidden="1">
      <c r="A93" s="35" t="s">
        <v>105</v>
      </c>
      <c r="B93" s="39" t="s">
        <v>106</v>
      </c>
      <c r="C93" s="247"/>
      <c r="D93" s="247"/>
      <c r="E93" s="38" t="e">
        <f t="shared" si="3"/>
        <v>#DIV/0!</v>
      </c>
      <c r="F93" s="38"/>
    </row>
    <row r="94" spans="1:6" s="6" customFormat="1" ht="15" customHeight="1" hidden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6.5" customHeight="1">
      <c r="A95" s="53">
        <v>1401</v>
      </c>
      <c r="B95" s="54" t="s">
        <v>116</v>
      </c>
      <c r="C95" s="92">
        <v>0</v>
      </c>
      <c r="D95" s="92">
        <v>0</v>
      </c>
      <c r="E95" s="38" t="e">
        <f t="shared" si="3"/>
        <v>#DIV/0!</v>
      </c>
      <c r="F95" s="38">
        <f t="shared" si="4"/>
        <v>0</v>
      </c>
    </row>
    <row r="96" spans="1:6" ht="20.25" customHeight="1">
      <c r="A96" s="53">
        <v>1402</v>
      </c>
      <c r="B96" s="54" t="s">
        <v>117</v>
      </c>
      <c r="C96" s="107">
        <v>0</v>
      </c>
      <c r="D96" s="92">
        <v>0</v>
      </c>
      <c r="E96" s="38" t="e">
        <f t="shared" si="3"/>
        <v>#DIV/0!</v>
      </c>
      <c r="F96" s="38">
        <f t="shared" si="4"/>
        <v>0</v>
      </c>
    </row>
    <row r="97" spans="1:6" ht="13.5" customHeight="1">
      <c r="A97" s="53">
        <v>1403</v>
      </c>
      <c r="B97" s="54" t="s">
        <v>118</v>
      </c>
      <c r="C97" s="107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s="6" customFormat="1" ht="15.75">
      <c r="A98" s="52"/>
      <c r="B98" s="57" t="s">
        <v>119</v>
      </c>
      <c r="C98" s="393">
        <f>C55+C63+C65+C70+C77+C81+C83+C88+C75</f>
        <v>6062.0722</v>
      </c>
      <c r="D98" s="393">
        <f>D55+D63+D65+D70+D77+D81+D88+D83</f>
        <v>5939.106879999999</v>
      </c>
      <c r="E98" s="34">
        <f t="shared" si="3"/>
        <v>97.97156292529804</v>
      </c>
      <c r="F98" s="34">
        <f t="shared" si="4"/>
        <v>-122.96532000000025</v>
      </c>
    </row>
    <row r="99" spans="3:4" ht="5.25" customHeight="1">
      <c r="C99" s="121"/>
      <c r="D99" s="61"/>
    </row>
    <row r="100" spans="1:4" s="65" customFormat="1" ht="12.75">
      <c r="A100" s="63" t="s">
        <v>120</v>
      </c>
      <c r="B100" s="63"/>
      <c r="C100" s="117"/>
      <c r="D100" s="64"/>
    </row>
    <row r="101" spans="1:3" s="65" customFormat="1" ht="12.75">
      <c r="A101" s="66" t="s">
        <v>121</v>
      </c>
      <c r="B101" s="66"/>
      <c r="C101" s="65" t="s">
        <v>122</v>
      </c>
    </row>
    <row r="102" ht="15.75">
      <c r="C102" s="12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70" zoomScaleSheetLayoutView="70" zoomScalePageLayoutView="0" workbookViewId="0" topLeftCell="A34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8515625" style="62" customWidth="1"/>
    <col min="4" max="4" width="16.140625" style="62" customWidth="1"/>
    <col min="5" max="5" width="11.00390625" style="62" customWidth="1"/>
    <col min="6" max="6" width="10.8515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367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3992.01</v>
      </c>
      <c r="D4" s="5">
        <f>D5+D12+D14+D17+D20+D7</f>
        <v>3805.5670900000005</v>
      </c>
      <c r="E4" s="5">
        <f>SUM(D4/C4*100)</f>
        <v>95.32959812224921</v>
      </c>
      <c r="F4" s="5">
        <f>SUM(D4-C4)</f>
        <v>-186.44290999999976</v>
      </c>
    </row>
    <row r="5" spans="1:6" s="6" customFormat="1" ht="15.75">
      <c r="A5" s="68">
        <v>1010000000</v>
      </c>
      <c r="B5" s="67" t="s">
        <v>6</v>
      </c>
      <c r="C5" s="5">
        <f>C6</f>
        <v>445.67</v>
      </c>
      <c r="D5" s="5">
        <f>D6</f>
        <v>435.32026</v>
      </c>
      <c r="E5" s="5">
        <f aca="true" t="shared" si="0" ref="E5:E49">SUM(D5/C5*100)</f>
        <v>97.67771220858484</v>
      </c>
      <c r="F5" s="5">
        <f aca="true" t="shared" si="1" ref="F5:F49">SUM(D5-C5)</f>
        <v>-10.349739999999997</v>
      </c>
    </row>
    <row r="6" spans="1:6" ht="15.75">
      <c r="A6" s="7">
        <v>1010200001</v>
      </c>
      <c r="B6" s="8" t="s">
        <v>231</v>
      </c>
      <c r="C6" s="9">
        <v>445.67</v>
      </c>
      <c r="D6" s="10">
        <v>435.32026</v>
      </c>
      <c r="E6" s="9">
        <f aca="true" t="shared" si="2" ref="E6:E11">SUM(D6/C6*100)</f>
        <v>97.67771220858484</v>
      </c>
      <c r="F6" s="9">
        <f t="shared" si="1"/>
        <v>-10.349739999999997</v>
      </c>
    </row>
    <row r="7" spans="1:6" ht="31.5">
      <c r="A7" s="3">
        <v>1030000000</v>
      </c>
      <c r="B7" s="13" t="s">
        <v>285</v>
      </c>
      <c r="C7" s="5">
        <f>C8+C10+C9</f>
        <v>636.3399999999999</v>
      </c>
      <c r="D7" s="5">
        <f>D8+D10+D9+D11</f>
        <v>676.57369</v>
      </c>
      <c r="E7" s="5">
        <f t="shared" si="2"/>
        <v>106.32267184209701</v>
      </c>
      <c r="F7" s="5">
        <f t="shared" si="1"/>
        <v>40.23369000000014</v>
      </c>
    </row>
    <row r="8" spans="1:6" ht="15.75">
      <c r="A8" s="7">
        <v>1030223001</v>
      </c>
      <c r="B8" s="8" t="s">
        <v>287</v>
      </c>
      <c r="C8" s="9">
        <v>206.81</v>
      </c>
      <c r="D8" s="10">
        <v>278.00369</v>
      </c>
      <c r="E8" s="9">
        <f t="shared" si="2"/>
        <v>134.4246844930129</v>
      </c>
      <c r="F8" s="9">
        <f t="shared" si="1"/>
        <v>71.19369</v>
      </c>
    </row>
    <row r="9" spans="1:6" ht="15.75">
      <c r="A9" s="7">
        <v>1030224001</v>
      </c>
      <c r="B9" s="8" t="s">
        <v>293</v>
      </c>
      <c r="C9" s="9">
        <v>2.55</v>
      </c>
      <c r="D9" s="10">
        <v>2.82219</v>
      </c>
      <c r="E9" s="9">
        <f t="shared" si="2"/>
        <v>110.67411764705884</v>
      </c>
      <c r="F9" s="9">
        <f t="shared" si="1"/>
        <v>0.27219000000000015</v>
      </c>
    </row>
    <row r="10" spans="1:6" ht="15.75">
      <c r="A10" s="7">
        <v>1030225001</v>
      </c>
      <c r="B10" s="8" t="s">
        <v>286</v>
      </c>
      <c r="C10" s="9">
        <v>426.98</v>
      </c>
      <c r="D10" s="10">
        <v>449.59048</v>
      </c>
      <c r="E10" s="9">
        <f t="shared" si="2"/>
        <v>105.29544240948054</v>
      </c>
      <c r="F10" s="9">
        <f t="shared" si="1"/>
        <v>22.610479999999995</v>
      </c>
    </row>
    <row r="11" spans="1:6" ht="15.75">
      <c r="A11" s="7">
        <v>1030226001</v>
      </c>
      <c r="B11" s="8" t="s">
        <v>294</v>
      </c>
      <c r="C11" s="9">
        <v>0</v>
      </c>
      <c r="D11" s="10">
        <v>-53.84267</v>
      </c>
      <c r="E11" s="9" t="e">
        <f t="shared" si="2"/>
        <v>#DIV/0!</v>
      </c>
      <c r="F11" s="9">
        <f t="shared" si="1"/>
        <v>-53.84267</v>
      </c>
    </row>
    <row r="12" spans="1:6" s="6" customFormat="1" ht="15.75">
      <c r="A12" s="68">
        <v>1050000000</v>
      </c>
      <c r="B12" s="67" t="s">
        <v>7</v>
      </c>
      <c r="C12" s="5">
        <f>SUM(C13:C13)</f>
        <v>225</v>
      </c>
      <c r="D12" s="5">
        <f>D13</f>
        <v>24.56622</v>
      </c>
      <c r="E12" s="5">
        <f t="shared" si="0"/>
        <v>10.918320000000001</v>
      </c>
      <c r="F12" s="5">
        <f t="shared" si="1"/>
        <v>-200.43378</v>
      </c>
    </row>
    <row r="13" spans="1:6" ht="15.75" customHeight="1">
      <c r="A13" s="7">
        <v>1050300000</v>
      </c>
      <c r="B13" s="11" t="s">
        <v>232</v>
      </c>
      <c r="C13" s="12">
        <v>225</v>
      </c>
      <c r="D13" s="10">
        <v>24.56622</v>
      </c>
      <c r="E13" s="9">
        <f t="shared" si="0"/>
        <v>10.918320000000001</v>
      </c>
      <c r="F13" s="9">
        <f t="shared" si="1"/>
        <v>-200.43378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2680</v>
      </c>
      <c r="D14" s="5">
        <f>D15+D16</f>
        <v>2661.55692</v>
      </c>
      <c r="E14" s="5">
        <f t="shared" si="0"/>
        <v>99.31182537313433</v>
      </c>
      <c r="F14" s="5">
        <f t="shared" si="1"/>
        <v>-18.44308000000001</v>
      </c>
    </row>
    <row r="15" spans="1:6" s="6" customFormat="1" ht="15.75" customHeight="1">
      <c r="A15" s="7">
        <v>1060100000</v>
      </c>
      <c r="B15" s="11" t="s">
        <v>9</v>
      </c>
      <c r="C15" s="9">
        <v>180</v>
      </c>
      <c r="D15" s="10">
        <v>168.76567</v>
      </c>
      <c r="E15" s="9">
        <f t="shared" si="0"/>
        <v>93.75870555555555</v>
      </c>
      <c r="F15" s="9">
        <f>SUM(D15-C15)</f>
        <v>-11.23433</v>
      </c>
    </row>
    <row r="16" spans="1:6" ht="15.75" customHeight="1">
      <c r="A16" s="7">
        <v>1060600000</v>
      </c>
      <c r="B16" s="11" t="s">
        <v>8</v>
      </c>
      <c r="C16" s="9">
        <v>2500</v>
      </c>
      <c r="D16" s="10">
        <v>2492.79125</v>
      </c>
      <c r="E16" s="9">
        <f t="shared" si="0"/>
        <v>99.71165</v>
      </c>
      <c r="F16" s="9">
        <f t="shared" si="1"/>
        <v>-7.208749999999782</v>
      </c>
    </row>
    <row r="17" spans="1:6" s="6" customFormat="1" ht="15.75">
      <c r="A17" s="3">
        <v>1080000000</v>
      </c>
      <c r="B17" s="4" t="s">
        <v>11</v>
      </c>
      <c r="C17" s="5">
        <f>C18</f>
        <v>5</v>
      </c>
      <c r="D17" s="5">
        <f>D18</f>
        <v>7.55</v>
      </c>
      <c r="E17" s="5">
        <f t="shared" si="0"/>
        <v>151</v>
      </c>
      <c r="F17" s="5">
        <f t="shared" si="1"/>
        <v>2.55</v>
      </c>
    </row>
    <row r="18" spans="1:6" ht="15.75">
      <c r="A18" s="7">
        <v>1080400001</v>
      </c>
      <c r="B18" s="8" t="s">
        <v>230</v>
      </c>
      <c r="C18" s="9">
        <v>5</v>
      </c>
      <c r="D18" s="10">
        <v>7.55</v>
      </c>
      <c r="E18" s="9">
        <f t="shared" si="0"/>
        <v>151</v>
      </c>
      <c r="F18" s="9">
        <f t="shared" si="1"/>
        <v>2.55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572</v>
      </c>
      <c r="D25" s="5">
        <f>D26+D29+D31+D36+D34</f>
        <v>356.76306999999997</v>
      </c>
      <c r="E25" s="5">
        <f t="shared" si="0"/>
        <v>62.37116608391607</v>
      </c>
      <c r="F25" s="5">
        <f t="shared" si="1"/>
        <v>-215.23693000000003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72</v>
      </c>
      <c r="D26" s="5">
        <f>D27+D28</f>
        <v>300</v>
      </c>
      <c r="E26" s="5">
        <f t="shared" si="0"/>
        <v>416.6666666666667</v>
      </c>
      <c r="F26" s="5">
        <f t="shared" si="1"/>
        <v>228</v>
      </c>
    </row>
    <row r="27" spans="1:6" ht="15" customHeight="1">
      <c r="A27" s="16">
        <v>1110502501</v>
      </c>
      <c r="B27" s="17" t="s">
        <v>228</v>
      </c>
      <c r="C27" s="12">
        <v>70</v>
      </c>
      <c r="D27" s="10">
        <v>300</v>
      </c>
      <c r="E27" s="9">
        <f t="shared" si="0"/>
        <v>428.57142857142856</v>
      </c>
      <c r="F27" s="9">
        <f t="shared" si="1"/>
        <v>230</v>
      </c>
    </row>
    <row r="28" spans="1:6" ht="15" customHeight="1">
      <c r="A28" s="7">
        <v>1110503505</v>
      </c>
      <c r="B28" s="11" t="s">
        <v>227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4.25" customHeight="1">
      <c r="A29" s="68">
        <v>1130000000</v>
      </c>
      <c r="B29" s="69" t="s">
        <v>131</v>
      </c>
      <c r="C29" s="5">
        <f>C30</f>
        <v>100</v>
      </c>
      <c r="D29" s="5">
        <f>D30</f>
        <v>31.5756</v>
      </c>
      <c r="E29" s="5">
        <f t="shared" si="0"/>
        <v>31.575600000000005</v>
      </c>
      <c r="F29" s="5">
        <f t="shared" si="1"/>
        <v>-68.42439999999999</v>
      </c>
    </row>
    <row r="30" spans="1:6" ht="22.5" customHeight="1">
      <c r="A30" s="7">
        <v>1130206005</v>
      </c>
      <c r="B30" s="8" t="s">
        <v>226</v>
      </c>
      <c r="C30" s="9">
        <v>100</v>
      </c>
      <c r="D30" s="10">
        <v>31.5756</v>
      </c>
      <c r="E30" s="9">
        <f t="shared" si="0"/>
        <v>31.575600000000005</v>
      </c>
      <c r="F30" s="9">
        <f t="shared" si="1"/>
        <v>-68.42439999999999</v>
      </c>
    </row>
    <row r="31" spans="1:6" ht="17.25" customHeight="1">
      <c r="A31" s="70">
        <v>1140000000</v>
      </c>
      <c r="B31" s="71" t="s">
        <v>132</v>
      </c>
      <c r="C31" s="5">
        <f>C32+C33</f>
        <v>400</v>
      </c>
      <c r="D31" s="5">
        <f>D32+D33</f>
        <v>24.42665</v>
      </c>
      <c r="E31" s="5">
        <f t="shared" si="0"/>
        <v>6.1066625</v>
      </c>
      <c r="F31" s="5">
        <f t="shared" si="1"/>
        <v>-375.57335</v>
      </c>
    </row>
    <row r="32" spans="1:6" ht="16.5" customHeight="1">
      <c r="A32" s="16">
        <v>1140200000</v>
      </c>
      <c r="B32" s="18" t="s">
        <v>224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0.25" customHeight="1">
      <c r="A33" s="7">
        <v>1140600000</v>
      </c>
      <c r="B33" s="8" t="s">
        <v>225</v>
      </c>
      <c r="C33" s="9">
        <v>400</v>
      </c>
      <c r="D33" s="10">
        <v>24.42665</v>
      </c>
      <c r="E33" s="9">
        <f t="shared" si="0"/>
        <v>6.1066625</v>
      </c>
      <c r="F33" s="9">
        <f t="shared" si="1"/>
        <v>-375.57335</v>
      </c>
    </row>
    <row r="34" spans="1:6" ht="15.75">
      <c r="A34" s="3">
        <v>1160000000</v>
      </c>
      <c r="B34" s="13" t="s">
        <v>254</v>
      </c>
      <c r="C34" s="5">
        <f>C35</f>
        <v>0</v>
      </c>
      <c r="D34" s="5">
        <f>D35</f>
        <v>0.36782</v>
      </c>
      <c r="E34" s="5" t="e">
        <f>SUM(D34/C34*100)</f>
        <v>#DIV/0!</v>
      </c>
      <c r="F34" s="5">
        <f>SUM(D34-C34)</f>
        <v>0.36782</v>
      </c>
    </row>
    <row r="35" spans="1:6" ht="47.25">
      <c r="A35" s="7">
        <v>1163305010</v>
      </c>
      <c r="B35" s="8" t="s">
        <v>270</v>
      </c>
      <c r="C35" s="9">
        <v>0</v>
      </c>
      <c r="D35" s="10">
        <v>0.36782</v>
      </c>
      <c r="E35" s="9" t="e">
        <f>SUM(D35/C35*100)</f>
        <v>#DIV/0!</v>
      </c>
      <c r="F35" s="9">
        <f>SUM(D35-C35)</f>
        <v>0.36782</v>
      </c>
    </row>
    <row r="36" spans="1:6" ht="16.5" customHeight="1">
      <c r="A36" s="3">
        <v>1170000000</v>
      </c>
      <c r="B36" s="13" t="s">
        <v>135</v>
      </c>
      <c r="C36" s="5">
        <f>C37+C38</f>
        <v>0</v>
      </c>
      <c r="D36" s="5">
        <f>D37+D38</f>
        <v>0.393</v>
      </c>
      <c r="E36" s="5" t="e">
        <f t="shared" si="0"/>
        <v>#DIV/0!</v>
      </c>
      <c r="F36" s="5">
        <f t="shared" si="1"/>
        <v>0.393</v>
      </c>
    </row>
    <row r="37" spans="1:6" ht="15.75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6" ht="17.25" customHeight="1">
      <c r="A38" s="7">
        <v>1170505005</v>
      </c>
      <c r="B38" s="11" t="s">
        <v>223</v>
      </c>
      <c r="C38" s="9">
        <v>0</v>
      </c>
      <c r="D38" s="10">
        <v>0.393</v>
      </c>
      <c r="E38" s="9" t="e">
        <f t="shared" si="0"/>
        <v>#DIV/0!</v>
      </c>
      <c r="F38" s="9">
        <f t="shared" si="1"/>
        <v>0.393</v>
      </c>
    </row>
    <row r="39" spans="1:6" s="6" customFormat="1" ht="15" customHeight="1">
      <c r="A39" s="3">
        <v>1000000000</v>
      </c>
      <c r="B39" s="4" t="s">
        <v>19</v>
      </c>
      <c r="C39" s="128">
        <f>SUM(C4,C25)</f>
        <v>4564.01</v>
      </c>
      <c r="D39" s="128">
        <f>D4+D25</f>
        <v>4162.33016</v>
      </c>
      <c r="E39" s="5">
        <f t="shared" si="0"/>
        <v>91.19897108025619</v>
      </c>
      <c r="F39" s="5">
        <f t="shared" si="1"/>
        <v>-401.6798399999998</v>
      </c>
    </row>
    <row r="40" spans="1:7" s="6" customFormat="1" ht="15.75">
      <c r="A40" s="3">
        <v>2000000000</v>
      </c>
      <c r="B40" s="4" t="s">
        <v>20</v>
      </c>
      <c r="C40" s="5">
        <f>C41+C43+C44+C45+C46+C47+C42</f>
        <v>5635.04798</v>
      </c>
      <c r="D40" s="5">
        <f>D41+D43+D44+D45+D46+D47+D42</f>
        <v>5635.04798</v>
      </c>
      <c r="E40" s="5">
        <f t="shared" si="0"/>
        <v>100</v>
      </c>
      <c r="F40" s="5">
        <f t="shared" si="1"/>
        <v>0</v>
      </c>
      <c r="G40" s="19"/>
    </row>
    <row r="41" spans="1:6" ht="15.75">
      <c r="A41" s="16">
        <v>2020100000</v>
      </c>
      <c r="B41" s="17" t="s">
        <v>21</v>
      </c>
      <c r="C41" s="99">
        <v>1060.18</v>
      </c>
      <c r="D41" s="20">
        <v>1060.18</v>
      </c>
      <c r="E41" s="9">
        <f t="shared" si="0"/>
        <v>100</v>
      </c>
      <c r="F41" s="9">
        <f t="shared" si="1"/>
        <v>0</v>
      </c>
    </row>
    <row r="42" spans="1:6" ht="13.5" customHeight="1">
      <c r="A42" s="16">
        <v>2020100310</v>
      </c>
      <c r="B42" s="17" t="s">
        <v>234</v>
      </c>
      <c r="C42" s="99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6" ht="15.75" customHeight="1">
      <c r="A43" s="16">
        <v>2020200000</v>
      </c>
      <c r="B43" s="17" t="s">
        <v>22</v>
      </c>
      <c r="C43" s="99">
        <v>1045.96</v>
      </c>
      <c r="D43" s="10">
        <v>1045.96</v>
      </c>
      <c r="E43" s="9">
        <f t="shared" si="0"/>
        <v>100</v>
      </c>
      <c r="F43" s="9">
        <f t="shared" si="1"/>
        <v>0</v>
      </c>
    </row>
    <row r="44" spans="1:6" ht="15" customHeight="1">
      <c r="A44" s="16">
        <v>2020300000</v>
      </c>
      <c r="B44" s="17" t="s">
        <v>23</v>
      </c>
      <c r="C44" s="12">
        <v>3528.90798</v>
      </c>
      <c r="D44" s="258">
        <v>3528.90798</v>
      </c>
      <c r="E44" s="9">
        <f t="shared" si="0"/>
        <v>100</v>
      </c>
      <c r="F44" s="9">
        <f t="shared" si="1"/>
        <v>0</v>
      </c>
    </row>
    <row r="45" spans="1:6" ht="15" customHeight="1" hidden="1">
      <c r="A45" s="16">
        <v>2020400000</v>
      </c>
      <c r="B45" s="17" t="s">
        <v>24</v>
      </c>
      <c r="C45" s="12"/>
      <c r="D45" s="259"/>
      <c r="E45" s="9" t="e">
        <f t="shared" si="0"/>
        <v>#DIV/0!</v>
      </c>
      <c r="F45" s="9">
        <f t="shared" si="1"/>
        <v>0</v>
      </c>
    </row>
    <row r="46" spans="1:6" ht="15" customHeight="1" hidden="1">
      <c r="A46" s="16">
        <v>2020900000</v>
      </c>
      <c r="B46" s="18" t="s">
        <v>25</v>
      </c>
      <c r="C46" s="12"/>
      <c r="D46" s="259"/>
      <c r="E46" s="9" t="e">
        <f t="shared" si="0"/>
        <v>#DIV/0!</v>
      </c>
      <c r="F46" s="9">
        <f t="shared" si="1"/>
        <v>0</v>
      </c>
    </row>
    <row r="47" spans="1:6" ht="15" customHeight="1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6" s="6" customFormat="1" ht="15" customHeight="1" hidden="1">
      <c r="A48" s="3">
        <v>3000000000</v>
      </c>
      <c r="B48" s="13" t="s">
        <v>27</v>
      </c>
      <c r="C48" s="295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6" s="6" customFormat="1" ht="18" customHeight="1">
      <c r="A49" s="3"/>
      <c r="B49" s="4" t="s">
        <v>28</v>
      </c>
      <c r="C49" s="33">
        <f>C39+C40</f>
        <v>10199.057980000001</v>
      </c>
      <c r="D49" s="296">
        <f>D39+D40</f>
        <v>9797.37814</v>
      </c>
      <c r="E49" s="299">
        <f t="shared" si="0"/>
        <v>96.06159862226805</v>
      </c>
      <c r="F49" s="93">
        <f t="shared" si="1"/>
        <v>-401.6798400000007</v>
      </c>
    </row>
    <row r="50" spans="1:6" s="6" customFormat="1" ht="15.75">
      <c r="A50" s="3"/>
      <c r="B50" s="21" t="s">
        <v>326</v>
      </c>
      <c r="C50" s="93">
        <f>C49-C95</f>
        <v>-2726.981499999998</v>
      </c>
      <c r="D50" s="93">
        <f>D49-D95</f>
        <v>-2094.1650199999985</v>
      </c>
      <c r="E50" s="32"/>
      <c r="F50" s="32"/>
    </row>
    <row r="51" spans="1:6" ht="15.75">
      <c r="A51" s="23"/>
      <c r="B51" s="24"/>
      <c r="C51" s="257"/>
      <c r="D51" s="257"/>
      <c r="E51" s="26"/>
      <c r="F51" s="27"/>
    </row>
    <row r="52" spans="1:6" ht="45.75" customHeight="1">
      <c r="A52" s="28" t="s">
        <v>1</v>
      </c>
      <c r="B52" s="28" t="s">
        <v>29</v>
      </c>
      <c r="C52" s="250" t="s">
        <v>341</v>
      </c>
      <c r="D52" s="251" t="s">
        <v>353</v>
      </c>
      <c r="E52" s="72" t="s">
        <v>3</v>
      </c>
      <c r="F52" s="74" t="s">
        <v>4</v>
      </c>
    </row>
    <row r="53" spans="1:6" ht="15.75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32.25" customHeight="1">
      <c r="A54" s="30" t="s">
        <v>30</v>
      </c>
      <c r="B54" s="31" t="s">
        <v>31</v>
      </c>
      <c r="C54" s="253">
        <f>C55+C56+C57+C58+C59+C61+C60</f>
        <v>1525.182</v>
      </c>
      <c r="D54" s="32">
        <f>D55+D56+D57+D58+D59+D61+D60</f>
        <v>1421.8880100000001</v>
      </c>
      <c r="E54" s="34">
        <f>SUM(D54/C54*100)</f>
        <v>93.22743187370426</v>
      </c>
      <c r="F54" s="34">
        <f>SUM(D54-C54)</f>
        <v>-103.2939899999999</v>
      </c>
    </row>
    <row r="55" spans="1:6" s="6" customFormat="1" ht="31.5" hidden="1">
      <c r="A55" s="35" t="s">
        <v>32</v>
      </c>
      <c r="B55" s="36" t="s">
        <v>33</v>
      </c>
      <c r="C55" s="138"/>
      <c r="D55" s="37"/>
      <c r="E55" s="38"/>
      <c r="F55" s="38"/>
    </row>
    <row r="56" spans="1:6" ht="16.5" customHeight="1">
      <c r="A56" s="35" t="s">
        <v>34</v>
      </c>
      <c r="B56" s="39" t="s">
        <v>35</v>
      </c>
      <c r="C56" s="37">
        <v>1368.675</v>
      </c>
      <c r="D56" s="37">
        <v>1324.29445</v>
      </c>
      <c r="E56" s="38">
        <f aca="true" t="shared" si="3" ref="E56:E68">SUM(D56/C56*100)</f>
        <v>96.75740771183811</v>
      </c>
      <c r="F56" s="38">
        <f aca="true" t="shared" si="4" ref="F56:F68">SUM(D56-C56)</f>
        <v>-44.38054999999986</v>
      </c>
    </row>
    <row r="57" spans="1:6" ht="16.5" customHeight="1" hidden="1">
      <c r="A57" s="35" t="s">
        <v>36</v>
      </c>
      <c r="B57" s="39" t="s">
        <v>37</v>
      </c>
      <c r="C57" s="37"/>
      <c r="D57" s="37"/>
      <c r="E57" s="38"/>
      <c r="F57" s="38">
        <f t="shared" si="4"/>
        <v>0</v>
      </c>
    </row>
    <row r="58" spans="1:6" ht="31.5" customHeight="1" hidden="1">
      <c r="A58" s="35" t="s">
        <v>38</v>
      </c>
      <c r="B58" s="39" t="s">
        <v>39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6" ht="17.2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3"/>
        <v>#DIV/0!</v>
      </c>
      <c r="F59" s="38">
        <f t="shared" si="4"/>
        <v>0</v>
      </c>
    </row>
    <row r="60" spans="1:6" ht="19.5" customHeight="1">
      <c r="A60" s="35" t="s">
        <v>42</v>
      </c>
      <c r="B60" s="39" t="s">
        <v>43</v>
      </c>
      <c r="C60" s="37">
        <v>25</v>
      </c>
      <c r="D60" s="32">
        <v>0</v>
      </c>
      <c r="E60" s="38">
        <f t="shared" si="3"/>
        <v>0</v>
      </c>
      <c r="F60" s="38">
        <f t="shared" si="4"/>
        <v>-25</v>
      </c>
    </row>
    <row r="61" spans="1:6" ht="14.25" customHeight="1">
      <c r="A61" s="35" t="s">
        <v>44</v>
      </c>
      <c r="B61" s="39" t="s">
        <v>45</v>
      </c>
      <c r="C61" s="37">
        <v>131.507</v>
      </c>
      <c r="D61" s="37">
        <v>97.59356</v>
      </c>
      <c r="E61" s="38">
        <f t="shared" si="3"/>
        <v>74.21168454911144</v>
      </c>
      <c r="F61" s="38">
        <f t="shared" si="4"/>
        <v>-33.91344000000001</v>
      </c>
    </row>
    <row r="62" spans="1:6" s="6" customFormat="1" ht="15.75">
      <c r="A62" s="41" t="s">
        <v>46</v>
      </c>
      <c r="B62" s="42" t="s">
        <v>47</v>
      </c>
      <c r="C62" s="32">
        <f>C63</f>
        <v>105.48848</v>
      </c>
      <c r="D62" s="32">
        <f>D63</f>
        <v>105.48848</v>
      </c>
      <c r="E62" s="34">
        <f t="shared" si="3"/>
        <v>100</v>
      </c>
      <c r="F62" s="34">
        <f t="shared" si="4"/>
        <v>0</v>
      </c>
    </row>
    <row r="63" spans="1:6" ht="15.75">
      <c r="A63" s="43" t="s">
        <v>48</v>
      </c>
      <c r="B63" s="44" t="s">
        <v>49</v>
      </c>
      <c r="C63" s="37">
        <v>105.48848</v>
      </c>
      <c r="D63" s="37">
        <v>105.48848</v>
      </c>
      <c r="E63" s="38">
        <f t="shared" si="3"/>
        <v>100</v>
      </c>
      <c r="F63" s="38">
        <f t="shared" si="4"/>
        <v>0</v>
      </c>
    </row>
    <row r="64" spans="1:6" s="6" customFormat="1" ht="17.25" customHeight="1">
      <c r="A64" s="30" t="s">
        <v>50</v>
      </c>
      <c r="B64" s="31" t="s">
        <v>51</v>
      </c>
      <c r="C64" s="32">
        <f>C67+C68</f>
        <v>2.4</v>
      </c>
      <c r="D64" s="32">
        <f>D67+D68</f>
        <v>2.4</v>
      </c>
      <c r="E64" s="34">
        <f t="shared" si="3"/>
        <v>100</v>
      </c>
      <c r="F64" s="34">
        <f t="shared" si="4"/>
        <v>0</v>
      </c>
    </row>
    <row r="65" spans="1:6" ht="15.75" hidden="1">
      <c r="A65" s="35" t="s">
        <v>52</v>
      </c>
      <c r="B65" s="39" t="s">
        <v>53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6" ht="15.75" hidden="1">
      <c r="A66" s="45" t="s">
        <v>54</v>
      </c>
      <c r="B66" s="39" t="s">
        <v>55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7.25" customHeight="1">
      <c r="A67" s="46" t="s">
        <v>56</v>
      </c>
      <c r="B67" s="47" t="s">
        <v>57</v>
      </c>
      <c r="C67" s="302">
        <v>0</v>
      </c>
      <c r="D67" s="301">
        <v>0</v>
      </c>
      <c r="E67" s="34" t="e">
        <f t="shared" si="3"/>
        <v>#DIV/0!</v>
      </c>
      <c r="F67" s="34">
        <f t="shared" si="4"/>
        <v>0</v>
      </c>
    </row>
    <row r="68" spans="1:6" s="6" customFormat="1" ht="15.75" customHeight="1">
      <c r="A68" s="46" t="s">
        <v>221</v>
      </c>
      <c r="B68" s="47" t="s">
        <v>222</v>
      </c>
      <c r="C68" s="37">
        <v>2.4</v>
      </c>
      <c r="D68" s="37">
        <v>2.4</v>
      </c>
      <c r="E68" s="38">
        <f t="shared" si="3"/>
        <v>100</v>
      </c>
      <c r="F68" s="38">
        <f t="shared" si="4"/>
        <v>0</v>
      </c>
    </row>
    <row r="69" spans="1:6" ht="15.75">
      <c r="A69" s="30" t="s">
        <v>58</v>
      </c>
      <c r="B69" s="31" t="s">
        <v>59</v>
      </c>
      <c r="C69" s="48">
        <f>SUM(C70:C73)</f>
        <v>2358.375</v>
      </c>
      <c r="D69" s="48">
        <f>SUM(D70:D73)</f>
        <v>1850.81467</v>
      </c>
      <c r="E69" s="34">
        <f aca="true" t="shared" si="5" ref="E69:E84">SUM(D69/C69*100)</f>
        <v>78.478387448985</v>
      </c>
      <c r="F69" s="34">
        <f aca="true" t="shared" si="6" ref="F69:F84">SUM(D69-C69)</f>
        <v>-507.56033</v>
      </c>
    </row>
    <row r="70" spans="1:7" s="6" customFormat="1" ht="17.25" customHeight="1">
      <c r="A70" s="35" t="s">
        <v>60</v>
      </c>
      <c r="B70" s="39" t="s">
        <v>61</v>
      </c>
      <c r="C70" s="49">
        <v>6.25</v>
      </c>
      <c r="D70" s="37">
        <v>6.25</v>
      </c>
      <c r="E70" s="38">
        <f t="shared" si="5"/>
        <v>100</v>
      </c>
      <c r="F70" s="38">
        <f t="shared" si="6"/>
        <v>0</v>
      </c>
      <c r="G70" s="50"/>
    </row>
    <row r="71" spans="1:6" ht="15.75">
      <c r="A71" s="35" t="s">
        <v>62</v>
      </c>
      <c r="B71" s="39" t="s">
        <v>63</v>
      </c>
      <c r="C71" s="49">
        <v>776.02</v>
      </c>
      <c r="D71" s="37">
        <v>491.23767</v>
      </c>
      <c r="E71" s="38">
        <f t="shared" si="5"/>
        <v>63.30219195381562</v>
      </c>
      <c r="F71" s="38">
        <f t="shared" si="6"/>
        <v>-284.78233</v>
      </c>
    </row>
    <row r="72" spans="1:6" ht="15.75">
      <c r="A72" s="35" t="s">
        <v>64</v>
      </c>
      <c r="B72" s="39" t="s">
        <v>65</v>
      </c>
      <c r="C72" s="49">
        <v>1267.325</v>
      </c>
      <c r="D72" s="37">
        <v>1267.325</v>
      </c>
      <c r="E72" s="38">
        <f t="shared" si="5"/>
        <v>100</v>
      </c>
      <c r="F72" s="38">
        <f t="shared" si="6"/>
        <v>0</v>
      </c>
    </row>
    <row r="73" spans="1:6" s="6" customFormat="1" ht="15.75">
      <c r="A73" s="35" t="s">
        <v>66</v>
      </c>
      <c r="B73" s="39" t="s">
        <v>67</v>
      </c>
      <c r="C73" s="49">
        <v>308.78</v>
      </c>
      <c r="D73" s="37">
        <v>86.002</v>
      </c>
      <c r="E73" s="38">
        <f t="shared" si="5"/>
        <v>27.852192499514217</v>
      </c>
      <c r="F73" s="38">
        <f t="shared" si="6"/>
        <v>-222.77799999999996</v>
      </c>
    </row>
    <row r="74" spans="1:6" ht="18" customHeight="1">
      <c r="A74" s="30" t="s">
        <v>68</v>
      </c>
      <c r="B74" s="31" t="s">
        <v>69</v>
      </c>
      <c r="C74" s="32">
        <f>SUM(C75:C77)</f>
        <v>4583.053</v>
      </c>
      <c r="D74" s="32">
        <f>SUM(D75:D77)</f>
        <v>4447.46699</v>
      </c>
      <c r="E74" s="34">
        <f t="shared" si="5"/>
        <v>97.04157883402178</v>
      </c>
      <c r="F74" s="34">
        <f t="shared" si="6"/>
        <v>-135.58601</v>
      </c>
    </row>
    <row r="75" spans="1:6" ht="16.5" customHeight="1">
      <c r="A75" s="35" t="s">
        <v>70</v>
      </c>
      <c r="B75" s="51" t="s">
        <v>71</v>
      </c>
      <c r="C75" s="37">
        <v>3496.824</v>
      </c>
      <c r="D75" s="37">
        <v>3496.824</v>
      </c>
      <c r="E75" s="38">
        <f t="shared" si="5"/>
        <v>100</v>
      </c>
      <c r="F75" s="38">
        <f t="shared" si="6"/>
        <v>0</v>
      </c>
    </row>
    <row r="76" spans="1:6" ht="17.25" customHeight="1">
      <c r="A76" s="35" t="s">
        <v>72</v>
      </c>
      <c r="B76" s="51" t="s">
        <v>73</v>
      </c>
      <c r="C76" s="37">
        <v>0</v>
      </c>
      <c r="D76" s="37">
        <v>0</v>
      </c>
      <c r="E76" s="38" t="e">
        <f t="shared" si="5"/>
        <v>#DIV/0!</v>
      </c>
      <c r="F76" s="38">
        <f t="shared" si="6"/>
        <v>0</v>
      </c>
    </row>
    <row r="77" spans="1:6" s="6" customFormat="1" ht="15.75">
      <c r="A77" s="35" t="s">
        <v>74</v>
      </c>
      <c r="B77" s="39" t="s">
        <v>75</v>
      </c>
      <c r="C77" s="37">
        <v>1086.229</v>
      </c>
      <c r="D77" s="37">
        <v>950.64299</v>
      </c>
      <c r="E77" s="38">
        <f t="shared" si="5"/>
        <v>87.51773244868255</v>
      </c>
      <c r="F77" s="38">
        <f t="shared" si="6"/>
        <v>-135.58601</v>
      </c>
    </row>
    <row r="78" spans="1:6" ht="15.75">
      <c r="A78" s="30" t="s">
        <v>86</v>
      </c>
      <c r="B78" s="31" t="s">
        <v>87</v>
      </c>
      <c r="C78" s="32">
        <f>C79</f>
        <v>4350.541</v>
      </c>
      <c r="D78" s="32">
        <f>D79</f>
        <v>4063.48501</v>
      </c>
      <c r="E78" s="34">
        <f t="shared" si="5"/>
        <v>93.40183232384202</v>
      </c>
      <c r="F78" s="34">
        <f t="shared" si="6"/>
        <v>-287.0559900000003</v>
      </c>
    </row>
    <row r="79" spans="1:6" s="6" customFormat="1" ht="15" customHeight="1">
      <c r="A79" s="35" t="s">
        <v>88</v>
      </c>
      <c r="B79" s="39" t="s">
        <v>236</v>
      </c>
      <c r="C79" s="37">
        <v>4350.541</v>
      </c>
      <c r="D79" s="37">
        <v>4063.48501</v>
      </c>
      <c r="E79" s="38">
        <f t="shared" si="5"/>
        <v>93.40183232384202</v>
      </c>
      <c r="F79" s="38">
        <f t="shared" si="6"/>
        <v>-287.0559900000003</v>
      </c>
    </row>
    <row r="80" spans="1:6" ht="20.25" customHeight="1">
      <c r="A80" s="52">
        <v>1000</v>
      </c>
      <c r="B80" s="31" t="s">
        <v>89</v>
      </c>
      <c r="C80" s="137">
        <f>SUM(C81:C84)</f>
        <v>0</v>
      </c>
      <c r="D80" s="137">
        <f>SUM(D81:D84)</f>
        <v>0</v>
      </c>
      <c r="E80" s="34" t="e">
        <f t="shared" si="5"/>
        <v>#DIV/0!</v>
      </c>
      <c r="F80" s="34">
        <f t="shared" si="6"/>
        <v>0</v>
      </c>
    </row>
    <row r="81" spans="1:6" ht="18" customHeight="1">
      <c r="A81" s="53">
        <v>1001</v>
      </c>
      <c r="B81" s="54" t="s">
        <v>90</v>
      </c>
      <c r="C81" s="138">
        <v>0</v>
      </c>
      <c r="D81" s="37">
        <v>0</v>
      </c>
      <c r="E81" s="38" t="e">
        <f t="shared" si="5"/>
        <v>#DIV/0!</v>
      </c>
      <c r="F81" s="38">
        <f t="shared" si="6"/>
        <v>0</v>
      </c>
    </row>
    <row r="82" spans="1:6" ht="17.25" customHeight="1">
      <c r="A82" s="53">
        <v>1003</v>
      </c>
      <c r="B82" s="54" t="s">
        <v>91</v>
      </c>
      <c r="C82" s="138">
        <v>0</v>
      </c>
      <c r="D82" s="37">
        <v>0</v>
      </c>
      <c r="E82" s="38" t="e">
        <f t="shared" si="5"/>
        <v>#DIV/0!</v>
      </c>
      <c r="F82" s="38">
        <f t="shared" si="6"/>
        <v>0</v>
      </c>
    </row>
    <row r="83" spans="1:6" ht="17.25" customHeight="1">
      <c r="A83" s="53">
        <v>1004</v>
      </c>
      <c r="B83" s="54" t="s">
        <v>92</v>
      </c>
      <c r="C83" s="138">
        <v>0</v>
      </c>
      <c r="D83" s="55">
        <v>0</v>
      </c>
      <c r="E83" s="38" t="e">
        <f t="shared" si="5"/>
        <v>#DIV/0!</v>
      </c>
      <c r="F83" s="38">
        <f t="shared" si="6"/>
        <v>0</v>
      </c>
    </row>
    <row r="84" spans="1:6" ht="21.75" customHeight="1">
      <c r="A84" s="35" t="s">
        <v>93</v>
      </c>
      <c r="B84" s="39" t="s">
        <v>94</v>
      </c>
      <c r="C84" s="138">
        <v>0</v>
      </c>
      <c r="D84" s="37"/>
      <c r="E84" s="38" t="e">
        <f t="shared" si="5"/>
        <v>#DIV/0!</v>
      </c>
      <c r="F84" s="38">
        <f t="shared" si="6"/>
        <v>0</v>
      </c>
    </row>
    <row r="85" spans="1:6" ht="15.75">
      <c r="A85" s="30" t="s">
        <v>95</v>
      </c>
      <c r="B85" s="31" t="s">
        <v>96</v>
      </c>
      <c r="C85" s="32">
        <f>C86+C87+C88+C89+C90</f>
        <v>1</v>
      </c>
      <c r="D85" s="137">
        <f>D86+D87+D88+D89+D90</f>
        <v>0</v>
      </c>
      <c r="E85" s="38">
        <f aca="true" t="shared" si="7" ref="E85:E95">SUM(D85/C85*100)</f>
        <v>0</v>
      </c>
      <c r="F85" s="22">
        <f>F86+F87+F88+F89+F90</f>
        <v>-1</v>
      </c>
    </row>
    <row r="86" spans="1:6" ht="17.25" customHeight="1">
      <c r="A86" s="35" t="s">
        <v>97</v>
      </c>
      <c r="B86" s="39" t="s">
        <v>98</v>
      </c>
      <c r="C86" s="37">
        <v>1</v>
      </c>
      <c r="D86" s="37">
        <v>0</v>
      </c>
      <c r="E86" s="38">
        <f t="shared" si="7"/>
        <v>0</v>
      </c>
      <c r="F86" s="38">
        <f>SUM(D86-C86)</f>
        <v>-1</v>
      </c>
    </row>
    <row r="87" spans="1:6" ht="15" customHeight="1" hidden="1">
      <c r="A87" s="35" t="s">
        <v>99</v>
      </c>
      <c r="B87" s="39" t="s">
        <v>100</v>
      </c>
      <c r="C87" s="37"/>
      <c r="D87" s="37"/>
      <c r="E87" s="38" t="e">
        <f t="shared" si="7"/>
        <v>#DIV/0!</v>
      </c>
      <c r="F87" s="38">
        <f>SUM(D87-C87)</f>
        <v>0</v>
      </c>
    </row>
    <row r="88" spans="1:6" ht="15" customHeight="1" hidden="1">
      <c r="A88" s="35" t="s">
        <v>101</v>
      </c>
      <c r="B88" s="39" t="s">
        <v>102</v>
      </c>
      <c r="C88" s="37"/>
      <c r="D88" s="37"/>
      <c r="E88" s="38" t="e">
        <f t="shared" si="7"/>
        <v>#DIV/0!</v>
      </c>
      <c r="F88" s="38"/>
    </row>
    <row r="89" spans="1:6" ht="15" customHeight="1" hidden="1">
      <c r="A89" s="35" t="s">
        <v>103</v>
      </c>
      <c r="B89" s="39" t="s">
        <v>104</v>
      </c>
      <c r="C89" s="37"/>
      <c r="D89" s="37"/>
      <c r="E89" s="38" t="e">
        <f t="shared" si="7"/>
        <v>#DIV/0!</v>
      </c>
      <c r="F89" s="38"/>
    </row>
    <row r="90" spans="1:6" s="6" customFormat="1" ht="15" customHeight="1" hidden="1">
      <c r="A90" s="35" t="s">
        <v>105</v>
      </c>
      <c r="B90" s="39" t="s">
        <v>106</v>
      </c>
      <c r="C90" s="37"/>
      <c r="D90" s="37"/>
      <c r="E90" s="38" t="e">
        <f t="shared" si="7"/>
        <v>#DIV/0!</v>
      </c>
      <c r="F90" s="38"/>
    </row>
    <row r="91" spans="1:6" ht="18.75" customHeight="1" hidden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7"/>
        <v>#DIV/0!</v>
      </c>
      <c r="F91" s="34">
        <f>SUM(D91-C91)</f>
        <v>0</v>
      </c>
    </row>
    <row r="92" spans="1:6" ht="18" customHeight="1" hidden="1">
      <c r="A92" s="53">
        <v>1401</v>
      </c>
      <c r="B92" s="54" t="s">
        <v>116</v>
      </c>
      <c r="C92" s="49"/>
      <c r="D92" s="37"/>
      <c r="E92" s="38" t="e">
        <f t="shared" si="7"/>
        <v>#DIV/0!</v>
      </c>
      <c r="F92" s="38">
        <f>SUM(D92-C92)</f>
        <v>0</v>
      </c>
    </row>
    <row r="93" spans="1:6" ht="18" customHeight="1" hidden="1">
      <c r="A93" s="53">
        <v>1402</v>
      </c>
      <c r="B93" s="54" t="s">
        <v>117</v>
      </c>
      <c r="C93" s="49"/>
      <c r="D93" s="37"/>
      <c r="E93" s="38" t="e">
        <f t="shared" si="7"/>
        <v>#DIV/0!</v>
      </c>
      <c r="F93" s="38">
        <f>SUM(D93-C93)</f>
        <v>0</v>
      </c>
    </row>
    <row r="94" spans="1:6" s="6" customFormat="1" ht="18" customHeight="1" hidden="1">
      <c r="A94" s="53">
        <v>1403</v>
      </c>
      <c r="B94" s="54" t="s">
        <v>118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5" customHeight="1">
      <c r="A95" s="52"/>
      <c r="B95" s="57" t="s">
        <v>119</v>
      </c>
      <c r="C95" s="317">
        <f>C54+C62+C64+C69+C74+C78+C80+C85+C91</f>
        <v>12926.03948</v>
      </c>
      <c r="D95" s="317">
        <f>D54+D62+D64+D69+D74+D78+D80+D85+D91</f>
        <v>11891.54316</v>
      </c>
      <c r="E95" s="34">
        <f t="shared" si="7"/>
        <v>91.99680364893949</v>
      </c>
      <c r="F95" s="34">
        <f>SUM(D95-C95)</f>
        <v>-1034.4963200000002</v>
      </c>
    </row>
    <row r="96" spans="1:4" s="65" customFormat="1" ht="22.5" customHeight="1">
      <c r="A96" s="63" t="s">
        <v>120</v>
      </c>
      <c r="B96" s="63"/>
      <c r="C96" s="256"/>
      <c r="D96" s="256"/>
    </row>
    <row r="97" spans="1:6" ht="16.5" customHeight="1">
      <c r="A97" s="66" t="s">
        <v>121</v>
      </c>
      <c r="B97" s="66"/>
      <c r="C97" s="256" t="s">
        <v>122</v>
      </c>
      <c r="D97" s="256"/>
      <c r="E97" s="65"/>
      <c r="F97" s="65"/>
    </row>
    <row r="98" ht="20.25" customHeight="1">
      <c r="C98" s="121"/>
    </row>
    <row r="99" ht="13.5" customHeight="1"/>
    <row r="100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70" zoomScaleSheetLayoutView="70" zoomScalePageLayoutView="0" workbookViewId="0" topLeftCell="A38">
      <selection activeCell="B145" sqref="B145"/>
    </sheetView>
  </sheetViews>
  <sheetFormatPr defaultColWidth="9.140625" defaultRowHeight="12.75"/>
  <cols>
    <col min="1" max="1" width="14.7109375" style="58" customWidth="1"/>
    <col min="2" max="2" width="58.140625" style="59" customWidth="1"/>
    <col min="3" max="3" width="16.8515625" style="62" customWidth="1"/>
    <col min="4" max="4" width="16.421875" style="62" customWidth="1"/>
    <col min="5" max="5" width="12.57421875" style="62" customWidth="1"/>
    <col min="6" max="6" width="13.710937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368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341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3912.01</v>
      </c>
      <c r="D4" s="5">
        <f>D5+D12+D14+D7+D20+D17</f>
        <v>3871.31725</v>
      </c>
      <c r="E4" s="5">
        <f>SUM(D4/C4*100)</f>
        <v>98.9597994381405</v>
      </c>
      <c r="F4" s="5">
        <f>SUM(D4-C4)</f>
        <v>-40.69275000000016</v>
      </c>
    </row>
    <row r="5" spans="1:6" s="6" customFormat="1" ht="15.75">
      <c r="A5" s="68">
        <v>1010000000</v>
      </c>
      <c r="B5" s="67" t="s">
        <v>6</v>
      </c>
      <c r="C5" s="5">
        <f>C6</f>
        <v>1623.9</v>
      </c>
      <c r="D5" s="5">
        <f>D6</f>
        <v>1637.07733</v>
      </c>
      <c r="E5" s="5">
        <f aca="true" t="shared" si="0" ref="E5:E49">SUM(D5/C5*100)</f>
        <v>100.81146191267936</v>
      </c>
      <c r="F5" s="5">
        <f aca="true" t="shared" si="1" ref="F5:F49">SUM(D5-C5)</f>
        <v>13.177329999999984</v>
      </c>
    </row>
    <row r="6" spans="1:6" ht="15.75">
      <c r="A6" s="7">
        <v>1010200001</v>
      </c>
      <c r="B6" s="8" t="s">
        <v>231</v>
      </c>
      <c r="C6" s="91">
        <v>1623.9</v>
      </c>
      <c r="D6" s="10">
        <v>1637.07733</v>
      </c>
      <c r="E6" s="9">
        <f aca="true" t="shared" si="2" ref="E6:E11">SUM(D6/C6*100)</f>
        <v>100.81146191267936</v>
      </c>
      <c r="F6" s="9">
        <f t="shared" si="1"/>
        <v>13.177329999999984</v>
      </c>
    </row>
    <row r="7" spans="1:6" ht="15.75">
      <c r="A7" s="3">
        <v>1030200001</v>
      </c>
      <c r="B7" s="13" t="s">
        <v>283</v>
      </c>
      <c r="C7" s="5">
        <f>C8+C10+C9</f>
        <v>321.10999999999996</v>
      </c>
      <c r="D7" s="5">
        <f>D8+D9+D10+D11</f>
        <v>341.40942</v>
      </c>
      <c r="E7" s="9">
        <f t="shared" si="2"/>
        <v>106.3216405593099</v>
      </c>
      <c r="F7" s="9">
        <f t="shared" si="1"/>
        <v>20.299420000000055</v>
      </c>
    </row>
    <row r="8" spans="1:6" ht="15.75">
      <c r="A8" s="7">
        <v>1030223001</v>
      </c>
      <c r="B8" s="8" t="s">
        <v>287</v>
      </c>
      <c r="C8" s="9">
        <v>104.36</v>
      </c>
      <c r="D8" s="10">
        <v>140.28493</v>
      </c>
      <c r="E8" s="9">
        <f t="shared" si="2"/>
        <v>134.42404177845918</v>
      </c>
      <c r="F8" s="9">
        <f t="shared" si="1"/>
        <v>35.92493</v>
      </c>
    </row>
    <row r="9" spans="1:6" ht="15.75">
      <c r="A9" s="7">
        <v>1030224001</v>
      </c>
      <c r="B9" s="8" t="s">
        <v>293</v>
      </c>
      <c r="C9" s="9">
        <v>1.28</v>
      </c>
      <c r="D9" s="10">
        <v>1.42408</v>
      </c>
      <c r="E9" s="9">
        <f t="shared" si="2"/>
        <v>111.25625</v>
      </c>
      <c r="F9" s="9">
        <f t="shared" si="1"/>
        <v>0.14407999999999999</v>
      </c>
    </row>
    <row r="10" spans="1:6" ht="15.75">
      <c r="A10" s="7">
        <v>1030225001</v>
      </c>
      <c r="B10" s="8" t="s">
        <v>286</v>
      </c>
      <c r="C10" s="9">
        <v>215.47</v>
      </c>
      <c r="D10" s="10">
        <v>226.87028</v>
      </c>
      <c r="E10" s="9">
        <f t="shared" si="2"/>
        <v>105.29088968301852</v>
      </c>
      <c r="F10" s="9">
        <f t="shared" si="1"/>
        <v>11.40028000000001</v>
      </c>
    </row>
    <row r="11" spans="1:6" ht="15.75">
      <c r="A11" s="7">
        <v>1030226001</v>
      </c>
      <c r="B11" s="8" t="s">
        <v>295</v>
      </c>
      <c r="C11" s="9">
        <v>0</v>
      </c>
      <c r="D11" s="10">
        <v>-27.16987</v>
      </c>
      <c r="E11" s="9" t="e">
        <f t="shared" si="2"/>
        <v>#DIV/0!</v>
      </c>
      <c r="F11" s="9">
        <f t="shared" si="1"/>
        <v>-27.16987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46</v>
      </c>
      <c r="D12" s="5">
        <f>SUM(D13:D13)</f>
        <v>45.71216</v>
      </c>
      <c r="E12" s="5">
        <f t="shared" si="0"/>
        <v>99.3742608695652</v>
      </c>
      <c r="F12" s="5">
        <f t="shared" si="1"/>
        <v>-0.28784000000000276</v>
      </c>
    </row>
    <row r="13" spans="1:6" ht="15.75" customHeight="1">
      <c r="A13" s="7">
        <v>1050300000</v>
      </c>
      <c r="B13" s="11" t="s">
        <v>232</v>
      </c>
      <c r="C13" s="12">
        <v>46</v>
      </c>
      <c r="D13" s="10">
        <v>45.71216</v>
      </c>
      <c r="E13" s="9">
        <f t="shared" si="0"/>
        <v>99.3742608695652</v>
      </c>
      <c r="F13" s="9">
        <f t="shared" si="1"/>
        <v>-0.28784000000000276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1921</v>
      </c>
      <c r="D14" s="5">
        <f>D15+D16</f>
        <v>1847.11834</v>
      </c>
      <c r="E14" s="5">
        <f t="shared" si="0"/>
        <v>96.154</v>
      </c>
      <c r="F14" s="5">
        <f t="shared" si="1"/>
        <v>-73.88166000000001</v>
      </c>
    </row>
    <row r="15" spans="1:6" s="6" customFormat="1" ht="15" customHeight="1">
      <c r="A15" s="7">
        <v>1060100000</v>
      </c>
      <c r="B15" s="11" t="s">
        <v>256</v>
      </c>
      <c r="C15" s="9">
        <v>350</v>
      </c>
      <c r="D15" s="10">
        <v>377.47641</v>
      </c>
      <c r="E15" s="9">
        <f t="shared" si="0"/>
        <v>107.85040285714285</v>
      </c>
      <c r="F15" s="9">
        <f>SUM(D15-C15)</f>
        <v>27.476409999999987</v>
      </c>
    </row>
    <row r="16" spans="1:6" ht="15" customHeight="1">
      <c r="A16" s="7">
        <v>1060600000</v>
      </c>
      <c r="B16" s="11" t="s">
        <v>8</v>
      </c>
      <c r="C16" s="9">
        <v>1571</v>
      </c>
      <c r="D16" s="10">
        <v>1469.64193</v>
      </c>
      <c r="E16" s="9">
        <f t="shared" si="0"/>
        <v>93.54818141311266</v>
      </c>
      <c r="F16" s="9">
        <f t="shared" si="1"/>
        <v>-101.35807</v>
      </c>
    </row>
    <row r="17" spans="1:6" s="6" customFormat="1" ht="24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25.5" customHeight="1">
      <c r="A18" s="7">
        <v>1080400001</v>
      </c>
      <c r="B18" s="8" t="s">
        <v>230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235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65</v>
      </c>
      <c r="D25" s="5">
        <f>D26+D29+D31+D34+D36</f>
        <v>28.51661</v>
      </c>
      <c r="E25" s="5">
        <f t="shared" si="0"/>
        <v>43.871707692307695</v>
      </c>
      <c r="F25" s="5">
        <f t="shared" si="1"/>
        <v>-36.48339</v>
      </c>
    </row>
    <row r="26" spans="1:6" s="6" customFormat="1" ht="15" customHeight="1">
      <c r="A26" s="68">
        <v>1110000000</v>
      </c>
      <c r="B26" s="69" t="s">
        <v>129</v>
      </c>
      <c r="C26" s="5">
        <f>C27+C28</f>
        <v>12</v>
      </c>
      <c r="D26" s="5">
        <f>D27+D28</f>
        <v>0</v>
      </c>
      <c r="E26" s="5">
        <f t="shared" si="0"/>
        <v>0</v>
      </c>
      <c r="F26" s="5">
        <f t="shared" si="1"/>
        <v>-12</v>
      </c>
    </row>
    <row r="27" spans="1:6" ht="17.25" customHeight="1">
      <c r="A27" s="16">
        <v>1110502501</v>
      </c>
      <c r="B27" s="17" t="s">
        <v>228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20.25" customHeight="1">
      <c r="A28" s="7">
        <v>1110503505</v>
      </c>
      <c r="B28" s="11" t="s">
        <v>227</v>
      </c>
      <c r="C28" s="12">
        <v>12</v>
      </c>
      <c r="D28" s="10">
        <v>0</v>
      </c>
      <c r="E28" s="9">
        <f t="shared" si="0"/>
        <v>0</v>
      </c>
      <c r="F28" s="9">
        <f t="shared" si="1"/>
        <v>-12</v>
      </c>
    </row>
    <row r="29" spans="1:6" s="15" customFormat="1" ht="34.5" customHeight="1">
      <c r="A29" s="68">
        <v>1130000000</v>
      </c>
      <c r="B29" s="69" t="s">
        <v>131</v>
      </c>
      <c r="C29" s="5">
        <f>C30</f>
        <v>50</v>
      </c>
      <c r="D29" s="5">
        <f>D30</f>
        <v>14.14674</v>
      </c>
      <c r="E29" s="5">
        <f t="shared" si="0"/>
        <v>28.29348</v>
      </c>
      <c r="F29" s="5">
        <f t="shared" si="1"/>
        <v>-35.85326</v>
      </c>
    </row>
    <row r="30" spans="1:6" ht="21.75" customHeight="1">
      <c r="A30" s="7">
        <v>1130206005</v>
      </c>
      <c r="B30" s="8" t="s">
        <v>226</v>
      </c>
      <c r="C30" s="9">
        <v>50</v>
      </c>
      <c r="D30" s="10">
        <v>14.14674</v>
      </c>
      <c r="E30" s="9">
        <f t="shared" si="0"/>
        <v>28.29348</v>
      </c>
      <c r="F30" s="9">
        <f t="shared" si="1"/>
        <v>-35.85326</v>
      </c>
    </row>
    <row r="31" spans="1:6" ht="18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17.25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7.75" customHeight="1">
      <c r="A34" s="3">
        <v>1160000000</v>
      </c>
      <c r="B34" s="13" t="s">
        <v>254</v>
      </c>
      <c r="C34" s="5">
        <f>C35</f>
        <v>3</v>
      </c>
      <c r="D34" s="14">
        <f>D35</f>
        <v>2.85</v>
      </c>
      <c r="E34" s="5">
        <f t="shared" si="0"/>
        <v>95</v>
      </c>
      <c r="F34" s="5">
        <f t="shared" si="1"/>
        <v>-0.1499999999999999</v>
      </c>
    </row>
    <row r="35" spans="1:6" ht="60" customHeight="1">
      <c r="A35" s="7">
        <v>1163305010</v>
      </c>
      <c r="B35" s="8" t="s">
        <v>270</v>
      </c>
      <c r="C35" s="9">
        <v>3</v>
      </c>
      <c r="D35" s="10">
        <v>2.85</v>
      </c>
      <c r="E35" s="9">
        <f t="shared" si="0"/>
        <v>95</v>
      </c>
      <c r="F35" s="9">
        <f t="shared" si="1"/>
        <v>-0.1499999999999999</v>
      </c>
    </row>
    <row r="36" spans="1:6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11.51987</v>
      </c>
      <c r="E36" s="5">
        <v>0</v>
      </c>
      <c r="F36" s="5">
        <f t="shared" si="1"/>
        <v>11.51987</v>
      </c>
    </row>
    <row r="37" spans="1:6" ht="15" customHeight="1" hidden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6" ht="15" customHeight="1">
      <c r="A38" s="7">
        <v>1170505005</v>
      </c>
      <c r="B38" s="11" t="s">
        <v>223</v>
      </c>
      <c r="C38" s="9">
        <v>0</v>
      </c>
      <c r="D38" s="10">
        <v>11.51987</v>
      </c>
      <c r="E38" s="9">
        <v>0</v>
      </c>
      <c r="F38" s="9">
        <f t="shared" si="1"/>
        <v>11.51987</v>
      </c>
    </row>
    <row r="39" spans="1:6" s="6" customFormat="1" ht="18" customHeight="1">
      <c r="A39" s="3">
        <v>1000000000</v>
      </c>
      <c r="B39" s="4" t="s">
        <v>19</v>
      </c>
      <c r="C39" s="128">
        <f>SUM(C4,C25)</f>
        <v>3977.01</v>
      </c>
      <c r="D39" s="128">
        <f>D4+D25</f>
        <v>3899.83386</v>
      </c>
      <c r="E39" s="5">
        <f t="shared" si="0"/>
        <v>98.05944314950176</v>
      </c>
      <c r="F39" s="5">
        <f t="shared" si="1"/>
        <v>-77.17614000000003</v>
      </c>
    </row>
    <row r="40" spans="1:7" s="6" customFormat="1" ht="15.75">
      <c r="A40" s="3">
        <v>2000000000</v>
      </c>
      <c r="B40" s="4" t="s">
        <v>20</v>
      </c>
      <c r="C40" s="5">
        <f>C41+C43+C44+C45+C46+C47+C42</f>
        <v>7459.4235</v>
      </c>
      <c r="D40" s="5">
        <f>D41+D43+D44+D45+D46+D47+D42</f>
        <v>7459.354</v>
      </c>
      <c r="E40" s="5">
        <f t="shared" si="0"/>
        <v>99.99906829261002</v>
      </c>
      <c r="F40" s="5">
        <f t="shared" si="1"/>
        <v>-0.0694999999996071</v>
      </c>
      <c r="G40" s="19"/>
    </row>
    <row r="41" spans="1:6" ht="17.25" customHeight="1">
      <c r="A41" s="16">
        <v>2020100000</v>
      </c>
      <c r="B41" s="17" t="s">
        <v>21</v>
      </c>
      <c r="C41" s="12">
        <v>4207.68</v>
      </c>
      <c r="D41" s="20">
        <v>4207.68</v>
      </c>
      <c r="E41" s="9">
        <f t="shared" si="0"/>
        <v>100</v>
      </c>
      <c r="F41" s="9">
        <f t="shared" si="1"/>
        <v>0</v>
      </c>
    </row>
    <row r="42" spans="1:6" ht="15" customHeight="1">
      <c r="A42" s="16">
        <v>2020100310</v>
      </c>
      <c r="B42" s="17" t="s">
        <v>234</v>
      </c>
      <c r="C42" s="12">
        <v>883</v>
      </c>
      <c r="D42" s="20">
        <v>883</v>
      </c>
      <c r="E42" s="9">
        <f>SUM(D42/C42*100)</f>
        <v>100</v>
      </c>
      <c r="F42" s="9">
        <f>SUM(D42-C42)</f>
        <v>0</v>
      </c>
    </row>
    <row r="43" spans="1:6" ht="16.5" customHeight="1">
      <c r="A43" s="16">
        <v>2020200000</v>
      </c>
      <c r="B43" s="17" t="s">
        <v>22</v>
      </c>
      <c r="C43" s="298">
        <v>2365.22</v>
      </c>
      <c r="D43" s="10">
        <v>2365.1505</v>
      </c>
      <c r="E43" s="9">
        <f t="shared" si="0"/>
        <v>99.99706158412327</v>
      </c>
      <c r="F43" s="9">
        <f t="shared" si="1"/>
        <v>-0.0694999999996071</v>
      </c>
    </row>
    <row r="44" spans="1:6" ht="19.5" customHeight="1">
      <c r="A44" s="16">
        <v>2020300000</v>
      </c>
      <c r="B44" s="17" t="s">
        <v>23</v>
      </c>
      <c r="C44" s="12">
        <v>3.5235</v>
      </c>
      <c r="D44" s="258">
        <v>3.5235</v>
      </c>
      <c r="E44" s="9">
        <f t="shared" si="0"/>
        <v>100</v>
      </c>
      <c r="F44" s="9">
        <f t="shared" si="1"/>
        <v>0</v>
      </c>
    </row>
    <row r="45" spans="1:6" ht="16.5" customHeight="1">
      <c r="A45" s="16">
        <v>2020400000</v>
      </c>
      <c r="B45" s="17" t="s">
        <v>24</v>
      </c>
      <c r="C45" s="12">
        <v>0</v>
      </c>
      <c r="D45" s="259">
        <v>0</v>
      </c>
      <c r="E45" s="9" t="e">
        <f t="shared" si="0"/>
        <v>#DIV/0!</v>
      </c>
      <c r="F45" s="9">
        <f t="shared" si="1"/>
        <v>0</v>
      </c>
    </row>
    <row r="46" spans="1:6" ht="20.25" customHeight="1" hidden="1">
      <c r="A46" s="16">
        <v>2020900000</v>
      </c>
      <c r="B46" s="18" t="s">
        <v>25</v>
      </c>
      <c r="C46" s="12"/>
      <c r="D46" s="259"/>
      <c r="E46" s="9" t="e">
        <f t="shared" si="0"/>
        <v>#DIV/0!</v>
      </c>
      <c r="F46" s="9">
        <f t="shared" si="1"/>
        <v>0</v>
      </c>
    </row>
    <row r="47" spans="1:6" ht="19.5" customHeight="1" hidden="1">
      <c r="A47" s="7">
        <v>2190500005</v>
      </c>
      <c r="B47" s="11" t="s">
        <v>26</v>
      </c>
      <c r="C47" s="14">
        <v>0</v>
      </c>
      <c r="D47" s="14"/>
      <c r="E47" s="5"/>
      <c r="F47" s="5">
        <f>SUM(D47-C47)</f>
        <v>0</v>
      </c>
    </row>
    <row r="48" spans="1:6" s="6" customFormat="1" ht="17.25" customHeight="1" hidden="1">
      <c r="A48" s="3">
        <v>3000000000</v>
      </c>
      <c r="B48" s="13" t="s">
        <v>27</v>
      </c>
      <c r="C48" s="295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6" s="6" customFormat="1" ht="15" customHeight="1">
      <c r="A49" s="3"/>
      <c r="B49" s="4" t="s">
        <v>28</v>
      </c>
      <c r="C49" s="369">
        <f>SUM(C39,C40,C48)</f>
        <v>11436.4335</v>
      </c>
      <c r="D49" s="370">
        <f>D39+D40</f>
        <v>11359.18786</v>
      </c>
      <c r="E49" s="93">
        <f t="shared" si="0"/>
        <v>99.32456530263566</v>
      </c>
      <c r="F49" s="93">
        <f t="shared" si="1"/>
        <v>-77.24563999999918</v>
      </c>
    </row>
    <row r="50" spans="1:6" s="6" customFormat="1" ht="23.25" customHeight="1">
      <c r="A50" s="3"/>
      <c r="B50" s="21" t="s">
        <v>326</v>
      </c>
      <c r="C50" s="93">
        <f>C49-C95</f>
        <v>-46.67500000000109</v>
      </c>
      <c r="D50" s="93">
        <f>D49-D95</f>
        <v>22.025760000000446</v>
      </c>
      <c r="E50" s="300"/>
      <c r="F50" s="300"/>
    </row>
    <row r="51" spans="1:6" ht="15.75">
      <c r="A51" s="23"/>
      <c r="B51" s="24"/>
      <c r="C51" s="25"/>
      <c r="D51" s="25"/>
      <c r="E51" s="26"/>
      <c r="F51" s="27"/>
    </row>
    <row r="52" spans="1:6" ht="32.25" customHeight="1">
      <c r="A52" s="28" t="s">
        <v>1</v>
      </c>
      <c r="B52" s="28" t="s">
        <v>29</v>
      </c>
      <c r="C52" s="255" t="s">
        <v>340</v>
      </c>
      <c r="D52" s="73" t="s">
        <v>353</v>
      </c>
      <c r="E52" s="72" t="s">
        <v>3</v>
      </c>
      <c r="F52" s="74" t="s">
        <v>4</v>
      </c>
    </row>
    <row r="53" spans="1:6" ht="15.75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15" customHeight="1">
      <c r="A54" s="30" t="s">
        <v>30</v>
      </c>
      <c r="B54" s="31" t="s">
        <v>31</v>
      </c>
      <c r="C54" s="32">
        <f>C55+C56+C57+C58+C59+C61+C60+C63</f>
        <v>1600.5040000000001</v>
      </c>
      <c r="D54" s="33">
        <f>D55+D56+D57+D58+D59+D61+D60</f>
        <v>1579.99655</v>
      </c>
      <c r="E54" s="34">
        <f>SUM(D54/C54*100)</f>
        <v>98.71868798828368</v>
      </c>
      <c r="F54" s="34">
        <f>SUM(D54-C54)</f>
        <v>-20.507450000000063</v>
      </c>
    </row>
    <row r="55" spans="1:6" s="6" customFormat="1" ht="0.75" customHeight="1" hidden="1">
      <c r="A55" s="35" t="s">
        <v>32</v>
      </c>
      <c r="B55" s="36" t="s">
        <v>33</v>
      </c>
      <c r="C55" s="37"/>
      <c r="D55" s="37"/>
      <c r="E55" s="38"/>
      <c r="F55" s="38"/>
    </row>
    <row r="56" spans="1:6" ht="16.5" customHeight="1">
      <c r="A56" s="35" t="s">
        <v>34</v>
      </c>
      <c r="B56" s="39" t="s">
        <v>35</v>
      </c>
      <c r="C56" s="97">
        <v>1510.69</v>
      </c>
      <c r="D56" s="37">
        <v>1497.39675</v>
      </c>
      <c r="E56" s="38">
        <f aca="true" t="shared" si="3" ref="E56:E95">SUM(D56/C56*100)</f>
        <v>99.12005441222223</v>
      </c>
      <c r="F56" s="38">
        <f aca="true" t="shared" si="4" ref="F56:F95">SUM(D56-C56)</f>
        <v>-13.293249999999944</v>
      </c>
    </row>
    <row r="57" spans="1:6" ht="15" customHeight="1" hidden="1">
      <c r="A57" s="35" t="s">
        <v>36</v>
      </c>
      <c r="B57" s="39" t="s">
        <v>37</v>
      </c>
      <c r="C57" s="97"/>
      <c r="D57" s="37"/>
      <c r="E57" s="38"/>
      <c r="F57" s="38">
        <f t="shared" si="4"/>
        <v>0</v>
      </c>
    </row>
    <row r="58" spans="1:6" ht="17.25" customHeight="1" hidden="1">
      <c r="A58" s="35" t="s">
        <v>38</v>
      </c>
      <c r="B58" s="39" t="s">
        <v>39</v>
      </c>
      <c r="C58" s="97"/>
      <c r="D58" s="37"/>
      <c r="E58" s="38" t="e">
        <f t="shared" si="3"/>
        <v>#DIV/0!</v>
      </c>
      <c r="F58" s="38">
        <f t="shared" si="4"/>
        <v>0</v>
      </c>
    </row>
    <row r="59" spans="1:6" ht="17.25" customHeight="1">
      <c r="A59" s="35" t="s">
        <v>40</v>
      </c>
      <c r="B59" s="39" t="s">
        <v>41</v>
      </c>
      <c r="C59" s="97">
        <v>39</v>
      </c>
      <c r="D59" s="37">
        <v>39</v>
      </c>
      <c r="E59" s="38">
        <f t="shared" si="3"/>
        <v>100</v>
      </c>
      <c r="F59" s="38">
        <f t="shared" si="4"/>
        <v>0</v>
      </c>
    </row>
    <row r="60" spans="1:6" ht="18" customHeight="1">
      <c r="A60" s="35" t="s">
        <v>42</v>
      </c>
      <c r="B60" s="39" t="s">
        <v>43</v>
      </c>
      <c r="C60" s="152">
        <v>1.112</v>
      </c>
      <c r="D60" s="40">
        <v>0</v>
      </c>
      <c r="E60" s="38">
        <f t="shared" si="3"/>
        <v>0</v>
      </c>
      <c r="F60" s="38">
        <f t="shared" si="4"/>
        <v>-1.112</v>
      </c>
    </row>
    <row r="61" spans="1:6" ht="14.25" customHeight="1">
      <c r="A61" s="35" t="s">
        <v>44</v>
      </c>
      <c r="B61" s="39" t="s">
        <v>45</v>
      </c>
      <c r="C61" s="97">
        <v>49.702</v>
      </c>
      <c r="D61" s="37">
        <v>43.5998</v>
      </c>
      <c r="E61" s="38">
        <f t="shared" si="3"/>
        <v>87.72242565691522</v>
      </c>
      <c r="F61" s="38">
        <f t="shared" si="4"/>
        <v>-6.102199999999996</v>
      </c>
    </row>
    <row r="62" spans="1:6" s="6" customFormat="1" ht="15.75" customHeight="1">
      <c r="A62" s="41" t="s">
        <v>46</v>
      </c>
      <c r="B62" s="42" t="s">
        <v>47</v>
      </c>
      <c r="C62" s="153">
        <f>C63</f>
        <v>0</v>
      </c>
      <c r="D62" s="32">
        <f>D63</f>
        <v>0</v>
      </c>
      <c r="E62" s="34" t="e">
        <f t="shared" si="3"/>
        <v>#DIV/0!</v>
      </c>
      <c r="F62" s="34">
        <f t="shared" si="4"/>
        <v>0</v>
      </c>
    </row>
    <row r="63" spans="1:6" ht="22.5" customHeight="1">
      <c r="A63" s="43" t="s">
        <v>48</v>
      </c>
      <c r="B63" s="44" t="s">
        <v>49</v>
      </c>
      <c r="C63" s="97">
        <v>0</v>
      </c>
      <c r="D63" s="37">
        <v>0</v>
      </c>
      <c r="E63" s="38" t="e">
        <f t="shared" si="3"/>
        <v>#DIV/0!</v>
      </c>
      <c r="F63" s="38">
        <f t="shared" si="4"/>
        <v>0</v>
      </c>
    </row>
    <row r="64" spans="1:6" s="6" customFormat="1" ht="18" customHeight="1">
      <c r="A64" s="30" t="s">
        <v>50</v>
      </c>
      <c r="B64" s="31" t="s">
        <v>51</v>
      </c>
      <c r="C64" s="153">
        <f>C67+C68</f>
        <v>7</v>
      </c>
      <c r="D64" s="153">
        <f>D67+D68</f>
        <v>5</v>
      </c>
      <c r="E64" s="34">
        <f t="shared" si="3"/>
        <v>71.42857142857143</v>
      </c>
      <c r="F64" s="34">
        <f t="shared" si="4"/>
        <v>-2</v>
      </c>
    </row>
    <row r="65" spans="1:6" ht="6" customHeight="1" hidden="1">
      <c r="A65" s="35" t="s">
        <v>52</v>
      </c>
      <c r="B65" s="39" t="s">
        <v>53</v>
      </c>
      <c r="C65" s="97"/>
      <c r="D65" s="37"/>
      <c r="E65" s="34" t="e">
        <f t="shared" si="3"/>
        <v>#DIV/0!</v>
      </c>
      <c r="F65" s="34">
        <f t="shared" si="4"/>
        <v>0</v>
      </c>
    </row>
    <row r="66" spans="1:6" ht="15.75" customHeight="1" hidden="1">
      <c r="A66" s="45" t="s">
        <v>54</v>
      </c>
      <c r="B66" s="39" t="s">
        <v>55</v>
      </c>
      <c r="C66" s="97"/>
      <c r="D66" s="37"/>
      <c r="E66" s="34" t="e">
        <f t="shared" si="3"/>
        <v>#DIV/0!</v>
      </c>
      <c r="F66" s="34">
        <f t="shared" si="4"/>
        <v>0</v>
      </c>
    </row>
    <row r="67" spans="1:6" ht="19.5" customHeight="1">
      <c r="A67" s="46" t="s">
        <v>56</v>
      </c>
      <c r="B67" s="47" t="s">
        <v>57</v>
      </c>
      <c r="C67" s="97">
        <v>2</v>
      </c>
      <c r="D67" s="37">
        <v>0</v>
      </c>
      <c r="E67" s="34">
        <f t="shared" si="3"/>
        <v>0</v>
      </c>
      <c r="F67" s="34">
        <f t="shared" si="4"/>
        <v>-2</v>
      </c>
    </row>
    <row r="68" spans="1:6" ht="17.25" customHeight="1">
      <c r="A68" s="46" t="s">
        <v>221</v>
      </c>
      <c r="B68" s="47" t="s">
        <v>222</v>
      </c>
      <c r="C68" s="97">
        <v>5</v>
      </c>
      <c r="D68" s="37">
        <v>5</v>
      </c>
      <c r="E68" s="34">
        <f t="shared" si="3"/>
        <v>100</v>
      </c>
      <c r="F68" s="34">
        <f t="shared" si="4"/>
        <v>0</v>
      </c>
    </row>
    <row r="69" spans="1:6" s="6" customFormat="1" ht="16.5" customHeight="1">
      <c r="A69" s="30" t="s">
        <v>58</v>
      </c>
      <c r="B69" s="31" t="s">
        <v>59</v>
      </c>
      <c r="C69" s="48">
        <f>SUM(C70:C73)</f>
        <v>3782.851</v>
      </c>
      <c r="D69" s="48">
        <f>SUM(D70:D73)</f>
        <v>3779.37039</v>
      </c>
      <c r="E69" s="34">
        <f t="shared" si="3"/>
        <v>99.90798976750604</v>
      </c>
      <c r="F69" s="34">
        <f t="shared" si="4"/>
        <v>-3.4806100000000697</v>
      </c>
    </row>
    <row r="70" spans="1:6" ht="15" customHeight="1">
      <c r="A70" s="35" t="s">
        <v>60</v>
      </c>
      <c r="B70" s="39" t="s">
        <v>61</v>
      </c>
      <c r="C70" s="49">
        <v>13.75</v>
      </c>
      <c r="D70" s="37">
        <v>13.75</v>
      </c>
      <c r="E70" s="38">
        <f t="shared" si="3"/>
        <v>100</v>
      </c>
      <c r="F70" s="38">
        <f t="shared" si="4"/>
        <v>0</v>
      </c>
    </row>
    <row r="71" spans="1:7" s="6" customFormat="1" ht="15.75" customHeight="1">
      <c r="A71" s="35" t="s">
        <v>62</v>
      </c>
      <c r="B71" s="39" t="s">
        <v>63</v>
      </c>
      <c r="C71" s="49">
        <v>873.096</v>
      </c>
      <c r="D71" s="37">
        <v>872.43091</v>
      </c>
      <c r="E71" s="38">
        <f t="shared" si="3"/>
        <v>99.92382395521227</v>
      </c>
      <c r="F71" s="38">
        <f t="shared" si="4"/>
        <v>-0.6650899999999638</v>
      </c>
      <c r="G71" s="50"/>
    </row>
    <row r="72" spans="1:6" ht="15" customHeight="1">
      <c r="A72" s="35" t="s">
        <v>64</v>
      </c>
      <c r="B72" s="39" t="s">
        <v>65</v>
      </c>
      <c r="C72" s="49">
        <v>2733.005</v>
      </c>
      <c r="D72" s="37">
        <v>2732.72348</v>
      </c>
      <c r="E72" s="38">
        <f t="shared" si="3"/>
        <v>99.98969925045874</v>
      </c>
      <c r="F72" s="38">
        <f t="shared" si="4"/>
        <v>-0.28152000000000044</v>
      </c>
    </row>
    <row r="73" spans="1:6" ht="15" customHeight="1">
      <c r="A73" s="35" t="s">
        <v>66</v>
      </c>
      <c r="B73" s="39" t="s">
        <v>67</v>
      </c>
      <c r="C73" s="49">
        <v>163</v>
      </c>
      <c r="D73" s="37">
        <v>160.466</v>
      </c>
      <c r="E73" s="38">
        <f t="shared" si="3"/>
        <v>98.44539877300615</v>
      </c>
      <c r="F73" s="38">
        <f t="shared" si="4"/>
        <v>-2.533999999999992</v>
      </c>
    </row>
    <row r="74" spans="1:6" s="6" customFormat="1" ht="16.5" customHeight="1">
      <c r="A74" s="30" t="s">
        <v>68</v>
      </c>
      <c r="B74" s="31" t="s">
        <v>69</v>
      </c>
      <c r="C74" s="32">
        <f>C75+C76+C77+C80</f>
        <v>3458.7535</v>
      </c>
      <c r="D74" s="32">
        <f>D75+D76+D77+D80</f>
        <v>3340.79516</v>
      </c>
      <c r="E74" s="34">
        <f t="shared" si="3"/>
        <v>96.58957078034038</v>
      </c>
      <c r="F74" s="34">
        <f t="shared" si="4"/>
        <v>-117.95833999999968</v>
      </c>
    </row>
    <row r="75" spans="1:6" ht="18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6" ht="20.25" customHeight="1">
      <c r="A76" s="35" t="s">
        <v>72</v>
      </c>
      <c r="B76" s="51" t="s">
        <v>73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6" ht="17.25" customHeight="1">
      <c r="A77" s="35" t="s">
        <v>74</v>
      </c>
      <c r="B77" s="39" t="s">
        <v>75</v>
      </c>
      <c r="C77" s="37">
        <v>3458.7535</v>
      </c>
      <c r="D77" s="37">
        <v>3340.79516</v>
      </c>
      <c r="E77" s="38">
        <f t="shared" si="3"/>
        <v>96.58957078034038</v>
      </c>
      <c r="F77" s="38">
        <f t="shared" si="4"/>
        <v>-117.95833999999968</v>
      </c>
    </row>
    <row r="78" spans="1:6" s="6" customFormat="1" ht="18.75" customHeight="1">
      <c r="A78" s="30" t="s">
        <v>86</v>
      </c>
      <c r="B78" s="31" t="s">
        <v>87</v>
      </c>
      <c r="C78" s="32">
        <f>C79</f>
        <v>2632</v>
      </c>
      <c r="D78" s="32">
        <f>SUM(D79)</f>
        <v>2632</v>
      </c>
      <c r="E78" s="38">
        <f t="shared" si="3"/>
        <v>100</v>
      </c>
      <c r="F78" s="38">
        <f t="shared" si="4"/>
        <v>0</v>
      </c>
    </row>
    <row r="79" spans="1:6" ht="17.25" customHeight="1">
      <c r="A79" s="35" t="s">
        <v>88</v>
      </c>
      <c r="B79" s="39" t="s">
        <v>236</v>
      </c>
      <c r="C79" s="37">
        <v>2632</v>
      </c>
      <c r="D79" s="37">
        <v>2632</v>
      </c>
      <c r="E79" s="38">
        <f t="shared" si="3"/>
        <v>100</v>
      </c>
      <c r="F79" s="38">
        <f t="shared" si="4"/>
        <v>0</v>
      </c>
    </row>
    <row r="80" spans="1:6" ht="15" customHeight="1" hidden="1">
      <c r="A80" s="35" t="s">
        <v>266</v>
      </c>
      <c r="B80" s="39" t="s">
        <v>267</v>
      </c>
      <c r="C80" s="37">
        <v>0</v>
      </c>
      <c r="D80" s="37"/>
      <c r="E80" s="38" t="e">
        <f t="shared" si="3"/>
        <v>#DIV/0!</v>
      </c>
      <c r="F80" s="38">
        <f t="shared" si="4"/>
        <v>0</v>
      </c>
    </row>
    <row r="81" spans="1:6" s="6" customFormat="1" ht="12.75" customHeight="1" hidden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2.75" customHeight="1" hidden="1">
      <c r="A82" s="53">
        <v>1001</v>
      </c>
      <c r="B82" s="54" t="s">
        <v>90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15.75" customHeight="1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18.75" customHeight="1" hidden="1">
      <c r="A84" s="53">
        <v>1004</v>
      </c>
      <c r="B84" s="54" t="s">
        <v>92</v>
      </c>
      <c r="C84" s="37">
        <v>0</v>
      </c>
      <c r="D84" s="55">
        <v>0</v>
      </c>
      <c r="E84" s="38" t="e">
        <f t="shared" si="3"/>
        <v>#DIV/0!</v>
      </c>
      <c r="F84" s="38">
        <f t="shared" si="4"/>
        <v>0</v>
      </c>
    </row>
    <row r="85" spans="1:6" ht="17.25" customHeight="1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4"/>
        <v>0</v>
      </c>
    </row>
    <row r="86" spans="1:6" ht="19.5" customHeight="1">
      <c r="A86" s="30" t="s">
        <v>95</v>
      </c>
      <c r="B86" s="31" t="s">
        <v>96</v>
      </c>
      <c r="C86" s="32">
        <f>C87+C88+C89+C90+C91</f>
        <v>2</v>
      </c>
      <c r="D86" s="32">
        <f>D87+D88+D89+D90+D91</f>
        <v>0</v>
      </c>
      <c r="E86" s="38">
        <f t="shared" si="3"/>
        <v>0</v>
      </c>
      <c r="F86" s="22">
        <f>F87+F88+F89+F90+F91</f>
        <v>-2</v>
      </c>
    </row>
    <row r="87" spans="1:6" ht="15.75" customHeight="1">
      <c r="A87" s="35" t="s">
        <v>97</v>
      </c>
      <c r="B87" s="39" t="s">
        <v>98</v>
      </c>
      <c r="C87" s="37">
        <v>2</v>
      </c>
      <c r="D87" s="37">
        <v>0</v>
      </c>
      <c r="E87" s="38">
        <f t="shared" si="3"/>
        <v>0</v>
      </c>
      <c r="F87" s="38">
        <f>SUM(D87-C87)</f>
        <v>-2</v>
      </c>
    </row>
    <row r="88" spans="1:6" ht="15" customHeight="1" hidden="1">
      <c r="A88" s="35" t="s">
        <v>99</v>
      </c>
      <c r="B88" s="39" t="s">
        <v>100</v>
      </c>
      <c r="C88" s="37"/>
      <c r="D88" s="37"/>
      <c r="E88" s="38" t="e">
        <f t="shared" si="3"/>
        <v>#DIV/0!</v>
      </c>
      <c r="F88" s="38">
        <f>SUM(D88-C88)</f>
        <v>0</v>
      </c>
    </row>
    <row r="89" spans="1:6" ht="15" customHeight="1" hidden="1">
      <c r="A89" s="35" t="s">
        <v>101</v>
      </c>
      <c r="B89" s="39" t="s">
        <v>102</v>
      </c>
      <c r="C89" s="37"/>
      <c r="D89" s="37"/>
      <c r="E89" s="38" t="e">
        <f t="shared" si="3"/>
        <v>#DIV/0!</v>
      </c>
      <c r="F89" s="38"/>
    </row>
    <row r="90" spans="1:6" ht="15" customHeight="1" hidden="1">
      <c r="A90" s="35" t="s">
        <v>103</v>
      </c>
      <c r="B90" s="39" t="s">
        <v>104</v>
      </c>
      <c r="C90" s="37"/>
      <c r="D90" s="37"/>
      <c r="E90" s="38" t="e">
        <f t="shared" si="3"/>
        <v>#DIV/0!</v>
      </c>
      <c r="F90" s="38"/>
    </row>
    <row r="91" spans="1:6" ht="15" customHeight="1" hidden="1">
      <c r="A91" s="35" t="s">
        <v>105</v>
      </c>
      <c r="B91" s="39" t="s">
        <v>106</v>
      </c>
      <c r="C91" s="37"/>
      <c r="D91" s="37"/>
      <c r="E91" s="38" t="e">
        <f t="shared" si="3"/>
        <v>#DIV/0!</v>
      </c>
      <c r="F91" s="38"/>
    </row>
    <row r="92" spans="1:6" s="6" customFormat="1" ht="18" customHeight="1" hidden="1">
      <c r="A92" s="52">
        <v>1400</v>
      </c>
      <c r="B92" s="56" t="s">
        <v>115</v>
      </c>
      <c r="C92" s="48">
        <f>SUM(C93+C94)</f>
        <v>0</v>
      </c>
      <c r="D92" s="48">
        <f>SUM(D93+D94)</f>
        <v>0</v>
      </c>
      <c r="E92" s="34" t="e">
        <f t="shared" si="3"/>
        <v>#DIV/0!</v>
      </c>
      <c r="F92" s="34">
        <f t="shared" si="4"/>
        <v>0</v>
      </c>
    </row>
    <row r="93" spans="1:6" ht="57.75" customHeight="1" hidden="1">
      <c r="A93" s="53">
        <v>1402</v>
      </c>
      <c r="B93" s="54" t="s">
        <v>117</v>
      </c>
      <c r="C93" s="246"/>
      <c r="D93" s="247"/>
      <c r="E93" s="38" t="e">
        <f t="shared" si="3"/>
        <v>#DIV/0!</v>
      </c>
      <c r="F93" s="38">
        <f t="shared" si="4"/>
        <v>0</v>
      </c>
    </row>
    <row r="94" spans="1:6" ht="15" customHeight="1" hidden="1">
      <c r="A94" s="53">
        <v>1403</v>
      </c>
      <c r="B94" s="54" t="s">
        <v>118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s="6" customFormat="1" ht="16.5" customHeight="1">
      <c r="A95" s="52"/>
      <c r="B95" s="57" t="s">
        <v>119</v>
      </c>
      <c r="C95" s="393">
        <f>C54+C69+C74+C81+C86+C92+C64+C78</f>
        <v>11483.1085</v>
      </c>
      <c r="D95" s="393">
        <f>D54+D69+D74+D81+D86+D92+D64+D78</f>
        <v>11337.1621</v>
      </c>
      <c r="E95" s="34">
        <f t="shared" si="3"/>
        <v>98.72903404160989</v>
      </c>
      <c r="F95" s="34">
        <f t="shared" si="4"/>
        <v>-145.94640000000072</v>
      </c>
    </row>
    <row r="96" ht="20.25" customHeight="1">
      <c r="D96" s="252"/>
    </row>
    <row r="97" spans="1:4" s="65" customFormat="1" ht="13.5" customHeight="1">
      <c r="A97" s="63" t="s">
        <v>120</v>
      </c>
      <c r="B97" s="63"/>
      <c r="C97" s="120"/>
      <c r="D97" s="64"/>
    </row>
    <row r="98" spans="1:4" s="65" customFormat="1" ht="12.75">
      <c r="A98" s="66" t="s">
        <v>121</v>
      </c>
      <c r="B98" s="66"/>
      <c r="C98" s="135" t="s">
        <v>122</v>
      </c>
      <c r="D98" s="135"/>
    </row>
    <row r="99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70" zoomScaleSheetLayoutView="70" zoomScalePageLayoutView="0" workbookViewId="0" topLeftCell="A43">
      <selection activeCell="B145" sqref="B145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7109375" style="62" customWidth="1"/>
    <col min="4" max="4" width="16.8515625" style="62" customWidth="1"/>
    <col min="5" max="5" width="11.28125" style="62" customWidth="1"/>
    <col min="6" max="6" width="13.140625" style="62" customWidth="1"/>
    <col min="7" max="7" width="15.421875" style="1" bestFit="1" customWidth="1"/>
    <col min="8" max="16384" width="9.140625" style="1" customWidth="1"/>
  </cols>
  <sheetData>
    <row r="1" spans="1:6" ht="15.75">
      <c r="A1" s="470" t="s">
        <v>369</v>
      </c>
      <c r="B1" s="470"/>
      <c r="C1" s="470"/>
      <c r="D1" s="470"/>
      <c r="E1" s="470"/>
      <c r="F1" s="470"/>
    </row>
    <row r="2" spans="1:6" ht="15.75">
      <c r="A2" s="470"/>
      <c r="B2" s="470"/>
      <c r="C2" s="470"/>
      <c r="D2" s="470"/>
      <c r="E2" s="470"/>
      <c r="F2" s="470"/>
    </row>
    <row r="3" spans="1:6" ht="63">
      <c r="A3" s="2" t="s">
        <v>1</v>
      </c>
      <c r="B3" s="2" t="s">
        <v>2</v>
      </c>
      <c r="C3" s="72" t="s">
        <v>340</v>
      </c>
      <c r="D3" s="73" t="s">
        <v>354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4288</v>
      </c>
      <c r="D4" s="5">
        <f>D5+D12+D14+D17+D20+D7</f>
        <v>4373.57203</v>
      </c>
      <c r="E4" s="5">
        <f>SUM(D4/C4*100)</f>
        <v>101.99561637126865</v>
      </c>
      <c r="F4" s="5">
        <f>SUM(D4-C4)</f>
        <v>85.57203000000027</v>
      </c>
    </row>
    <row r="5" spans="1:6" s="6" customFormat="1" ht="15.75">
      <c r="A5" s="68">
        <v>1010000000</v>
      </c>
      <c r="B5" s="67" t="s">
        <v>6</v>
      </c>
      <c r="C5" s="5">
        <f>C6</f>
        <v>1277.98</v>
      </c>
      <c r="D5" s="5">
        <f>D6</f>
        <v>1124.63468</v>
      </c>
      <c r="E5" s="5">
        <f aca="true" t="shared" si="0" ref="E5:E49">SUM(D5/C5*100)</f>
        <v>88.00096089140675</v>
      </c>
      <c r="F5" s="5">
        <f aca="true" t="shared" si="1" ref="F5:F49">SUM(D5-C5)</f>
        <v>-153.34532000000013</v>
      </c>
    </row>
    <row r="6" spans="1:6" ht="15.75">
      <c r="A6" s="7">
        <v>1010200001</v>
      </c>
      <c r="B6" s="8" t="s">
        <v>231</v>
      </c>
      <c r="C6" s="9">
        <v>1277.98</v>
      </c>
      <c r="D6" s="10">
        <v>1124.63468</v>
      </c>
      <c r="E6" s="9">
        <f aca="true" t="shared" si="2" ref="E6:E11">SUM(D6/C6*100)</f>
        <v>88.00096089140675</v>
      </c>
      <c r="F6" s="9">
        <f t="shared" si="1"/>
        <v>-153.34532000000013</v>
      </c>
    </row>
    <row r="7" spans="1:6" ht="31.5">
      <c r="A7" s="3">
        <v>1030000000</v>
      </c>
      <c r="B7" s="13" t="s">
        <v>285</v>
      </c>
      <c r="C7" s="5">
        <f>C8+C10+C9</f>
        <v>605.02</v>
      </c>
      <c r="D7" s="5">
        <f>D8+D10+D9+D11</f>
        <v>643.26538</v>
      </c>
      <c r="E7" s="9">
        <f t="shared" si="2"/>
        <v>106.32134144325809</v>
      </c>
      <c r="F7" s="9">
        <f t="shared" si="1"/>
        <v>38.24538000000007</v>
      </c>
    </row>
    <row r="8" spans="1:6" ht="15.75">
      <c r="A8" s="7">
        <v>1030223001</v>
      </c>
      <c r="B8" s="8" t="s">
        <v>287</v>
      </c>
      <c r="C8" s="9">
        <v>196.63</v>
      </c>
      <c r="D8" s="10">
        <v>264.31735</v>
      </c>
      <c r="E8" s="9">
        <f t="shared" si="2"/>
        <v>134.42371459085592</v>
      </c>
      <c r="F8" s="9">
        <f t="shared" si="1"/>
        <v>67.68734999999998</v>
      </c>
    </row>
    <row r="9" spans="1:6" ht="15.75">
      <c r="A9" s="7">
        <v>1030224001</v>
      </c>
      <c r="B9" s="8" t="s">
        <v>293</v>
      </c>
      <c r="C9" s="9">
        <v>2.42</v>
      </c>
      <c r="D9" s="10">
        <v>2.68326</v>
      </c>
      <c r="E9" s="9">
        <f t="shared" si="2"/>
        <v>110.87851239669422</v>
      </c>
      <c r="F9" s="9">
        <f t="shared" si="1"/>
        <v>0.26326000000000027</v>
      </c>
    </row>
    <row r="10" spans="1:6" ht="15.75">
      <c r="A10" s="7">
        <v>1030225001</v>
      </c>
      <c r="B10" s="8" t="s">
        <v>286</v>
      </c>
      <c r="C10" s="9">
        <v>405.97</v>
      </c>
      <c r="D10" s="10">
        <v>427.45679</v>
      </c>
      <c r="E10" s="9">
        <f t="shared" si="2"/>
        <v>105.29270389437644</v>
      </c>
      <c r="F10" s="9">
        <f t="shared" si="1"/>
        <v>21.486789999999985</v>
      </c>
    </row>
    <row r="11" spans="1:6" ht="15.75">
      <c r="A11" s="7">
        <v>1030226001</v>
      </c>
      <c r="B11" s="8" t="s">
        <v>296</v>
      </c>
      <c r="C11" s="9">
        <v>0</v>
      </c>
      <c r="D11" s="10">
        <v>-51.19202</v>
      </c>
      <c r="E11" s="9" t="e">
        <f t="shared" si="2"/>
        <v>#DIV/0!</v>
      </c>
      <c r="F11" s="9">
        <f t="shared" si="1"/>
        <v>-51.19202</v>
      </c>
    </row>
    <row r="12" spans="1:6" s="6" customFormat="1" ht="15.75">
      <c r="A12" s="68">
        <v>1050000000</v>
      </c>
      <c r="B12" s="67" t="s">
        <v>7</v>
      </c>
      <c r="C12" s="5">
        <f>SUM(C13:C13)</f>
        <v>20</v>
      </c>
      <c r="D12" s="5">
        <f>SUM(D13:D13)</f>
        <v>2.47601</v>
      </c>
      <c r="E12" s="5">
        <f t="shared" si="0"/>
        <v>12.38005</v>
      </c>
      <c r="F12" s="5">
        <f t="shared" si="1"/>
        <v>-17.52399</v>
      </c>
    </row>
    <row r="13" spans="1:6" ht="15.75" customHeight="1">
      <c r="A13" s="7">
        <v>1050300000</v>
      </c>
      <c r="B13" s="11" t="s">
        <v>232</v>
      </c>
      <c r="C13" s="12">
        <v>20</v>
      </c>
      <c r="D13" s="10">
        <v>2.47601</v>
      </c>
      <c r="E13" s="9">
        <f t="shared" si="0"/>
        <v>12.38005</v>
      </c>
      <c r="F13" s="9">
        <f t="shared" si="1"/>
        <v>-17.52399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2370</v>
      </c>
      <c r="D14" s="5">
        <f>D15+D16</f>
        <v>2593.7959600000004</v>
      </c>
      <c r="E14" s="5">
        <f t="shared" si="0"/>
        <v>109.44286751054855</v>
      </c>
      <c r="F14" s="5">
        <f t="shared" si="1"/>
        <v>223.79596000000038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142.29197</v>
      </c>
      <c r="E15" s="9">
        <f t="shared" si="0"/>
        <v>88.93248125</v>
      </c>
      <c r="F15" s="9">
        <f>SUM(D15-C15)</f>
        <v>-17.708030000000008</v>
      </c>
    </row>
    <row r="16" spans="1:6" ht="15.75" customHeight="1">
      <c r="A16" s="7">
        <v>1060600000</v>
      </c>
      <c r="B16" s="11" t="s">
        <v>8</v>
      </c>
      <c r="C16" s="9">
        <v>2210</v>
      </c>
      <c r="D16" s="10">
        <v>2451.50399</v>
      </c>
      <c r="E16" s="9">
        <f t="shared" si="0"/>
        <v>110.92778235294118</v>
      </c>
      <c r="F16" s="9">
        <f t="shared" si="1"/>
        <v>241.50399000000016</v>
      </c>
    </row>
    <row r="17" spans="1:6" s="6" customFormat="1" ht="15.75">
      <c r="A17" s="3">
        <v>1080000000</v>
      </c>
      <c r="B17" s="4" t="s">
        <v>11</v>
      </c>
      <c r="C17" s="5">
        <f>C18</f>
        <v>15</v>
      </c>
      <c r="D17" s="5">
        <f>D18</f>
        <v>9.4</v>
      </c>
      <c r="E17" s="5">
        <f t="shared" si="0"/>
        <v>62.66666666666667</v>
      </c>
      <c r="F17" s="5">
        <f t="shared" si="1"/>
        <v>-5.6</v>
      </c>
    </row>
    <row r="18" spans="1:6" ht="15" customHeight="1">
      <c r="A18" s="7">
        <v>1080400001</v>
      </c>
      <c r="B18" s="8" t="s">
        <v>230</v>
      </c>
      <c r="C18" s="9">
        <v>15</v>
      </c>
      <c r="D18" s="10">
        <v>9.4</v>
      </c>
      <c r="E18" s="9">
        <f t="shared" si="0"/>
        <v>62.66666666666667</v>
      </c>
      <c r="F18" s="9">
        <f t="shared" si="1"/>
        <v>-5.6</v>
      </c>
    </row>
    <row r="19" spans="1:6" ht="1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customHeight="1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52</v>
      </c>
      <c r="D25" s="5">
        <f>D26+D29+D31+D36+D34</f>
        <v>71.94597</v>
      </c>
      <c r="E25" s="5">
        <f t="shared" si="0"/>
        <v>138.35763461538463</v>
      </c>
      <c r="F25" s="5">
        <f t="shared" si="1"/>
        <v>19.945970000000003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</v>
      </c>
      <c r="D26" s="5">
        <f>D27+D28</f>
        <v>0</v>
      </c>
      <c r="E26" s="5">
        <f t="shared" si="0"/>
        <v>0</v>
      </c>
      <c r="F26" s="5">
        <f t="shared" si="1"/>
        <v>-2</v>
      </c>
    </row>
    <row r="27" spans="1:6" ht="15.75">
      <c r="A27" s="16">
        <v>1110501101</v>
      </c>
      <c r="B27" s="17" t="s">
        <v>228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50</v>
      </c>
      <c r="D29" s="5">
        <f>D30</f>
        <v>46.48968</v>
      </c>
      <c r="E29" s="5">
        <f t="shared" si="0"/>
        <v>92.97936</v>
      </c>
      <c r="F29" s="5">
        <f t="shared" si="1"/>
        <v>-3.51032</v>
      </c>
    </row>
    <row r="30" spans="1:6" ht="14.25" customHeight="1">
      <c r="A30" s="7">
        <v>1130206005</v>
      </c>
      <c r="B30" s="8" t="s">
        <v>15</v>
      </c>
      <c r="C30" s="9">
        <v>50</v>
      </c>
      <c r="D30" s="10">
        <v>46.48968</v>
      </c>
      <c r="E30" s="9">
        <f t="shared" si="0"/>
        <v>92.97936</v>
      </c>
      <c r="F30" s="9">
        <f t="shared" si="1"/>
        <v>-3.51032</v>
      </c>
    </row>
    <row r="31" spans="1:6" ht="32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224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15" customHeight="1">
      <c r="A33" s="7">
        <v>1140600000</v>
      </c>
      <c r="B33" s="8" t="s">
        <v>225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.75" customHeight="1">
      <c r="A34" s="3">
        <v>1160000000</v>
      </c>
      <c r="B34" s="13" t="s">
        <v>254</v>
      </c>
      <c r="C34" s="5">
        <f>C35</f>
        <v>0</v>
      </c>
      <c r="D34" s="5">
        <f>D35</f>
        <v>25.2029</v>
      </c>
      <c r="E34" s="5" t="e">
        <f t="shared" si="0"/>
        <v>#DIV/0!</v>
      </c>
      <c r="F34" s="5">
        <f t="shared" si="1"/>
        <v>25.2029</v>
      </c>
    </row>
    <row r="35" spans="1:6" ht="53.25" customHeight="1">
      <c r="A35" s="7">
        <v>1163305010</v>
      </c>
      <c r="B35" s="8" t="s">
        <v>270</v>
      </c>
      <c r="C35" s="9">
        <v>0</v>
      </c>
      <c r="D35" s="10">
        <v>25.2029</v>
      </c>
      <c r="E35" s="9" t="e">
        <f t="shared" si="0"/>
        <v>#DIV/0!</v>
      </c>
      <c r="F35" s="9">
        <f t="shared" si="1"/>
        <v>25.2029</v>
      </c>
    </row>
    <row r="36" spans="1:6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0.25339</v>
      </c>
      <c r="E36" s="5" t="e">
        <f t="shared" si="0"/>
        <v>#DIV/0!</v>
      </c>
      <c r="F36" s="5">
        <f t="shared" si="1"/>
        <v>0.25339</v>
      </c>
    </row>
    <row r="37" spans="1:6" ht="15" customHeight="1">
      <c r="A37" s="7">
        <v>1170105005</v>
      </c>
      <c r="B37" s="8" t="s">
        <v>18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6" ht="15" customHeight="1">
      <c r="A38" s="7">
        <v>1170505005</v>
      </c>
      <c r="B38" s="11" t="s">
        <v>223</v>
      </c>
      <c r="C38" s="9">
        <v>0</v>
      </c>
      <c r="D38" s="10">
        <v>0.25339</v>
      </c>
      <c r="E38" s="9" t="e">
        <f t="shared" si="0"/>
        <v>#DIV/0!</v>
      </c>
      <c r="F38" s="9">
        <f t="shared" si="1"/>
        <v>0.25339</v>
      </c>
    </row>
    <row r="39" spans="1:6" s="6" customFormat="1" ht="15" customHeight="1">
      <c r="A39" s="3">
        <v>1000000000</v>
      </c>
      <c r="B39" s="4" t="s">
        <v>19</v>
      </c>
      <c r="C39" s="128">
        <f>SUM(C4,C25)</f>
        <v>4340</v>
      </c>
      <c r="D39" s="128">
        <f>SUM(D4,D25)</f>
        <v>4445.518</v>
      </c>
      <c r="E39" s="5">
        <f t="shared" si="0"/>
        <v>102.43129032258065</v>
      </c>
      <c r="F39" s="5">
        <f t="shared" si="1"/>
        <v>105.51800000000003</v>
      </c>
    </row>
    <row r="40" spans="1:7" s="6" customFormat="1" ht="20.25" customHeight="1">
      <c r="A40" s="3">
        <v>2000000000</v>
      </c>
      <c r="B40" s="4" t="s">
        <v>20</v>
      </c>
      <c r="C40" s="5">
        <f>C41+C43+C44+C45+C46+C47+C42</f>
        <v>1441.6972899999998</v>
      </c>
      <c r="D40" s="5">
        <f>D41+D43+D44+D45+D46+D47+D42</f>
        <v>1441.6972899999998</v>
      </c>
      <c r="E40" s="5">
        <f t="shared" si="0"/>
        <v>100</v>
      </c>
      <c r="F40" s="5">
        <f t="shared" si="1"/>
        <v>0</v>
      </c>
      <c r="G40" s="19"/>
    </row>
    <row r="41" spans="1:6" ht="18.75" customHeight="1">
      <c r="A41" s="16">
        <v>2020100000</v>
      </c>
      <c r="B41" s="17" t="s">
        <v>21</v>
      </c>
      <c r="C41" s="12">
        <v>723.75</v>
      </c>
      <c r="D41" s="20">
        <v>723.75</v>
      </c>
      <c r="E41" s="9">
        <f t="shared" si="0"/>
        <v>100</v>
      </c>
      <c r="F41" s="9">
        <f t="shared" si="1"/>
        <v>0</v>
      </c>
    </row>
    <row r="42" spans="1:6" ht="21" customHeight="1">
      <c r="A42" s="16">
        <v>2020100310</v>
      </c>
      <c r="B42" s="17" t="s">
        <v>234</v>
      </c>
      <c r="C42" s="12">
        <v>260</v>
      </c>
      <c r="D42" s="20">
        <v>260</v>
      </c>
      <c r="E42" s="9">
        <f t="shared" si="0"/>
        <v>100</v>
      </c>
      <c r="F42" s="9">
        <f t="shared" si="1"/>
        <v>0</v>
      </c>
    </row>
    <row r="43" spans="1:6" ht="15.75">
      <c r="A43" s="16">
        <v>2020200000</v>
      </c>
      <c r="B43" s="17" t="s">
        <v>22</v>
      </c>
      <c r="C43" s="12">
        <v>312.35</v>
      </c>
      <c r="D43" s="10">
        <v>312.35</v>
      </c>
      <c r="E43" s="9">
        <f t="shared" si="0"/>
        <v>100</v>
      </c>
      <c r="F43" s="9">
        <f t="shared" si="1"/>
        <v>0</v>
      </c>
    </row>
    <row r="44" spans="1:6" ht="15" customHeight="1">
      <c r="A44" s="16">
        <v>2020300000</v>
      </c>
      <c r="B44" s="17" t="s">
        <v>23</v>
      </c>
      <c r="C44" s="12">
        <v>145.59729</v>
      </c>
      <c r="D44" s="258">
        <v>145.59729</v>
      </c>
      <c r="E44" s="9">
        <f t="shared" si="0"/>
        <v>100</v>
      </c>
      <c r="F44" s="9">
        <f t="shared" si="1"/>
        <v>0</v>
      </c>
    </row>
    <row r="45" spans="1:6" ht="16.5" customHeight="1">
      <c r="A45" s="16">
        <v>2020400000</v>
      </c>
      <c r="B45" s="17" t="s">
        <v>24</v>
      </c>
      <c r="C45" s="12">
        <v>0</v>
      </c>
      <c r="D45" s="259">
        <v>0</v>
      </c>
      <c r="E45" s="9" t="e">
        <f t="shared" si="0"/>
        <v>#DIV/0!</v>
      </c>
      <c r="F45" s="9">
        <f t="shared" si="1"/>
        <v>0</v>
      </c>
    </row>
    <row r="46" spans="1:6" ht="22.5" customHeight="1" hidden="1">
      <c r="A46" s="16">
        <v>2020900000</v>
      </c>
      <c r="B46" s="18" t="s">
        <v>25</v>
      </c>
      <c r="C46" s="12"/>
      <c r="D46" s="259"/>
      <c r="E46" s="9" t="e">
        <f t="shared" si="0"/>
        <v>#DIV/0!</v>
      </c>
      <c r="F46" s="9">
        <f t="shared" si="1"/>
        <v>0</v>
      </c>
    </row>
    <row r="47" spans="1:6" ht="21.75" customHeight="1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6" s="6" customFormat="1" ht="19.5" customHeight="1" hidden="1">
      <c r="A48" s="3">
        <v>3000000000</v>
      </c>
      <c r="B48" s="13" t="s">
        <v>27</v>
      </c>
      <c r="C48" s="295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7" s="6" customFormat="1" ht="15.75" customHeight="1">
      <c r="A49" s="3"/>
      <c r="B49" s="4" t="s">
        <v>28</v>
      </c>
      <c r="C49" s="316">
        <f>C39+C40</f>
        <v>5781.69729</v>
      </c>
      <c r="D49" s="382">
        <f>D39+D40</f>
        <v>5887.21529</v>
      </c>
      <c r="E49" s="5">
        <f t="shared" si="0"/>
        <v>101.82503501493416</v>
      </c>
      <c r="F49" s="5">
        <f t="shared" si="1"/>
        <v>105.51800000000003</v>
      </c>
      <c r="G49" s="94"/>
    </row>
    <row r="50" spans="1:6" s="6" customFormat="1" ht="15.75">
      <c r="A50" s="3"/>
      <c r="B50" s="21" t="s">
        <v>327</v>
      </c>
      <c r="C50" s="5">
        <f>C49-C99</f>
        <v>-603.2460000000001</v>
      </c>
      <c r="D50" s="5">
        <f>D49-D99</f>
        <v>-239.4141299999992</v>
      </c>
      <c r="E50" s="22"/>
      <c r="F50" s="22"/>
    </row>
    <row r="51" spans="1:6" ht="15.75">
      <c r="A51" s="23"/>
      <c r="B51" s="24"/>
      <c r="C51" s="257"/>
      <c r="D51" s="257"/>
      <c r="E51" s="26"/>
      <c r="F51" s="92"/>
    </row>
    <row r="52" spans="1:6" ht="42.75" customHeight="1">
      <c r="A52" s="28" t="s">
        <v>1</v>
      </c>
      <c r="B52" s="28" t="s">
        <v>29</v>
      </c>
      <c r="C52" s="250" t="s">
        <v>340</v>
      </c>
      <c r="D52" s="251" t="s">
        <v>353</v>
      </c>
      <c r="E52" s="72" t="s">
        <v>3</v>
      </c>
      <c r="F52" s="74" t="s">
        <v>4</v>
      </c>
    </row>
    <row r="53" spans="1:6" ht="15.75">
      <c r="A53" s="8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32.25" customHeight="1">
      <c r="A54" s="30" t="s">
        <v>30</v>
      </c>
      <c r="B54" s="31" t="s">
        <v>31</v>
      </c>
      <c r="C54" s="253">
        <f>C55+C56+C57+C58+C59+C61+C60</f>
        <v>1601.255</v>
      </c>
      <c r="D54" s="32">
        <f>D55+D56+D57+D58+D59+D61+D60</f>
        <v>1506.10364</v>
      </c>
      <c r="E54" s="34">
        <f>SUM(D54/C54*100)</f>
        <v>94.05770099078535</v>
      </c>
      <c r="F54" s="34">
        <f>SUM(D54-C54)</f>
        <v>-95.15136000000007</v>
      </c>
    </row>
    <row r="55" spans="1:6" s="6" customFormat="1" ht="31.5" hidden="1">
      <c r="A55" s="35" t="s">
        <v>32</v>
      </c>
      <c r="B55" s="36" t="s">
        <v>33</v>
      </c>
      <c r="C55" s="37"/>
      <c r="D55" s="37"/>
      <c r="E55" s="38"/>
      <c r="F55" s="38"/>
    </row>
    <row r="56" spans="1:6" ht="15.75">
      <c r="A56" s="35" t="s">
        <v>34</v>
      </c>
      <c r="B56" s="39" t="s">
        <v>35</v>
      </c>
      <c r="C56" s="37">
        <f>1551.15+8.55</f>
        <v>1559.7</v>
      </c>
      <c r="D56" s="37">
        <v>1473.5186</v>
      </c>
      <c r="E56" s="38">
        <f aca="true" t="shared" si="3" ref="E56:E99">SUM(D56/C56*100)</f>
        <v>94.47448868372123</v>
      </c>
      <c r="F56" s="38">
        <f aca="true" t="shared" si="4" ref="F56:F99">SUM(D56-C56)</f>
        <v>-86.18139999999994</v>
      </c>
    </row>
    <row r="57" spans="1:6" ht="16.5" customHeight="1" hidden="1">
      <c r="A57" s="35" t="s">
        <v>36</v>
      </c>
      <c r="B57" s="39" t="s">
        <v>37</v>
      </c>
      <c r="C57" s="37"/>
      <c r="D57" s="37"/>
      <c r="E57" s="38"/>
      <c r="F57" s="38">
        <f t="shared" si="4"/>
        <v>0</v>
      </c>
    </row>
    <row r="58" spans="1:6" ht="31.5" customHeight="1" hidden="1">
      <c r="A58" s="35" t="s">
        <v>38</v>
      </c>
      <c r="B58" s="39" t="s">
        <v>39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6" ht="17.2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3"/>
        <v>#DIV/0!</v>
      </c>
      <c r="F59" s="38">
        <f t="shared" si="4"/>
        <v>0</v>
      </c>
    </row>
    <row r="60" spans="1:6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>SUM(D60/C60*100)</f>
        <v>0</v>
      </c>
      <c r="F60" s="38">
        <f t="shared" si="4"/>
        <v>-5</v>
      </c>
    </row>
    <row r="61" spans="1:6" ht="18" customHeight="1">
      <c r="A61" s="35" t="s">
        <v>44</v>
      </c>
      <c r="B61" s="39" t="s">
        <v>45</v>
      </c>
      <c r="C61" s="37">
        <v>36.555</v>
      </c>
      <c r="D61" s="37">
        <v>32.58504</v>
      </c>
      <c r="E61" s="38">
        <f t="shared" si="3"/>
        <v>89.13976200246204</v>
      </c>
      <c r="F61" s="38">
        <f t="shared" si="4"/>
        <v>-3.9699600000000004</v>
      </c>
    </row>
    <row r="62" spans="1:6" s="6" customFormat="1" ht="15.75">
      <c r="A62" s="41" t="s">
        <v>46</v>
      </c>
      <c r="B62" s="42" t="s">
        <v>47</v>
      </c>
      <c r="C62" s="32">
        <f>C63</f>
        <v>144.76629</v>
      </c>
      <c r="D62" s="32">
        <f>D63</f>
        <v>144.76629</v>
      </c>
      <c r="E62" s="34">
        <f t="shared" si="3"/>
        <v>100</v>
      </c>
      <c r="F62" s="34">
        <f t="shared" si="4"/>
        <v>0</v>
      </c>
    </row>
    <row r="63" spans="1:6" ht="15.75">
      <c r="A63" s="43" t="s">
        <v>48</v>
      </c>
      <c r="B63" s="44" t="s">
        <v>49</v>
      </c>
      <c r="C63" s="37">
        <v>144.76629</v>
      </c>
      <c r="D63" s="37">
        <v>144.76629</v>
      </c>
      <c r="E63" s="38">
        <f t="shared" si="3"/>
        <v>100</v>
      </c>
      <c r="F63" s="38">
        <f t="shared" si="4"/>
        <v>0</v>
      </c>
    </row>
    <row r="64" spans="1:6" s="6" customFormat="1" ht="16.5" customHeight="1">
      <c r="A64" s="30" t="s">
        <v>50</v>
      </c>
      <c r="B64" s="31" t="s">
        <v>51</v>
      </c>
      <c r="C64" s="32">
        <f>C67+C68</f>
        <v>5</v>
      </c>
      <c r="D64" s="32">
        <f>D67+D68</f>
        <v>2.93323</v>
      </c>
      <c r="E64" s="34">
        <f t="shared" si="3"/>
        <v>58.6646</v>
      </c>
      <c r="F64" s="34">
        <f t="shared" si="4"/>
        <v>-2.06677</v>
      </c>
    </row>
    <row r="65" spans="1:6" ht="15.75" hidden="1">
      <c r="A65" s="35" t="s">
        <v>52</v>
      </c>
      <c r="B65" s="39" t="s">
        <v>53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6" ht="15.75" hidden="1">
      <c r="A66" s="45" t="s">
        <v>54</v>
      </c>
      <c r="B66" s="39" t="s">
        <v>55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7.25" customHeight="1">
      <c r="A67" s="46" t="s">
        <v>56</v>
      </c>
      <c r="B67" s="47" t="s">
        <v>57</v>
      </c>
      <c r="C67" s="96">
        <v>2</v>
      </c>
      <c r="D67" s="37">
        <v>1.13323</v>
      </c>
      <c r="E67" s="34">
        <f t="shared" si="3"/>
        <v>56.6615</v>
      </c>
      <c r="F67" s="34">
        <f t="shared" si="4"/>
        <v>-0.86677</v>
      </c>
    </row>
    <row r="68" spans="1:6" ht="15.75" customHeight="1">
      <c r="A68" s="46" t="s">
        <v>221</v>
      </c>
      <c r="B68" s="47" t="s">
        <v>222</v>
      </c>
      <c r="C68" s="37">
        <v>3</v>
      </c>
      <c r="D68" s="37">
        <v>1.8</v>
      </c>
      <c r="E68" s="34">
        <f t="shared" si="3"/>
        <v>60</v>
      </c>
      <c r="F68" s="34">
        <f t="shared" si="4"/>
        <v>-1.2</v>
      </c>
    </row>
    <row r="69" spans="1:6" s="6" customFormat="1" ht="17.25" customHeight="1">
      <c r="A69" s="30" t="s">
        <v>58</v>
      </c>
      <c r="B69" s="31" t="s">
        <v>59</v>
      </c>
      <c r="C69" s="48">
        <f>SUM(C70:C73)</f>
        <v>1954.2079999999999</v>
      </c>
      <c r="D69" s="48">
        <f>SUM(D70:D73)</f>
        <v>1816.7115199999998</v>
      </c>
      <c r="E69" s="34">
        <f t="shared" si="3"/>
        <v>92.96408161260213</v>
      </c>
      <c r="F69" s="34">
        <f t="shared" si="4"/>
        <v>-137.49648000000002</v>
      </c>
    </row>
    <row r="70" spans="1:6" ht="18" customHeight="1">
      <c r="A70" s="35" t="s">
        <v>60</v>
      </c>
      <c r="B70" s="39" t="s">
        <v>61</v>
      </c>
      <c r="C70" s="49">
        <v>3.75</v>
      </c>
      <c r="D70" s="37">
        <v>3.75</v>
      </c>
      <c r="E70" s="38">
        <f t="shared" si="3"/>
        <v>100</v>
      </c>
      <c r="F70" s="38">
        <f t="shared" si="4"/>
        <v>0</v>
      </c>
    </row>
    <row r="71" spans="1:7" s="6" customFormat="1" ht="15" customHeight="1">
      <c r="A71" s="35" t="s">
        <v>62</v>
      </c>
      <c r="B71" s="39" t="s">
        <v>63</v>
      </c>
      <c r="C71" s="49">
        <v>552.141</v>
      </c>
      <c r="D71" s="37">
        <v>472.34953</v>
      </c>
      <c r="E71" s="38">
        <f t="shared" si="3"/>
        <v>85.54871491158961</v>
      </c>
      <c r="F71" s="38">
        <f t="shared" si="4"/>
        <v>-79.79146999999995</v>
      </c>
      <c r="G71" s="50"/>
    </row>
    <row r="72" spans="1:6" ht="15.75">
      <c r="A72" s="35" t="s">
        <v>64</v>
      </c>
      <c r="B72" s="39" t="s">
        <v>65</v>
      </c>
      <c r="C72" s="49">
        <f>1156.608</f>
        <v>1156.608</v>
      </c>
      <c r="D72" s="37">
        <v>1156.60799</v>
      </c>
      <c r="E72" s="38">
        <f t="shared" si="3"/>
        <v>99.99999913540285</v>
      </c>
      <c r="F72" s="38">
        <f t="shared" si="4"/>
        <v>-9.999999974752427E-06</v>
      </c>
    </row>
    <row r="73" spans="1:6" ht="15.75">
      <c r="A73" s="35" t="s">
        <v>66</v>
      </c>
      <c r="B73" s="39" t="s">
        <v>67</v>
      </c>
      <c r="C73" s="49">
        <v>241.709</v>
      </c>
      <c r="D73" s="37">
        <v>184.004</v>
      </c>
      <c r="E73" s="38">
        <f t="shared" si="3"/>
        <v>76.126250987758</v>
      </c>
      <c r="F73" s="38">
        <f t="shared" si="4"/>
        <v>-57.70500000000001</v>
      </c>
    </row>
    <row r="74" spans="1:6" s="6" customFormat="1" ht="16.5" customHeight="1">
      <c r="A74" s="30" t="s">
        <v>68</v>
      </c>
      <c r="B74" s="31" t="s">
        <v>69</v>
      </c>
      <c r="C74" s="32">
        <f>SUM(C75:C78)</f>
        <v>1368.2140000000002</v>
      </c>
      <c r="D74" s="32">
        <f>SUM(D75:D78)</f>
        <v>1348.91174</v>
      </c>
      <c r="E74" s="34">
        <f t="shared" si="3"/>
        <v>98.58923677144071</v>
      </c>
      <c r="F74" s="34">
        <f t="shared" si="4"/>
        <v>-19.30226000000016</v>
      </c>
    </row>
    <row r="75" spans="1:6" ht="17.25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6" ht="15" customHeight="1">
      <c r="A76" s="35" t="s">
        <v>72</v>
      </c>
      <c r="B76" s="51" t="s">
        <v>73</v>
      </c>
      <c r="C76" s="37">
        <v>264.008</v>
      </c>
      <c r="D76" s="37">
        <v>264.00712</v>
      </c>
      <c r="E76" s="38">
        <f t="shared" si="3"/>
        <v>99.99966667676738</v>
      </c>
      <c r="F76" s="38">
        <f t="shared" si="4"/>
        <v>-0.0008799999999951069</v>
      </c>
    </row>
    <row r="77" spans="1:6" ht="15.75">
      <c r="A77" s="35" t="s">
        <v>74</v>
      </c>
      <c r="B77" s="39" t="s">
        <v>75</v>
      </c>
      <c r="C77" s="37">
        <f>587.439+513.767+3</f>
        <v>1104.2060000000001</v>
      </c>
      <c r="D77" s="37">
        <v>1084.90462</v>
      </c>
      <c r="E77" s="38">
        <f t="shared" si="3"/>
        <v>98.25201275848889</v>
      </c>
      <c r="F77" s="38">
        <f t="shared" si="4"/>
        <v>-19.30138000000011</v>
      </c>
    </row>
    <row r="78" spans="1:6" ht="15.75" hidden="1">
      <c r="A78" s="35" t="s">
        <v>266</v>
      </c>
      <c r="B78" s="39" t="s">
        <v>267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6" s="6" customFormat="1" ht="15.75">
      <c r="A79" s="30" t="s">
        <v>86</v>
      </c>
      <c r="B79" s="31" t="s">
        <v>87</v>
      </c>
      <c r="C79" s="32">
        <f>C80+C81</f>
        <v>1265</v>
      </c>
      <c r="D79" s="32">
        <f>SUM(D80:D81)</f>
        <v>1264.928</v>
      </c>
      <c r="E79" s="34">
        <f t="shared" si="3"/>
        <v>99.99430830039526</v>
      </c>
      <c r="F79" s="34">
        <f t="shared" si="4"/>
        <v>-0.07199999999988904</v>
      </c>
    </row>
    <row r="80" spans="1:6" ht="15" customHeight="1">
      <c r="A80" s="35" t="s">
        <v>88</v>
      </c>
      <c r="B80" s="39" t="s">
        <v>236</v>
      </c>
      <c r="C80" s="37">
        <v>1265</v>
      </c>
      <c r="D80" s="37">
        <v>1264.928</v>
      </c>
      <c r="E80" s="38">
        <f t="shared" si="3"/>
        <v>99.99430830039526</v>
      </c>
      <c r="F80" s="38">
        <f t="shared" si="4"/>
        <v>-0.07199999999988904</v>
      </c>
    </row>
    <row r="81" spans="1:6" ht="15.75" hidden="1">
      <c r="A81" s="35" t="s">
        <v>275</v>
      </c>
      <c r="B81" s="39" t="s">
        <v>276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s="6" customFormat="1" ht="15.75" hidden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8" t="e">
        <f t="shared" si="3"/>
        <v>#DIV/0!</v>
      </c>
      <c r="F82" s="38">
        <f t="shared" si="4"/>
        <v>0</v>
      </c>
    </row>
    <row r="83" spans="1:6" ht="15.75" hidden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customHeight="1" hidden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5" customHeight="1" hidden="1">
      <c r="A85" s="53">
        <v>1004</v>
      </c>
      <c r="B85" s="54" t="s">
        <v>92</v>
      </c>
      <c r="C85" s="37">
        <v>0</v>
      </c>
      <c r="D85" s="55">
        <v>0</v>
      </c>
      <c r="E85" s="38" t="e">
        <f t="shared" si="3"/>
        <v>#DIV/0!</v>
      </c>
      <c r="F85" s="38">
        <f t="shared" si="4"/>
        <v>0</v>
      </c>
    </row>
    <row r="86" spans="1:6" ht="18" customHeight="1" hidden="1">
      <c r="A86" s="35" t="s">
        <v>93</v>
      </c>
      <c r="B86" s="39" t="s">
        <v>94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24" customHeight="1">
      <c r="A87" s="52">
        <v>1000</v>
      </c>
      <c r="B87" s="31" t="s">
        <v>89</v>
      </c>
      <c r="C87" s="32">
        <f>SUM(C88)</f>
        <v>0</v>
      </c>
      <c r="D87" s="32">
        <f>SUM(D88)</f>
        <v>0</v>
      </c>
      <c r="E87" s="34" t="e">
        <f t="shared" si="3"/>
        <v>#DIV/0!</v>
      </c>
      <c r="F87" s="34">
        <f t="shared" si="4"/>
        <v>0</v>
      </c>
    </row>
    <row r="88" spans="1:6" ht="20.25" customHeight="1">
      <c r="A88" s="53">
        <v>1006</v>
      </c>
      <c r="B88" s="54" t="s">
        <v>90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6.5" customHeight="1">
      <c r="A89" s="53">
        <v>1100</v>
      </c>
      <c r="B89" s="56" t="s">
        <v>96</v>
      </c>
      <c r="C89" s="32">
        <f>C90+C91+C92+C93+C94</f>
        <v>46.5</v>
      </c>
      <c r="D89" s="32">
        <f>D90+D91+D92+D93+D94</f>
        <v>42.275</v>
      </c>
      <c r="E89" s="38">
        <f t="shared" si="3"/>
        <v>90.91397849462365</v>
      </c>
      <c r="F89" s="22">
        <f>F90+F91+F92+F93+F94</f>
        <v>-4.225000000000001</v>
      </c>
    </row>
    <row r="90" spans="1:6" ht="17.25" customHeight="1">
      <c r="A90" s="53">
        <v>1101</v>
      </c>
      <c r="B90" s="54" t="s">
        <v>98</v>
      </c>
      <c r="C90" s="37">
        <v>46.5</v>
      </c>
      <c r="D90" s="37">
        <v>42.275</v>
      </c>
      <c r="E90" s="38">
        <f t="shared" si="3"/>
        <v>90.91397849462365</v>
      </c>
      <c r="F90" s="38">
        <f>SUM(D90-C90)</f>
        <v>-4.225000000000001</v>
      </c>
    </row>
    <row r="91" spans="1:6" ht="0.75" customHeight="1" hidden="1">
      <c r="A91" s="35" t="s">
        <v>93</v>
      </c>
      <c r="B91" s="39" t="s">
        <v>94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8" customHeight="1" hidden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7.25" customHeight="1" hidden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18" customHeight="1" hidden="1">
      <c r="A94" s="35" t="s">
        <v>105</v>
      </c>
      <c r="B94" s="39" t="s">
        <v>106</v>
      </c>
      <c r="C94" s="37"/>
      <c r="D94" s="37"/>
      <c r="E94" s="38" t="e">
        <f t="shared" si="3"/>
        <v>#DIV/0!</v>
      </c>
      <c r="F94" s="38"/>
    </row>
    <row r="95" spans="1:6" s="6" customFormat="1" ht="57.75" customHeight="1" hidden="1">
      <c r="A95" s="52">
        <v>1400</v>
      </c>
      <c r="B95" s="56" t="s">
        <v>115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.5" customHeight="1" hidden="1">
      <c r="A96" s="53">
        <v>1401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customHeight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customHeight="1">
      <c r="A98" s="53">
        <v>1403</v>
      </c>
      <c r="B98" s="54" t="s">
        <v>118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13.5" customHeight="1">
      <c r="A99" s="52"/>
      <c r="B99" s="57" t="s">
        <v>119</v>
      </c>
      <c r="C99" s="33">
        <f>C54+C62+C64+C69+C74+C79+C82+C89+C95+C87</f>
        <v>6384.94329</v>
      </c>
      <c r="D99" s="33">
        <f>D54+D62+D64+D69+D74+D79+D82+D89+D95+D87</f>
        <v>6126.629419999999</v>
      </c>
      <c r="E99" s="34">
        <f t="shared" si="3"/>
        <v>95.95432788879162</v>
      </c>
      <c r="F99" s="34">
        <f t="shared" si="4"/>
        <v>-258.31387000000086</v>
      </c>
    </row>
    <row r="100" ht="15.75">
      <c r="D100" s="252"/>
    </row>
    <row r="101" spans="1:4" s="65" customFormat="1" ht="12.75">
      <c r="A101" s="63" t="s">
        <v>120</v>
      </c>
      <c r="B101" s="63"/>
      <c r="C101" s="120"/>
      <c r="D101" s="64"/>
    </row>
    <row r="102" spans="1:3" s="65" customFormat="1" ht="18.75" customHeight="1">
      <c r="A102" s="66" t="s">
        <v>121</v>
      </c>
      <c r="B102" s="66"/>
      <c r="C102" s="65" t="s">
        <v>122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2018-02-02T12:10:15Z</cp:lastPrinted>
  <dcterms:created xsi:type="dcterms:W3CDTF">1996-10-08T23:32:33Z</dcterms:created>
  <dcterms:modified xsi:type="dcterms:W3CDTF">2018-11-23T13:01:39Z</dcterms:modified>
  <cp:category/>
  <cp:version/>
  <cp:contentType/>
  <cp:contentStatus/>
</cp:coreProperties>
</file>