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<sst xmlns="http://schemas.openxmlformats.org/spreadsheetml/2006/main" count="273" uniqueCount="100">
  <si>
    <t xml:space="preserve">Исполнение консолидированного бюджета Яльчикского района по состоянию на 01.05.2019 год 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</si>
  <si>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</si>
  <si>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</si>
  <si>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</si>
  <si>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</si>
  <si>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</si>
  <si>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</si>
  <si>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</si>
  <si>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</si>
  <si>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</si>
  <si>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</si>
  <si>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</si>
  <si>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</si>
  <si>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</si>
  <si>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</si>
  <si>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</si>
  <si>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</si>
  <si>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01.01.2019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</si>
  <si>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</si>
  <si>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</si>
  <si>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</si>
  <si>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</si>
  <si>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</si>
  <si>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</si>
  <si>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</si>
  <si>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</si>
  <si>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</si>
  <si>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</si>
  <si>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</si>
  <si>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</si>
  <si>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</si>
  <si>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</si>
  <si>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2018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</si>
  <si>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</si>
  <si>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</si>
  <si>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</si>
  <si>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</si>
  <si>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</si>
  <si>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</si>
  <si>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</si>
  <si>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</si>
  <si>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</si>
  <si>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</si>
  <si>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</si>
  <si>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</si>
  <si>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</si>
  <si>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</si>
  <si>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</si>
  <si>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</si>
  <si>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</si>
  <si>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</si>
  <si>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</si>
  <si>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</si>
  <si>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</si>
  <si>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</si>
  <si>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</si>
  <si>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</si>
  <si>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</si>
  <si>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</si>
  <si>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</si>
  <si>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</si>
  <si>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</si>
  <si>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</si>
  <si>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</si>
  <si>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</si>
  <si>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</si>
  <si>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</si>
  <si>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</si>
  <si>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</si>
  <si>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</si>
  <si>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</si>
  <si>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</si>
  <si>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</si>
  <si>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</si>
  <si>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</si>
  <si>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</si>
  <si>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</si>
  <si>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</si>
  <si>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</si>
  <si>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</si>
  <si>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</si>
  <si>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</si>
  <si>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</si>
  <si>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</si>
  <si>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2018 год </t>
  </si>
  <si>
    <t>назначено     
На 2019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</si>
  <si>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</si>
  <si>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</si>
  <si>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</si>
  <si>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</si>
  <si>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</si>
  <si>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</si>
  <si>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</si>
  <si>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01.05.2018</t>
  </si>
  <si>
    <t>На 01.05.2019</t>
  </si>
  <si>
    <t>01.05.2019/01.05.2018</t>
  </si>
  <si>
    <t>01.05.2019 к плановым назначениям</t>
  </si>
  <si>
    <t>Всего доходов на 01.05.2018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</si>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</sst>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sz val="9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6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17" xfId="0" applyNumberFormat="1" applyFont="1" applyBorder="1" applyAlignment="1">
      <alignment horizontal="right" wrapText="1"/>
    </xf>
    <xf numFmtId="164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64" fontId="42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wrapText="1"/>
    </xf>
    <xf numFmtId="165" fontId="41" fillId="0" borderId="10" xfId="0" applyNumberFormat="1" applyFont="1" applyFill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3" fillId="0" borderId="10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4" fontId="48" fillId="2" borderId="10" xfId="0" applyNumberFormat="1" applyFont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 wrapText="1"/>
    </xf>
    <xf numFmtId="2" fontId="49" fillId="0" borderId="0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 horizontal="right"/>
    </xf>
    <xf numFmtId="0" fontId="50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1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2" fillId="2" borderId="18" xfId="0" applyNumberFormat="1" applyFont="1" applyBorder="1" applyAlignment="1">
      <alignment horizontal="left"/>
    </xf>
    <xf numFmtId="164" fontId="41" fillId="2" borderId="10" xfId="0" applyNumberFormat="1" applyFont="1" applyBorder="1" applyAlignment="1">
      <alignment/>
    </xf>
    <xf numFmtId="3" fontId="41" fillId="2" borderId="19" xfId="0" applyNumberFormat="1" applyFont="1" applyBorder="1" applyAlignment="1">
      <alignment/>
    </xf>
    <xf numFmtId="166" fontId="41" fillId="2" borderId="19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3" fontId="41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3" fontId="48" fillId="2" borderId="10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4" fontId="52" fillId="2" borderId="10" xfId="0" applyNumberFormat="1" applyFont="1" applyBorder="1" applyAlignment="1">
      <alignment/>
    </xf>
    <xf numFmtId="2" fontId="48" fillId="2" borderId="0" xfId="0" applyNumberFormat="1" applyFont="1" applyAlignment="1">
      <alignment/>
    </xf>
    <xf numFmtId="0" fontId="42" fillId="2" borderId="18" xfId="0" applyFont="1" applyBorder="1" applyAlignment="1">
      <alignment horizontal="left"/>
    </xf>
    <xf numFmtId="4" fontId="48" fillId="2" borderId="10" xfId="0" applyNumberFormat="1" applyFont="1" applyBorder="1" applyAlignment="1">
      <alignment wrapText="1"/>
    </xf>
    <xf numFmtId="4" fontId="48" fillId="2" borderId="10" xfId="0" applyNumberFormat="1" applyFont="1" applyBorder="1" applyAlignment="1">
      <alignment horizontal="right"/>
    </xf>
    <xf numFmtId="4" fontId="41" fillId="2" borderId="10" xfId="0" applyNumberFormat="1" applyFont="1" applyBorder="1" applyAlignment="1">
      <alignment horizontal="right"/>
    </xf>
    <xf numFmtId="4" fontId="41" fillId="2" borderId="10" xfId="0" applyNumberFormat="1" applyFont="1" applyFill="1" applyBorder="1" applyAlignment="1">
      <alignment horizontal="right" shrinkToFit="1"/>
    </xf>
    <xf numFmtId="0" fontId="48" fillId="2" borderId="0" xfId="0" applyFont="1" applyAlignment="1">
      <alignment/>
    </xf>
    <xf numFmtId="3" fontId="41" fillId="2" borderId="21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8" fillId="2" borderId="10" xfId="0" applyNumberFormat="1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164" fontId="42" fillId="2" borderId="18" xfId="0" applyNumberFormat="1" applyFont="1" applyBorder="1" applyAlignment="1">
      <alignment horizontal="left"/>
    </xf>
    <xf numFmtId="4" fontId="48" fillId="2" borderId="19" xfId="0" applyNumberFormat="1" applyFont="1" applyBorder="1" applyAlignment="1">
      <alignment/>
    </xf>
    <xf numFmtId="4" fontId="41" fillId="2" borderId="19" xfId="0" applyNumberFormat="1" applyFont="1" applyBorder="1" applyAlignment="1">
      <alignment/>
    </xf>
    <xf numFmtId="164" fontId="48" fillId="2" borderId="0" xfId="0" applyNumberFormat="1" applyFont="1" applyAlignment="1">
      <alignment/>
    </xf>
    <xf numFmtId="3" fontId="41" fillId="2" borderId="22" xfId="0" applyNumberFormat="1" applyFont="1" applyBorder="1" applyAlignment="1">
      <alignment/>
    </xf>
    <xf numFmtId="3" fontId="48" fillId="2" borderId="10" xfId="0" applyNumberFormat="1" applyFont="1" applyBorder="1" applyAlignment="1">
      <alignment horizontal="right"/>
    </xf>
    <xf numFmtId="3" fontId="41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2" fillId="2" borderId="10" xfId="0" applyNumberFormat="1" applyFont="1" applyBorder="1" applyAlignment="1">
      <alignment/>
    </xf>
    <xf numFmtId="3" fontId="42" fillId="0" borderId="19" xfId="0" applyNumberFormat="1" applyFont="1" applyFill="1" applyBorder="1" applyAlignment="1">
      <alignment/>
    </xf>
    <xf numFmtId="4" fontId="52" fillId="0" borderId="19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166" fontId="42" fillId="2" borderId="19" xfId="0" applyNumberFormat="1" applyFont="1" applyBorder="1" applyAlignment="1">
      <alignment/>
    </xf>
    <xf numFmtId="166" fontId="42" fillId="2" borderId="10" xfId="0" applyNumberFormat="1" applyFont="1" applyBorder="1" applyAlignment="1">
      <alignment/>
    </xf>
    <xf numFmtId="4" fontId="52" fillId="2" borderId="10" xfId="0" applyNumberFormat="1" applyFont="1" applyBorder="1" applyAlignment="1">
      <alignment horizontal="right" wrapText="1"/>
    </xf>
    <xf numFmtId="4" fontId="42" fillId="2" borderId="10" xfId="0" applyNumberFormat="1" applyFont="1" applyBorder="1" applyAlignment="1">
      <alignment horizontal="right" wrapText="1"/>
    </xf>
    <xf numFmtId="166" fontId="42" fillId="2" borderId="10" xfId="0" applyNumberFormat="1" applyFont="1" applyBorder="1" applyAlignment="1">
      <alignment horizontal="right"/>
    </xf>
    <xf numFmtId="166" fontId="42" fillId="0" borderId="19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wrapText="1"/>
    </xf>
    <xf numFmtId="3" fontId="52" fillId="0" borderId="19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/>
    </xf>
    <xf numFmtId="4" fontId="52" fillId="2" borderId="19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2" borderId="17" xfId="0" applyFont="1" applyBorder="1" applyAlignment="1">
      <alignment horizontal="center" vertical="center" wrapText="1"/>
    </xf>
    <xf numFmtId="4" fontId="42" fillId="2" borderId="10" xfId="0" applyNumberFormat="1" applyFont="1" applyBorder="1" applyAlignment="1">
      <alignment horizontal="right"/>
    </xf>
    <xf numFmtId="164" fontId="42" fillId="2" borderId="10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40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8" xfId="0" applyFont="1" applyBorder="1" applyAlignment="1">
      <alignment horizontal="center" wrapText="1"/>
    </xf>
    <xf numFmtId="0" fontId="50" fillId="2" borderId="0" xfId="0" applyFont="1" applyBorder="1" applyAlignment="1">
      <alignment horizontal="center" wrapText="1"/>
    </xf>
    <xf numFmtId="0" fontId="39" fillId="2" borderId="19" xfId="0" applyFont="1" applyBorder="1" applyAlignment="1">
      <alignment horizontal="center"/>
    </xf>
    <xf numFmtId="0" fontId="41" fillId="2" borderId="10" xfId="0" applyFont="1" applyBorder="1" applyAlignment="1">
      <alignment horizontal="left"/>
    </xf>
    <xf numFmtId="0" fontId="41" fillId="2" borderId="10" xfId="0" applyFont="1" applyBorder="1" applyAlignment="1">
      <alignment horizontal="left" wrapText="1"/>
    </xf>
    <xf numFmtId="0" fontId="42" fillId="2" borderId="10" xfId="0" applyFont="1" applyBorder="1" applyAlignment="1">
      <alignment horizontal="left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42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center" vertical="center" wrapText="1"/>
    </xf>
    <xf numFmtId="0" fontId="59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8" zoomScaleNormal="88" workbookViewId="0" topLeftCell="A4">
      <selection activeCell="E21" sqref="E21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9.00390625" style="1" hidden="1" customWidth="1"/>
    <col min="4" max="4" width="13.421875" style="1" customWidth="1"/>
    <col min="5" max="5" width="12.7109375" style="1" customWidth="1"/>
    <col min="6" max="6" width="5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2.28125" style="1" customWidth="1"/>
    <col min="11" max="11" width="8.8515625" style="1" customWidth="1"/>
    <col min="12" max="12" width="7.140625" style="1" customWidth="1"/>
    <col min="13" max="13" width="13.28125" style="1" customWidth="1"/>
    <col min="14" max="14" width="12.421875" style="1" customWidth="1"/>
    <col min="15" max="15" width="4.8515625" style="1" customWidth="1"/>
    <col min="16" max="16" width="10.57421875" style="1" customWidth="1"/>
    <col min="17" max="17" width="10.28125" style="1" customWidth="1"/>
    <col min="18" max="18" width="6.140625" style="1" customWidth="1"/>
    <col min="19" max="19" width="8.8515625" style="1" customWidth="1"/>
    <col min="20" max="20" width="8.28125" style="1" customWidth="1"/>
    <col min="21" max="21" width="7.8515625" style="1" customWidth="1"/>
    <col min="22" max="22" width="9.57421875" style="1" customWidth="1"/>
    <col min="23" max="23" width="11.7109375" style="1" customWidth="1"/>
    <col min="24" max="24" width="5.7109375" style="1" customWidth="1"/>
    <col min="25" max="25" width="12.8515625" style="1" customWidth="1"/>
    <col min="26" max="26" width="12.7109375" style="1" customWidth="1"/>
    <col min="27" max="27" width="7.00390625" style="1" customWidth="1"/>
    <col min="28" max="28" width="13.140625" style="1" customWidth="1"/>
    <col min="29" max="29" width="13.421875" style="1" customWidth="1"/>
    <col min="30" max="30" width="4.8515625" style="1" customWidth="1"/>
    <col min="31" max="31" width="12.8515625" style="1" customWidth="1"/>
    <col min="32" max="32" width="13.8515625" style="1" customWidth="1"/>
    <col min="33" max="33" width="12.00390625" style="1" customWidth="1"/>
    <col min="34" max="34" width="12.421875" style="1" customWidth="1"/>
    <col min="35" max="250" width="9.00390625" style="1" customWidth="1"/>
    <col min="251" max="16384" width="9.00390625" style="0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37" t="s">
        <v>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38"/>
      <c r="B5" s="138"/>
      <c r="C5" s="138"/>
      <c r="D5" s="139" t="s">
        <v>1</v>
      </c>
      <c r="E5" s="139"/>
      <c r="F5" s="139"/>
      <c r="G5" s="140" t="s">
        <v>97</v>
      </c>
      <c r="H5" s="139" t="s">
        <v>2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3" t="s">
        <v>3</v>
      </c>
      <c r="AC5" s="133"/>
      <c r="AD5" s="133"/>
      <c r="AE5" s="133" t="s">
        <v>4</v>
      </c>
      <c r="AF5" s="133"/>
      <c r="AG5" s="133" t="s">
        <v>5</v>
      </c>
      <c r="AH5" s="133"/>
    </row>
    <row r="6" spans="1:34" ht="15" customHeight="1">
      <c r="A6" s="138"/>
      <c r="B6" s="138"/>
      <c r="C6" s="138"/>
      <c r="D6" s="139"/>
      <c r="E6" s="139"/>
      <c r="F6" s="139"/>
      <c r="G6" s="140"/>
      <c r="H6" s="134" t="s">
        <v>6</v>
      </c>
      <c r="I6" s="134"/>
      <c r="J6" s="134"/>
      <c r="K6" s="134"/>
      <c r="L6" s="134"/>
      <c r="M6" s="135" t="s">
        <v>7</v>
      </c>
      <c r="N6" s="135"/>
      <c r="O6" s="135"/>
      <c r="P6" s="136" t="s">
        <v>8</v>
      </c>
      <c r="Q6" s="136"/>
      <c r="R6" s="136"/>
      <c r="S6" s="136"/>
      <c r="T6" s="136"/>
      <c r="U6" s="136"/>
      <c r="V6" s="135" t="s">
        <v>9</v>
      </c>
      <c r="W6" s="135"/>
      <c r="X6" s="135"/>
      <c r="Y6" s="135" t="s">
        <v>10</v>
      </c>
      <c r="Z6" s="135"/>
      <c r="AA6" s="135" t="s">
        <v>11</v>
      </c>
      <c r="AB6" s="133"/>
      <c r="AC6" s="133"/>
      <c r="AD6" s="133"/>
      <c r="AE6" s="133"/>
      <c r="AF6" s="133"/>
      <c r="AG6" s="133"/>
      <c r="AH6" s="133"/>
    </row>
    <row r="7" spans="1:34" ht="6" customHeight="1">
      <c r="A7" s="138"/>
      <c r="B7" s="138"/>
      <c r="C7" s="138"/>
      <c r="D7" s="139"/>
      <c r="E7" s="139"/>
      <c r="F7" s="139"/>
      <c r="G7" s="140"/>
      <c r="H7" s="134"/>
      <c r="I7" s="134"/>
      <c r="J7" s="134"/>
      <c r="K7" s="134"/>
      <c r="L7" s="134"/>
      <c r="M7" s="135"/>
      <c r="N7" s="135"/>
      <c r="O7" s="135"/>
      <c r="P7" s="133" t="s">
        <v>12</v>
      </c>
      <c r="Q7" s="133"/>
      <c r="R7" s="133"/>
      <c r="S7" s="133" t="s">
        <v>13</v>
      </c>
      <c r="T7" s="133"/>
      <c r="U7" s="133"/>
      <c r="V7" s="135"/>
      <c r="W7" s="135"/>
      <c r="X7" s="135"/>
      <c r="Y7" s="135"/>
      <c r="Z7" s="135"/>
      <c r="AA7" s="135"/>
      <c r="AB7" s="133"/>
      <c r="AC7" s="133"/>
      <c r="AD7" s="133"/>
      <c r="AE7" s="133"/>
      <c r="AF7" s="133"/>
      <c r="AG7" s="133"/>
      <c r="AH7" s="133"/>
    </row>
    <row r="8" spans="1:34" ht="65.25" customHeight="1">
      <c r="A8" s="138"/>
      <c r="B8" s="138"/>
      <c r="C8" s="138"/>
      <c r="D8" s="139"/>
      <c r="E8" s="139"/>
      <c r="F8" s="139"/>
      <c r="G8" s="140"/>
      <c r="H8" s="141" t="s">
        <v>14</v>
      </c>
      <c r="I8" s="142" t="s">
        <v>15</v>
      </c>
      <c r="J8" s="142"/>
      <c r="K8" s="141" t="s">
        <v>16</v>
      </c>
      <c r="L8" s="141"/>
      <c r="M8" s="135"/>
      <c r="N8" s="135"/>
      <c r="O8" s="135"/>
      <c r="P8" s="133"/>
      <c r="Q8" s="133"/>
      <c r="R8" s="133"/>
      <c r="S8" s="133"/>
      <c r="T8" s="133"/>
      <c r="U8" s="133"/>
      <c r="V8" s="135"/>
      <c r="W8" s="135"/>
      <c r="X8" s="135"/>
      <c r="Y8" s="135"/>
      <c r="Z8" s="135"/>
      <c r="AA8" s="135"/>
      <c r="AB8" s="133"/>
      <c r="AC8" s="133"/>
      <c r="AD8" s="133"/>
      <c r="AE8" s="133"/>
      <c r="AF8" s="133"/>
      <c r="AG8" s="133"/>
      <c r="AH8" s="133"/>
    </row>
    <row r="9" spans="1:34" ht="65.25" customHeight="1">
      <c r="A9" s="138"/>
      <c r="B9" s="138"/>
      <c r="C9" s="138"/>
      <c r="D9" s="11" t="s">
        <v>14</v>
      </c>
      <c r="E9" s="11" t="s">
        <v>15</v>
      </c>
      <c r="F9" s="12" t="s">
        <v>16</v>
      </c>
      <c r="G9" s="140"/>
      <c r="H9" s="141"/>
      <c r="I9" s="13" t="s">
        <v>93</v>
      </c>
      <c r="J9" s="11" t="s">
        <v>94</v>
      </c>
      <c r="K9" s="11" t="s">
        <v>95</v>
      </c>
      <c r="L9" s="11" t="s">
        <v>96</v>
      </c>
      <c r="M9" s="11" t="s">
        <v>14</v>
      </c>
      <c r="N9" s="14" t="s">
        <v>15</v>
      </c>
      <c r="O9" s="12" t="s">
        <v>16</v>
      </c>
      <c r="P9" s="11" t="s">
        <v>14</v>
      </c>
      <c r="Q9" s="14" t="s">
        <v>15</v>
      </c>
      <c r="R9" s="12" t="s">
        <v>16</v>
      </c>
      <c r="S9" s="11" t="s">
        <v>14</v>
      </c>
      <c r="T9" s="14" t="s">
        <v>15</v>
      </c>
      <c r="U9" s="12" t="s">
        <v>16</v>
      </c>
      <c r="V9" s="11" t="s">
        <v>14</v>
      </c>
      <c r="W9" s="14" t="s">
        <v>15</v>
      </c>
      <c r="X9" s="12" t="s">
        <v>16</v>
      </c>
      <c r="Y9" s="11" t="s">
        <v>14</v>
      </c>
      <c r="Z9" s="14" t="s">
        <v>15</v>
      </c>
      <c r="AA9" s="14"/>
      <c r="AB9" s="10" t="s">
        <v>14</v>
      </c>
      <c r="AC9" s="10" t="s">
        <v>15</v>
      </c>
      <c r="AD9" s="9" t="s">
        <v>16</v>
      </c>
      <c r="AE9" s="10" t="s">
        <v>14</v>
      </c>
      <c r="AF9" s="10" t="s">
        <v>15</v>
      </c>
      <c r="AG9" s="10" t="s">
        <v>17</v>
      </c>
      <c r="AH9" s="15">
        <v>43586</v>
      </c>
    </row>
    <row r="10" spans="1:34" ht="19.5" customHeight="1">
      <c r="A10" s="129" t="s">
        <v>18</v>
      </c>
      <c r="B10" s="129"/>
      <c r="C10" s="129"/>
      <c r="D10" s="16">
        <f aca="true" t="shared" si="0" ref="D10:D18">H10+M10+V10</f>
        <v>5186043.79</v>
      </c>
      <c r="E10" s="16">
        <f aca="true" t="shared" si="1" ref="E10:E18">J10+N10+W10</f>
        <v>908804.1799999999</v>
      </c>
      <c r="F10" s="17">
        <f aca="true" t="shared" si="2" ref="F10:F21">E10/D10*100</f>
        <v>17.52403598582032</v>
      </c>
      <c r="G10" s="16">
        <v>772521.12</v>
      </c>
      <c r="H10" s="16">
        <f>Лист2!B10</f>
        <v>1344000</v>
      </c>
      <c r="I10" s="18">
        <v>146612.12</v>
      </c>
      <c r="J10" s="18">
        <f>Лист2!C10</f>
        <v>316830.18</v>
      </c>
      <c r="K10" s="17">
        <f aca="true" t="shared" si="3" ref="K10:K21">J10/I10*100</f>
        <v>216.10094717953743</v>
      </c>
      <c r="L10" s="17">
        <f aca="true" t="shared" si="4" ref="L10:L21">J10/H10*100</f>
        <v>23.573674107142857</v>
      </c>
      <c r="M10" s="16">
        <v>3842043.79</v>
      </c>
      <c r="N10" s="16">
        <v>511660</v>
      </c>
      <c r="O10" s="17">
        <f aca="true" t="shared" si="5" ref="O10:O21">N10/M10*100</f>
        <v>13.317391158626018</v>
      </c>
      <c r="P10" s="19">
        <v>661200</v>
      </c>
      <c r="Q10" s="19">
        <v>220404</v>
      </c>
      <c r="R10" s="17">
        <f aca="true" t="shared" si="6" ref="R10:R21">Q10/P10*100</f>
        <v>33.33393829401089</v>
      </c>
      <c r="S10" s="19">
        <v>1148762</v>
      </c>
      <c r="T10" s="19">
        <v>197175</v>
      </c>
      <c r="U10" s="17">
        <f aca="true" t="shared" si="7" ref="U10:U19">T10/S10*100</f>
        <v>17.164129732703554</v>
      </c>
      <c r="V10" s="20"/>
      <c r="W10" s="16">
        <v>80314</v>
      </c>
      <c r="X10" s="17"/>
      <c r="Y10" s="21"/>
      <c r="Z10" s="21"/>
      <c r="AA10" s="22"/>
      <c r="AB10" s="23">
        <v>5186043.79</v>
      </c>
      <c r="AC10" s="23">
        <v>1015510.44</v>
      </c>
      <c r="AD10" s="24">
        <f aca="true" t="shared" si="8" ref="AD10:AD21">AC10/AB10*100</f>
        <v>19.581601720335645</v>
      </c>
      <c r="AE10" s="25">
        <f aca="true" t="shared" si="9" ref="AE10:AE21">D10-AB10</f>
        <v>0</v>
      </c>
      <c r="AF10" s="25">
        <f aca="true" t="shared" si="10" ref="AF10:AF21">E10-AC10</f>
        <v>-106706.26000000001</v>
      </c>
      <c r="AG10" s="26">
        <v>136654.52</v>
      </c>
      <c r="AH10" s="26">
        <v>29948.26</v>
      </c>
    </row>
    <row r="11" spans="1:34" ht="20.25" customHeight="1">
      <c r="A11" s="129" t="s">
        <v>19</v>
      </c>
      <c r="B11" s="129"/>
      <c r="C11" s="129"/>
      <c r="D11" s="16">
        <f t="shared" si="0"/>
        <v>4475575</v>
      </c>
      <c r="E11" s="16">
        <f t="shared" si="1"/>
        <v>1188826.63</v>
      </c>
      <c r="F11" s="17">
        <f t="shared" si="2"/>
        <v>26.562545147830164</v>
      </c>
      <c r="G11" s="16">
        <v>945216.64</v>
      </c>
      <c r="H11" s="16">
        <f>Лист2!B11</f>
        <v>1549800</v>
      </c>
      <c r="I11" s="18">
        <v>242781.64</v>
      </c>
      <c r="J11" s="18">
        <f>Лист2!C11</f>
        <v>360189.93999999994</v>
      </c>
      <c r="K11" s="17">
        <f t="shared" si="3"/>
        <v>148.35962884178554</v>
      </c>
      <c r="L11" s="17">
        <f t="shared" si="4"/>
        <v>23.241059491547293</v>
      </c>
      <c r="M11" s="16">
        <v>2925775</v>
      </c>
      <c r="N11" s="16">
        <v>708918</v>
      </c>
      <c r="O11" s="17">
        <f t="shared" si="5"/>
        <v>24.23009288137331</v>
      </c>
      <c r="P11" s="19">
        <v>1732600</v>
      </c>
      <c r="Q11" s="19">
        <v>577548</v>
      </c>
      <c r="R11" s="17">
        <f t="shared" si="6"/>
        <v>33.33417984531917</v>
      </c>
      <c r="S11" s="19">
        <v>127310</v>
      </c>
      <c r="T11" s="19"/>
      <c r="U11" s="17">
        <f t="shared" si="7"/>
        <v>0</v>
      </c>
      <c r="V11" s="16"/>
      <c r="W11" s="16">
        <v>119718.69</v>
      </c>
      <c r="X11" s="17"/>
      <c r="Y11" s="22"/>
      <c r="Z11" s="22"/>
      <c r="AA11" s="22"/>
      <c r="AB11" s="23">
        <v>4475575</v>
      </c>
      <c r="AC11" s="23">
        <v>1102007.71</v>
      </c>
      <c r="AD11" s="24">
        <f t="shared" si="8"/>
        <v>24.622706803036483</v>
      </c>
      <c r="AE11" s="25">
        <f t="shared" si="9"/>
        <v>0</v>
      </c>
      <c r="AF11" s="25">
        <f t="shared" si="10"/>
        <v>86818.91999999993</v>
      </c>
      <c r="AG11" s="25">
        <v>290304.53</v>
      </c>
      <c r="AH11" s="26">
        <v>377123.45</v>
      </c>
    </row>
    <row r="12" spans="1:34" ht="21.75" customHeight="1">
      <c r="A12" s="129" t="s">
        <v>20</v>
      </c>
      <c r="B12" s="129"/>
      <c r="C12" s="129"/>
      <c r="D12" s="16">
        <f t="shared" si="0"/>
        <v>6150611</v>
      </c>
      <c r="E12" s="16">
        <f t="shared" si="1"/>
        <v>1319109.88</v>
      </c>
      <c r="F12" s="17">
        <f t="shared" si="2"/>
        <v>21.446810406315727</v>
      </c>
      <c r="G12" s="16">
        <v>1364445.86</v>
      </c>
      <c r="H12" s="16">
        <f>Лист2!B12</f>
        <v>2122800</v>
      </c>
      <c r="I12" s="18">
        <v>290130.86</v>
      </c>
      <c r="J12" s="18">
        <f>Лист2!C12</f>
        <v>687633.88</v>
      </c>
      <c r="K12" s="17">
        <f t="shared" si="3"/>
        <v>237.00818313501708</v>
      </c>
      <c r="L12" s="17">
        <f t="shared" si="4"/>
        <v>32.39277746372715</v>
      </c>
      <c r="M12" s="16">
        <v>4027811</v>
      </c>
      <c r="N12" s="16">
        <v>579725</v>
      </c>
      <c r="O12" s="17">
        <f t="shared" si="5"/>
        <v>14.393053695915722</v>
      </c>
      <c r="P12" s="19">
        <v>1354700</v>
      </c>
      <c r="Q12" s="19">
        <v>451580</v>
      </c>
      <c r="R12" s="17">
        <f t="shared" si="6"/>
        <v>33.33431756108364</v>
      </c>
      <c r="S12" s="19">
        <v>852287</v>
      </c>
      <c r="T12" s="19"/>
      <c r="U12" s="17">
        <f t="shared" si="7"/>
        <v>0</v>
      </c>
      <c r="V12" s="16"/>
      <c r="W12" s="16">
        <v>51751</v>
      </c>
      <c r="X12" s="17"/>
      <c r="Y12" s="21"/>
      <c r="Z12" s="17"/>
      <c r="AA12" s="22"/>
      <c r="AB12" s="23">
        <v>6150611</v>
      </c>
      <c r="AC12" s="23">
        <v>1608194.02</v>
      </c>
      <c r="AD12" s="24">
        <f t="shared" si="8"/>
        <v>26.146898576417854</v>
      </c>
      <c r="AE12" s="25">
        <f t="shared" si="9"/>
        <v>0</v>
      </c>
      <c r="AF12" s="25">
        <f t="shared" si="10"/>
        <v>-289084.14000000013</v>
      </c>
      <c r="AG12" s="25">
        <v>573409.11</v>
      </c>
      <c r="AH12" s="26">
        <v>284324.97</v>
      </c>
    </row>
    <row r="13" spans="1:34" ht="21" customHeight="1">
      <c r="A13" s="129" t="s">
        <v>21</v>
      </c>
      <c r="B13" s="129"/>
      <c r="C13" s="129"/>
      <c r="D13" s="16">
        <f t="shared" si="0"/>
        <v>7395589</v>
      </c>
      <c r="E13" s="16">
        <f t="shared" si="1"/>
        <v>1766871.46</v>
      </c>
      <c r="F13" s="17">
        <f t="shared" si="2"/>
        <v>23.89088225427346</v>
      </c>
      <c r="G13" s="16">
        <v>1552035.13</v>
      </c>
      <c r="H13" s="16">
        <f>Лист2!B13</f>
        <v>2371400</v>
      </c>
      <c r="I13" s="18">
        <v>341670.13</v>
      </c>
      <c r="J13" s="18">
        <f>Лист2!C13</f>
        <v>496119.45999999996</v>
      </c>
      <c r="K13" s="17">
        <f t="shared" si="3"/>
        <v>145.2042237347467</v>
      </c>
      <c r="L13" s="17">
        <f t="shared" si="4"/>
        <v>20.92095218014675</v>
      </c>
      <c r="M13" s="16">
        <v>5024189</v>
      </c>
      <c r="N13" s="16">
        <v>873302</v>
      </c>
      <c r="O13" s="17">
        <f t="shared" si="5"/>
        <v>17.381949604204777</v>
      </c>
      <c r="P13" s="19">
        <v>2209400</v>
      </c>
      <c r="Q13" s="19">
        <v>736488</v>
      </c>
      <c r="R13" s="17">
        <f t="shared" si="6"/>
        <v>33.334298904680004</v>
      </c>
      <c r="S13" s="19">
        <v>647864</v>
      </c>
      <c r="T13" s="19"/>
      <c r="U13" s="17">
        <f t="shared" si="7"/>
        <v>0</v>
      </c>
      <c r="V13" s="16"/>
      <c r="W13" s="16">
        <v>397450</v>
      </c>
      <c r="X13" s="17"/>
      <c r="Y13" s="21"/>
      <c r="Z13" s="17"/>
      <c r="AA13" s="22"/>
      <c r="AB13" s="23">
        <v>7733949</v>
      </c>
      <c r="AC13" s="23">
        <v>1920966.91</v>
      </c>
      <c r="AD13" s="24">
        <f t="shared" si="8"/>
        <v>24.838111939967536</v>
      </c>
      <c r="AE13" s="25">
        <f t="shared" si="9"/>
        <v>-338360</v>
      </c>
      <c r="AF13" s="25">
        <f t="shared" si="10"/>
        <v>-154095.44999999995</v>
      </c>
      <c r="AG13" s="25">
        <v>445060.4</v>
      </c>
      <c r="AH13" s="26">
        <v>290964.95</v>
      </c>
    </row>
    <row r="14" spans="1:34" ht="21.75" customHeight="1">
      <c r="A14" s="129" t="s">
        <v>22</v>
      </c>
      <c r="B14" s="129"/>
      <c r="C14" s="129"/>
      <c r="D14" s="16">
        <f t="shared" si="0"/>
        <v>4500186</v>
      </c>
      <c r="E14" s="16">
        <f t="shared" si="1"/>
        <v>1217928.3599999999</v>
      </c>
      <c r="F14" s="17">
        <f t="shared" si="2"/>
        <v>27.063956023151043</v>
      </c>
      <c r="G14" s="16">
        <v>1029389.65</v>
      </c>
      <c r="H14" s="16">
        <f>Лист2!B14</f>
        <v>1328000</v>
      </c>
      <c r="I14" s="18">
        <v>329548.65</v>
      </c>
      <c r="J14" s="18">
        <f>Лист2!C14</f>
        <v>483858.99000000005</v>
      </c>
      <c r="K14" s="17">
        <f t="shared" si="3"/>
        <v>146.8247525820543</v>
      </c>
      <c r="L14" s="17">
        <f t="shared" si="4"/>
        <v>36.43516490963856</v>
      </c>
      <c r="M14" s="16">
        <v>3172186</v>
      </c>
      <c r="N14" s="16">
        <v>601597</v>
      </c>
      <c r="O14" s="17">
        <f t="shared" si="5"/>
        <v>18.964745446830673</v>
      </c>
      <c r="P14" s="19">
        <v>991500</v>
      </c>
      <c r="Q14" s="19">
        <v>330508</v>
      </c>
      <c r="R14" s="17">
        <f t="shared" si="6"/>
        <v>33.33414019162885</v>
      </c>
      <c r="S14" s="19">
        <v>1193990</v>
      </c>
      <c r="T14" s="19">
        <v>145000</v>
      </c>
      <c r="U14" s="17">
        <f t="shared" si="7"/>
        <v>12.14415531118351</v>
      </c>
      <c r="V14" s="16"/>
      <c r="W14" s="16">
        <v>132472.37</v>
      </c>
      <c r="X14" s="17"/>
      <c r="Y14" s="21"/>
      <c r="Z14" s="21"/>
      <c r="AA14" s="22"/>
      <c r="AB14" s="23">
        <v>4500186</v>
      </c>
      <c r="AC14" s="23">
        <v>1199674.2</v>
      </c>
      <c r="AD14" s="24">
        <f t="shared" si="8"/>
        <v>26.658324789242045</v>
      </c>
      <c r="AE14" s="25">
        <f t="shared" si="9"/>
        <v>0</v>
      </c>
      <c r="AF14" s="25">
        <f t="shared" si="10"/>
        <v>18254.159999999916</v>
      </c>
      <c r="AG14" s="25">
        <v>157314.87</v>
      </c>
      <c r="AH14" s="26">
        <v>175569.03</v>
      </c>
    </row>
    <row r="15" spans="1:34" ht="21.75" customHeight="1">
      <c r="A15" s="129" t="s">
        <v>23</v>
      </c>
      <c r="B15" s="129"/>
      <c r="C15" s="129"/>
      <c r="D15" s="16">
        <f t="shared" si="0"/>
        <v>6075550</v>
      </c>
      <c r="E15" s="16">
        <f t="shared" si="1"/>
        <v>1074076.5</v>
      </c>
      <c r="F15" s="17">
        <f t="shared" si="2"/>
        <v>17.678671066816996</v>
      </c>
      <c r="G15" s="16">
        <v>1326587.92</v>
      </c>
      <c r="H15" s="16">
        <f>Лист2!B15</f>
        <v>1929900</v>
      </c>
      <c r="I15" s="18">
        <v>270858.92</v>
      </c>
      <c r="J15" s="18">
        <f>Лист2!C15</f>
        <v>424213.5</v>
      </c>
      <c r="K15" s="17">
        <f t="shared" si="3"/>
        <v>156.6178806295174</v>
      </c>
      <c r="L15" s="17">
        <f t="shared" si="4"/>
        <v>21.98111301103684</v>
      </c>
      <c r="M15" s="16">
        <v>4145650</v>
      </c>
      <c r="N15" s="16">
        <v>594863</v>
      </c>
      <c r="O15" s="17">
        <f t="shared" si="5"/>
        <v>14.349088803927007</v>
      </c>
      <c r="P15" s="19">
        <v>1529000</v>
      </c>
      <c r="Q15" s="19">
        <v>509680</v>
      </c>
      <c r="R15" s="17">
        <f t="shared" si="6"/>
        <v>33.33420536298234</v>
      </c>
      <c r="S15" s="19">
        <v>853449</v>
      </c>
      <c r="T15" s="19"/>
      <c r="U15" s="17">
        <f t="shared" si="7"/>
        <v>0</v>
      </c>
      <c r="V15" s="16"/>
      <c r="W15" s="16">
        <v>55000</v>
      </c>
      <c r="X15" s="17"/>
      <c r="Y15" s="21"/>
      <c r="Z15" s="21"/>
      <c r="AA15" s="22"/>
      <c r="AB15" s="23">
        <v>6075550</v>
      </c>
      <c r="AC15" s="23">
        <v>1380797.28</v>
      </c>
      <c r="AD15" s="24">
        <f t="shared" si="8"/>
        <v>22.72711573437796</v>
      </c>
      <c r="AE15" s="25">
        <f t="shared" si="9"/>
        <v>0</v>
      </c>
      <c r="AF15" s="25">
        <f t="shared" si="10"/>
        <v>-306720.78</v>
      </c>
      <c r="AG15" s="25">
        <v>340392.33</v>
      </c>
      <c r="AH15" s="26">
        <v>33671.55</v>
      </c>
    </row>
    <row r="16" spans="1:34" ht="19.5" customHeight="1">
      <c r="A16" s="129" t="s">
        <v>24</v>
      </c>
      <c r="B16" s="129"/>
      <c r="C16" s="129"/>
      <c r="D16" s="16">
        <f t="shared" si="0"/>
        <v>3589523</v>
      </c>
      <c r="E16" s="16">
        <f t="shared" si="1"/>
        <v>703152.5</v>
      </c>
      <c r="F16" s="17">
        <f t="shared" si="2"/>
        <v>19.589023388344355</v>
      </c>
      <c r="G16" s="16">
        <v>852523.34</v>
      </c>
      <c r="H16" s="16">
        <f>Лист2!B16</f>
        <v>1365600</v>
      </c>
      <c r="I16" s="18">
        <v>214837.7</v>
      </c>
      <c r="J16" s="18">
        <f>Лист2!C16</f>
        <v>317189.49999999994</v>
      </c>
      <c r="K16" s="17">
        <f t="shared" si="3"/>
        <v>147.64145212874647</v>
      </c>
      <c r="L16" s="17">
        <f t="shared" si="4"/>
        <v>23.22711628588166</v>
      </c>
      <c r="M16" s="16">
        <v>2223923</v>
      </c>
      <c r="N16" s="16">
        <v>375963</v>
      </c>
      <c r="O16" s="17">
        <f t="shared" si="5"/>
        <v>16.9053964548233</v>
      </c>
      <c r="P16" s="19">
        <v>882900</v>
      </c>
      <c r="Q16" s="19">
        <v>294308</v>
      </c>
      <c r="R16" s="17">
        <f t="shared" si="6"/>
        <v>33.33423943821497</v>
      </c>
      <c r="S16" s="19">
        <v>524289</v>
      </c>
      <c r="T16" s="19"/>
      <c r="U16" s="17">
        <f t="shared" si="7"/>
        <v>0</v>
      </c>
      <c r="V16" s="16"/>
      <c r="W16" s="16">
        <v>10000</v>
      </c>
      <c r="X16" s="17"/>
      <c r="Y16" s="21"/>
      <c r="Z16" s="22"/>
      <c r="AA16" s="22"/>
      <c r="AB16" s="23">
        <v>3844523</v>
      </c>
      <c r="AC16" s="23">
        <v>1020109.56</v>
      </c>
      <c r="AD16" s="24">
        <f t="shared" si="8"/>
        <v>26.534099548890723</v>
      </c>
      <c r="AE16" s="25">
        <f t="shared" si="9"/>
        <v>-255000</v>
      </c>
      <c r="AF16" s="25">
        <f t="shared" si="10"/>
        <v>-316957.06000000006</v>
      </c>
      <c r="AG16" s="25">
        <v>464022.57</v>
      </c>
      <c r="AH16" s="26">
        <v>147065.51</v>
      </c>
    </row>
    <row r="17" spans="1:34" ht="20.25" customHeight="1">
      <c r="A17" s="129" t="s">
        <v>25</v>
      </c>
      <c r="B17" s="129"/>
      <c r="C17" s="129"/>
      <c r="D17" s="16">
        <f t="shared" si="0"/>
        <v>18428685.95</v>
      </c>
      <c r="E17" s="16">
        <f t="shared" si="1"/>
        <v>2921130.61</v>
      </c>
      <c r="F17" s="17">
        <f t="shared" si="2"/>
        <v>15.850997829826277</v>
      </c>
      <c r="G17" s="16">
        <v>2115116.61</v>
      </c>
      <c r="H17" s="16">
        <f>Лист2!B17</f>
        <v>5844600</v>
      </c>
      <c r="I17" s="18">
        <v>1093723.11</v>
      </c>
      <c r="J17" s="18">
        <f>Лист2!C17</f>
        <v>1356428.55</v>
      </c>
      <c r="K17" s="17">
        <f t="shared" si="3"/>
        <v>124.01937360544571</v>
      </c>
      <c r="L17" s="17">
        <f t="shared" si="4"/>
        <v>23.20823580741197</v>
      </c>
      <c r="M17" s="16">
        <v>12584085.95</v>
      </c>
      <c r="N17" s="16">
        <v>1312084</v>
      </c>
      <c r="O17" s="17">
        <f t="shared" si="5"/>
        <v>10.426533998681089</v>
      </c>
      <c r="P17" s="19">
        <v>3147500</v>
      </c>
      <c r="Q17" s="19">
        <v>1049196</v>
      </c>
      <c r="R17" s="17">
        <f t="shared" si="6"/>
        <v>33.33426528991263</v>
      </c>
      <c r="S17" s="19">
        <v>3146838</v>
      </c>
      <c r="T17" s="19"/>
      <c r="U17" s="17">
        <f t="shared" si="7"/>
        <v>0</v>
      </c>
      <c r="V17" s="16"/>
      <c r="W17" s="16">
        <v>252618.06</v>
      </c>
      <c r="X17" s="17"/>
      <c r="Y17" s="21"/>
      <c r="Z17" s="21"/>
      <c r="AA17" s="22"/>
      <c r="AB17" s="23">
        <v>18428685.95</v>
      </c>
      <c r="AC17" s="23">
        <v>3020270.72</v>
      </c>
      <c r="AD17" s="24">
        <f t="shared" si="8"/>
        <v>16.388964075867822</v>
      </c>
      <c r="AE17" s="25">
        <f t="shared" si="9"/>
        <v>0</v>
      </c>
      <c r="AF17" s="25">
        <f t="shared" si="10"/>
        <v>-99140.11000000034</v>
      </c>
      <c r="AG17" s="25">
        <v>723931.94</v>
      </c>
      <c r="AH17" s="26">
        <v>624791.83</v>
      </c>
    </row>
    <row r="18" spans="1:34" ht="18.75" customHeight="1">
      <c r="A18" s="129" t="s">
        <v>26</v>
      </c>
      <c r="B18" s="129"/>
      <c r="C18" s="129"/>
      <c r="D18" s="16">
        <f t="shared" si="0"/>
        <v>7294247</v>
      </c>
      <c r="E18" s="16">
        <f t="shared" si="1"/>
        <v>1537811.87</v>
      </c>
      <c r="F18" s="17">
        <f t="shared" si="2"/>
        <v>21.082530794474057</v>
      </c>
      <c r="G18" s="16">
        <v>1722836.35</v>
      </c>
      <c r="H18" s="16">
        <f>Лист2!B18</f>
        <v>3195700</v>
      </c>
      <c r="I18" s="18">
        <v>502020.35</v>
      </c>
      <c r="J18" s="18">
        <f>Лист2!C18</f>
        <v>565067.87</v>
      </c>
      <c r="K18" s="17">
        <f t="shared" si="3"/>
        <v>112.55875782724745</v>
      </c>
      <c r="L18" s="17">
        <f t="shared" si="4"/>
        <v>17.682131301436304</v>
      </c>
      <c r="M18" s="16">
        <v>4098547</v>
      </c>
      <c r="N18" s="16">
        <v>972744</v>
      </c>
      <c r="O18" s="17">
        <f t="shared" si="5"/>
        <v>23.73387446819568</v>
      </c>
      <c r="P18" s="19">
        <v>2229000</v>
      </c>
      <c r="Q18" s="19">
        <v>743020</v>
      </c>
      <c r="R18" s="17">
        <f t="shared" si="6"/>
        <v>33.33423059668013</v>
      </c>
      <c r="S18" s="19">
        <v>401611</v>
      </c>
      <c r="T18" s="19"/>
      <c r="U18" s="17">
        <f t="shared" si="7"/>
        <v>0</v>
      </c>
      <c r="V18" s="16"/>
      <c r="W18" s="16"/>
      <c r="X18" s="17"/>
      <c r="Y18" s="21"/>
      <c r="Z18" s="21"/>
      <c r="AA18" s="22"/>
      <c r="AB18" s="23">
        <v>7294247</v>
      </c>
      <c r="AC18" s="23">
        <v>2147776.6</v>
      </c>
      <c r="AD18" s="24">
        <f t="shared" si="8"/>
        <v>29.4448021845161</v>
      </c>
      <c r="AE18" s="25">
        <f t="shared" si="9"/>
        <v>0</v>
      </c>
      <c r="AF18" s="25">
        <f t="shared" si="10"/>
        <v>-609964.73</v>
      </c>
      <c r="AG18" s="25">
        <v>725735.07</v>
      </c>
      <c r="AH18" s="26">
        <v>115770.34</v>
      </c>
    </row>
    <row r="19" spans="1:34" ht="26.25" customHeight="1">
      <c r="A19" s="132" t="s">
        <v>27</v>
      </c>
      <c r="B19" s="132"/>
      <c r="C19" s="132"/>
      <c r="D19" s="27">
        <f>SUM(D10:D18)</f>
        <v>63096010.739999995</v>
      </c>
      <c r="E19" s="27">
        <f>E10+E11+E12+E13+E14+E15+E16+E17+E18</f>
        <v>12637711.989999998</v>
      </c>
      <c r="F19" s="21">
        <f t="shared" si="2"/>
        <v>20.029335994118984</v>
      </c>
      <c r="G19" s="27">
        <f>SUM(G10:G18)</f>
        <v>11680672.62</v>
      </c>
      <c r="H19" s="27">
        <f>SUM(H10:H18)</f>
        <v>21051800</v>
      </c>
      <c r="I19" s="28">
        <f>I10+I11+I12+I13+I14+I15+I16+I17+I18</f>
        <v>3432183.48</v>
      </c>
      <c r="J19" s="28">
        <f>Лист2!C19</f>
        <v>5007531.87</v>
      </c>
      <c r="K19" s="21">
        <f t="shared" si="3"/>
        <v>145.89930576788396</v>
      </c>
      <c r="L19" s="21">
        <f t="shared" si="4"/>
        <v>23.786715957780334</v>
      </c>
      <c r="M19" s="27">
        <f>SUM(M10:M18)</f>
        <v>42044210.739999995</v>
      </c>
      <c r="N19" s="27">
        <f>SUM(N10:N18)</f>
        <v>6530856</v>
      </c>
      <c r="O19" s="21">
        <f t="shared" si="5"/>
        <v>15.533306215180485</v>
      </c>
      <c r="P19" s="29">
        <f>SUM(P10:P18)</f>
        <v>14737800</v>
      </c>
      <c r="Q19" s="30">
        <f>SUM(Q10:Q18)</f>
        <v>4912732</v>
      </c>
      <c r="R19" s="21">
        <f t="shared" si="6"/>
        <v>33.3342289894014</v>
      </c>
      <c r="S19" s="30">
        <f>SUM(S10:S18)</f>
        <v>8896400</v>
      </c>
      <c r="T19" s="30">
        <f>SUM(T10:T18)</f>
        <v>342175</v>
      </c>
      <c r="U19" s="21">
        <f t="shared" si="7"/>
        <v>3.8462186952025537</v>
      </c>
      <c r="V19" s="27">
        <f>SUM(V10:V18)</f>
        <v>0</v>
      </c>
      <c r="W19" s="27">
        <f>SUM(W10:W18)</f>
        <v>1099324.1199999999</v>
      </c>
      <c r="X19" s="21"/>
      <c r="Y19" s="27">
        <f>Y10+Y11+Y12+Y13+Y14+Y15+Y16+Y17+Y18</f>
        <v>0</v>
      </c>
      <c r="Z19" s="31">
        <f>Z10+Z11+Z12+Z14+Z16+Z17+Z18</f>
        <v>0</v>
      </c>
      <c r="AA19" s="31"/>
      <c r="AB19" s="32">
        <f>AB10+AB11+AB12+AB13+AB14+AB15+AB16+AB17+AB18</f>
        <v>63689370.739999995</v>
      </c>
      <c r="AC19" s="32">
        <f>SUM(AC10:AC18)</f>
        <v>14415307.440000001</v>
      </c>
      <c r="AD19" s="24">
        <f t="shared" si="8"/>
        <v>22.63377275126145</v>
      </c>
      <c r="AE19" s="33">
        <f t="shared" si="9"/>
        <v>-593360</v>
      </c>
      <c r="AF19" s="33">
        <f t="shared" si="10"/>
        <v>-1777595.450000003</v>
      </c>
      <c r="AG19" s="33">
        <f>SUM(AG10:AG18)</f>
        <v>3856825.34</v>
      </c>
      <c r="AH19" s="33">
        <f>SUM(AH10:AH18)</f>
        <v>2079229.89</v>
      </c>
    </row>
    <row r="20" spans="1:34" ht="21" customHeight="1">
      <c r="A20" s="129" t="s">
        <v>28</v>
      </c>
      <c r="B20" s="129"/>
      <c r="C20" s="129"/>
      <c r="D20" s="16">
        <f>M20+V20+Y20+H20</f>
        <v>354923615.04</v>
      </c>
      <c r="E20" s="16">
        <f>J20+N20+Z20+AA20</f>
        <v>78202921.58000001</v>
      </c>
      <c r="F20" s="17">
        <f t="shared" si="2"/>
        <v>22.033732968482955</v>
      </c>
      <c r="G20" s="16">
        <v>85972257.23</v>
      </c>
      <c r="H20" s="16">
        <v>73413900</v>
      </c>
      <c r="I20" s="16">
        <v>19844672.43</v>
      </c>
      <c r="J20" s="16">
        <f>J47</f>
        <v>22140581.550000004</v>
      </c>
      <c r="K20" s="17">
        <f t="shared" si="3"/>
        <v>111.56939792328939</v>
      </c>
      <c r="L20" s="17">
        <f t="shared" si="4"/>
        <v>30.15856881326289</v>
      </c>
      <c r="M20" s="16">
        <v>305140953.44</v>
      </c>
      <c r="N20" s="16">
        <v>79693578.43</v>
      </c>
      <c r="O20" s="17">
        <f t="shared" si="5"/>
        <v>26.116972347230405</v>
      </c>
      <c r="P20" s="19">
        <v>22753900</v>
      </c>
      <c r="Q20" s="34">
        <v>9480500</v>
      </c>
      <c r="R20" s="17">
        <f t="shared" si="6"/>
        <v>41.66538483512717</v>
      </c>
      <c r="S20" s="19"/>
      <c r="T20" s="34"/>
      <c r="U20" s="17"/>
      <c r="V20" s="16"/>
      <c r="W20" s="19"/>
      <c r="X20" s="21"/>
      <c r="Y20" s="16">
        <v>-23631238.4</v>
      </c>
      <c r="Z20" s="35">
        <v>-23631238.4</v>
      </c>
      <c r="AA20" s="22"/>
      <c r="AB20" s="23">
        <v>379346902.3</v>
      </c>
      <c r="AC20" s="23">
        <v>96743257.48</v>
      </c>
      <c r="AD20" s="36">
        <f t="shared" si="8"/>
        <v>25.502582700277927</v>
      </c>
      <c r="AE20" s="25">
        <f t="shared" si="9"/>
        <v>-24423287.25999999</v>
      </c>
      <c r="AF20" s="25">
        <f t="shared" si="10"/>
        <v>-18540335.89999999</v>
      </c>
      <c r="AG20" s="25">
        <v>24436610.7</v>
      </c>
      <c r="AH20" s="25">
        <v>18074565.4</v>
      </c>
    </row>
    <row r="21" spans="1:34" ht="36" customHeight="1">
      <c r="A21" s="132" t="s">
        <v>29</v>
      </c>
      <c r="B21" s="132"/>
      <c r="C21" s="132"/>
      <c r="D21" s="27">
        <f>H21+M21+V21+Y21</f>
        <v>368843615.04</v>
      </c>
      <c r="E21" s="27">
        <f>J21+N21+W21+Z21+AA21</f>
        <v>82386577.57000002</v>
      </c>
      <c r="F21" s="21">
        <f t="shared" si="2"/>
        <v>22.336452146817138</v>
      </c>
      <c r="G21" s="27">
        <v>87781929.85</v>
      </c>
      <c r="H21" s="27">
        <f>H19+H20</f>
        <v>94465700</v>
      </c>
      <c r="I21" s="27">
        <f>SUM(I19:I20)</f>
        <v>23276855.91</v>
      </c>
      <c r="J21" s="27">
        <f>SUM(J19:J20)</f>
        <v>27148113.420000006</v>
      </c>
      <c r="K21" s="21">
        <f t="shared" si="3"/>
        <v>116.63135917053502</v>
      </c>
      <c r="L21" s="21">
        <f t="shared" si="4"/>
        <v>28.738593394216107</v>
      </c>
      <c r="M21" s="27">
        <f>M20-7131800</f>
        <v>298009153.44</v>
      </c>
      <c r="N21" s="37">
        <f>N20-1923200</f>
        <v>77770378.43</v>
      </c>
      <c r="O21" s="21">
        <f t="shared" si="5"/>
        <v>26.09664083544937</v>
      </c>
      <c r="P21" s="29">
        <f>P20</f>
        <v>22753900</v>
      </c>
      <c r="Q21" s="29">
        <f>Q20</f>
        <v>9480500</v>
      </c>
      <c r="R21" s="21">
        <f t="shared" si="6"/>
        <v>41.66538483512717</v>
      </c>
      <c r="S21" s="29">
        <f>S20</f>
        <v>0</v>
      </c>
      <c r="T21" s="29">
        <f>T20</f>
        <v>0</v>
      </c>
      <c r="U21" s="21"/>
      <c r="V21" s="27">
        <f>V19</f>
        <v>0</v>
      </c>
      <c r="W21" s="27">
        <f>W19+W20</f>
        <v>1099324.1199999999</v>
      </c>
      <c r="X21" s="21"/>
      <c r="Y21" s="27">
        <f>Y20</f>
        <v>-23631238.4</v>
      </c>
      <c r="Z21" s="38">
        <f>Z20</f>
        <v>-23631238.4</v>
      </c>
      <c r="AA21" s="31">
        <f>AA20</f>
        <v>0</v>
      </c>
      <c r="AB21" s="32">
        <f>AB19+AB20-M19-7131800</f>
        <v>393860262.3</v>
      </c>
      <c r="AC21" s="27">
        <f>AC19+AC20-N19-1923200</f>
        <v>102704508.92</v>
      </c>
      <c r="AD21" s="24">
        <f t="shared" si="8"/>
        <v>26.076382603373897</v>
      </c>
      <c r="AE21" s="33">
        <f t="shared" si="9"/>
        <v>-25016647.25999999</v>
      </c>
      <c r="AF21" s="33">
        <f t="shared" si="10"/>
        <v>-20317931.34999998</v>
      </c>
      <c r="AG21" s="33">
        <f>AG19+AG20</f>
        <v>28293436.04</v>
      </c>
      <c r="AH21" s="33">
        <f>AH19+AH20</f>
        <v>20153795.29</v>
      </c>
    </row>
    <row r="22" spans="1:34" ht="18" customHeight="1">
      <c r="A22" s="39"/>
      <c r="B22" s="39"/>
      <c r="C22" s="39"/>
      <c r="D22" s="40"/>
      <c r="E22" s="41"/>
      <c r="F22" s="42"/>
      <c r="G22" s="42"/>
      <c r="H22" s="40"/>
      <c r="I22" s="41"/>
      <c r="J22" s="41"/>
      <c r="K22" s="42"/>
      <c r="L22" s="43"/>
      <c r="M22" s="44"/>
      <c r="N22" s="45"/>
      <c r="O22" s="42"/>
      <c r="P22" s="44"/>
      <c r="Q22" s="46"/>
      <c r="R22" s="42"/>
      <c r="S22" s="44"/>
      <c r="T22" s="46"/>
      <c r="U22" s="42"/>
      <c r="V22" s="47"/>
      <c r="W22" s="47"/>
      <c r="X22" s="42"/>
      <c r="Y22" s="41" t="s">
        <v>30</v>
      </c>
      <c r="Z22" s="41"/>
      <c r="AA22" s="41"/>
      <c r="AB22" s="48"/>
      <c r="AC22" s="49"/>
      <c r="AD22" s="50"/>
      <c r="AE22" s="51"/>
      <c r="AF22" s="52"/>
      <c r="AG22" s="51"/>
      <c r="AH22" s="51"/>
    </row>
    <row r="23" spans="1:34" ht="22.5" customHeight="1">
      <c r="A23" s="53"/>
      <c r="B23" s="53"/>
      <c r="C23" s="53"/>
      <c r="D23" s="54" t="s">
        <v>31</v>
      </c>
      <c r="E23" s="54"/>
      <c r="F23" s="54"/>
      <c r="G23" s="54" t="s">
        <v>32</v>
      </c>
      <c r="H23" s="54"/>
      <c r="I23" s="55"/>
      <c r="J23" s="55"/>
      <c r="K23" s="42"/>
      <c r="L23" s="42"/>
      <c r="M23" s="42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4" ht="18" customHeight="1">
      <c r="A24" s="130" t="s">
        <v>33</v>
      </c>
      <c r="B24" s="130"/>
      <c r="C24" s="130"/>
      <c r="D24" s="130"/>
      <c r="E24" s="130"/>
      <c r="F24" s="130"/>
      <c r="G24" s="58">
        <f>G25+G29+G27+G28+G31+G32+G33+G26+G30</f>
        <v>57053263.56</v>
      </c>
      <c r="H24" s="58">
        <f>SUM(H25:H33)</f>
        <v>62885100</v>
      </c>
      <c r="I24" s="58">
        <f>SUM(I25:I33)</f>
        <v>16667393.370000001</v>
      </c>
      <c r="J24" s="58">
        <f>J25+J26+J27+J28+J29+J30+J32+J31+J33</f>
        <v>18862809.940000005</v>
      </c>
      <c r="K24" s="59">
        <f aca="true" t="shared" si="11" ref="K24:K30">J24/I24*100</f>
        <v>113.17192509508764</v>
      </c>
      <c r="L24" s="60">
        <f aca="true" t="shared" si="12" ref="L24:L32">J24/H24*100</f>
        <v>29.995674555657864</v>
      </c>
      <c r="M24" s="61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</row>
    <row r="25" spans="1:34" ht="15.75" customHeight="1">
      <c r="A25" s="128" t="s">
        <v>34</v>
      </c>
      <c r="B25" s="128"/>
      <c r="C25" s="128"/>
      <c r="D25" s="128"/>
      <c r="E25" s="128"/>
      <c r="F25" s="128"/>
      <c r="G25" s="25">
        <v>43177526.81</v>
      </c>
      <c r="H25" s="25">
        <v>46600900</v>
      </c>
      <c r="I25" s="62">
        <v>11405072.98</v>
      </c>
      <c r="J25" s="25">
        <v>12920528.58</v>
      </c>
      <c r="K25" s="63">
        <f t="shared" si="11"/>
        <v>113.28755723578017</v>
      </c>
      <c r="L25" s="17">
        <f t="shared" si="12"/>
        <v>27.725920701102343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ht="26.25" customHeight="1">
      <c r="A26" s="131" t="s">
        <v>35</v>
      </c>
      <c r="B26" s="131"/>
      <c r="C26" s="131"/>
      <c r="D26" s="131"/>
      <c r="E26" s="131"/>
      <c r="F26" s="131"/>
      <c r="G26" s="25">
        <v>2980716.68</v>
      </c>
      <c r="H26" s="25">
        <v>3061200</v>
      </c>
      <c r="I26" s="62">
        <v>884114.9</v>
      </c>
      <c r="J26" s="25">
        <v>1087981.98</v>
      </c>
      <c r="K26" s="63">
        <f t="shared" si="11"/>
        <v>123.05888974385569</v>
      </c>
      <c r="L26" s="17">
        <f t="shared" si="12"/>
        <v>35.541029008232066</v>
      </c>
      <c r="M26" s="61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ht="13.5" customHeight="1">
      <c r="A27" s="128" t="s">
        <v>36</v>
      </c>
      <c r="B27" s="128"/>
      <c r="C27" s="128"/>
      <c r="D27" s="128"/>
      <c r="E27" s="128"/>
      <c r="F27" s="128"/>
      <c r="G27" s="25">
        <v>5051355.71</v>
      </c>
      <c r="H27" s="25">
        <v>7360000</v>
      </c>
      <c r="I27" s="62">
        <v>2752495.6</v>
      </c>
      <c r="J27" s="25">
        <v>1898057.24</v>
      </c>
      <c r="K27" s="63">
        <f t="shared" si="11"/>
        <v>68.95768480065871</v>
      </c>
      <c r="L27" s="17">
        <f t="shared" si="12"/>
        <v>25.788821195652172</v>
      </c>
      <c r="M27" s="61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ht="15" customHeight="1">
      <c r="A28" s="128" t="s">
        <v>37</v>
      </c>
      <c r="B28" s="128"/>
      <c r="C28" s="128"/>
      <c r="D28" s="128"/>
      <c r="E28" s="128"/>
      <c r="F28" s="128"/>
      <c r="G28" s="25">
        <v>1982155.87</v>
      </c>
      <c r="H28" s="25">
        <v>1883000</v>
      </c>
      <c r="I28" s="64">
        <v>952870.1</v>
      </c>
      <c r="J28" s="25">
        <v>2199555.96</v>
      </c>
      <c r="K28" s="63">
        <f t="shared" si="11"/>
        <v>230.834817883361</v>
      </c>
      <c r="L28" s="17">
        <f t="shared" si="12"/>
        <v>116.8112565055762</v>
      </c>
      <c r="M28" s="6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ht="27" customHeight="1">
      <c r="A29" s="131" t="s">
        <v>38</v>
      </c>
      <c r="B29" s="131"/>
      <c r="C29" s="131"/>
      <c r="D29" s="131"/>
      <c r="E29" s="131"/>
      <c r="F29" s="131"/>
      <c r="G29" s="25">
        <v>45594.63</v>
      </c>
      <c r="H29" s="25">
        <v>230000</v>
      </c>
      <c r="I29" s="62">
        <v>37709.91</v>
      </c>
      <c r="J29" s="25">
        <v>15241.01</v>
      </c>
      <c r="K29" s="63">
        <f t="shared" si="11"/>
        <v>40.41645816709718</v>
      </c>
      <c r="L29" s="17">
        <f t="shared" si="12"/>
        <v>6.626526086956522</v>
      </c>
      <c r="M29" s="61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3.5" customHeight="1">
      <c r="A30" s="128" t="s">
        <v>39</v>
      </c>
      <c r="B30" s="128"/>
      <c r="C30" s="128"/>
      <c r="D30" s="128"/>
      <c r="E30" s="128"/>
      <c r="F30" s="128"/>
      <c r="G30" s="25">
        <v>1457777.18</v>
      </c>
      <c r="H30" s="25">
        <v>1550000</v>
      </c>
      <c r="I30" s="62">
        <v>141122.08</v>
      </c>
      <c r="J30" s="25">
        <v>156147.94</v>
      </c>
      <c r="K30" s="63">
        <f t="shared" si="11"/>
        <v>110.6474195958563</v>
      </c>
      <c r="L30" s="17">
        <f t="shared" si="12"/>
        <v>10.07406064516129</v>
      </c>
      <c r="M30" s="61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6.5" customHeight="1">
      <c r="A31" s="128" t="s">
        <v>40</v>
      </c>
      <c r="B31" s="128"/>
      <c r="C31" s="128"/>
      <c r="D31" s="128"/>
      <c r="E31" s="128"/>
      <c r="F31" s="128"/>
      <c r="G31" s="25">
        <v>668270</v>
      </c>
      <c r="H31" s="25">
        <v>700000</v>
      </c>
      <c r="I31" s="62"/>
      <c r="J31" s="25"/>
      <c r="K31" s="63"/>
      <c r="L31" s="17">
        <f t="shared" si="12"/>
        <v>0</v>
      </c>
      <c r="M31" s="6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34" ht="14.25" customHeight="1">
      <c r="A32" s="128" t="s">
        <v>41</v>
      </c>
      <c r="B32" s="128"/>
      <c r="C32" s="128"/>
      <c r="D32" s="128"/>
      <c r="E32" s="128"/>
      <c r="F32" s="128"/>
      <c r="G32" s="25">
        <v>1689866.68</v>
      </c>
      <c r="H32" s="25">
        <v>1500000</v>
      </c>
      <c r="I32" s="62">
        <v>494007.8</v>
      </c>
      <c r="J32" s="25">
        <v>585297.23</v>
      </c>
      <c r="K32" s="63">
        <f>J32/I32*100</f>
        <v>118.47934992119558</v>
      </c>
      <c r="L32" s="17">
        <f t="shared" si="12"/>
        <v>39.01981533333333</v>
      </c>
      <c r="M32" s="61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</row>
    <row r="33" spans="1:34" ht="12.75" customHeight="1">
      <c r="A33" s="128" t="s">
        <v>42</v>
      </c>
      <c r="B33" s="128"/>
      <c r="C33" s="128"/>
      <c r="D33" s="128"/>
      <c r="E33" s="128"/>
      <c r="F33" s="128"/>
      <c r="G33" s="25"/>
      <c r="H33" s="25"/>
      <c r="I33" s="25"/>
      <c r="J33" s="25"/>
      <c r="K33" s="63"/>
      <c r="L33" s="17"/>
      <c r="M33" s="61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ht="15" customHeight="1">
      <c r="A34" s="130" t="s">
        <v>43</v>
      </c>
      <c r="B34" s="130"/>
      <c r="C34" s="130"/>
      <c r="D34" s="130"/>
      <c r="E34" s="130"/>
      <c r="F34" s="130"/>
      <c r="G34" s="33">
        <f>G35+G36+G37+G38+G39+G40+G41+G42+G43+G44+G45+G46</f>
        <v>11056443.780000001</v>
      </c>
      <c r="H34" s="33">
        <f>H35+H36+H37+H38+H39+H40+H41+H42+H43+H44+H45+H46</f>
        <v>10528800</v>
      </c>
      <c r="I34" s="33">
        <f>I35+I36+I37+I38+I39+I40+I41+I42+I43+I44+I45+I46</f>
        <v>3177279.059999999</v>
      </c>
      <c r="J34" s="33">
        <f>J35+J36+J37+J38+J39+J40+J41+J42+J43+J44+J45+J46</f>
        <v>3277771.6099999994</v>
      </c>
      <c r="K34" s="65">
        <f aca="true" t="shared" si="13" ref="K34:K39">J34/I34*100</f>
        <v>103.16284934695035</v>
      </c>
      <c r="L34" s="21">
        <f aca="true" t="shared" si="14" ref="L34:L39">J34/H34*100</f>
        <v>31.131483264949466</v>
      </c>
      <c r="M34" s="61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ht="23.25" customHeight="1">
      <c r="A35" s="129" t="s">
        <v>44</v>
      </c>
      <c r="B35" s="129"/>
      <c r="C35" s="129"/>
      <c r="D35" s="129"/>
      <c r="E35" s="129"/>
      <c r="F35" s="129"/>
      <c r="G35" s="25">
        <v>21437.67</v>
      </c>
      <c r="H35" s="25">
        <v>5000</v>
      </c>
      <c r="I35" s="62">
        <v>21437.67</v>
      </c>
      <c r="J35" s="25">
        <v>3490</v>
      </c>
      <c r="K35" s="63">
        <f t="shared" si="13"/>
        <v>16.27975428299811</v>
      </c>
      <c r="L35" s="17">
        <f t="shared" si="14"/>
        <v>69.8</v>
      </c>
      <c r="M35" s="61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ht="14.25" customHeight="1">
      <c r="A36" s="128" t="s">
        <v>45</v>
      </c>
      <c r="B36" s="128"/>
      <c r="C36" s="128"/>
      <c r="D36" s="128"/>
      <c r="E36" s="128"/>
      <c r="F36" s="128"/>
      <c r="G36" s="25">
        <v>6208678.23</v>
      </c>
      <c r="H36" s="25">
        <v>5341000</v>
      </c>
      <c r="I36" s="62">
        <v>1948539.43</v>
      </c>
      <c r="J36" s="25">
        <v>2099895.78</v>
      </c>
      <c r="K36" s="63">
        <f t="shared" si="13"/>
        <v>107.7676821761826</v>
      </c>
      <c r="L36" s="17">
        <f t="shared" si="14"/>
        <v>39.31652836547463</v>
      </c>
      <c r="M36" s="61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ht="17.25" customHeight="1">
      <c r="A37" s="128" t="s">
        <v>46</v>
      </c>
      <c r="B37" s="128"/>
      <c r="C37" s="128"/>
      <c r="D37" s="128"/>
      <c r="E37" s="128"/>
      <c r="F37" s="128"/>
      <c r="G37" s="25">
        <v>297056.63</v>
      </c>
      <c r="H37" s="25">
        <v>334000</v>
      </c>
      <c r="I37" s="62">
        <v>64576.45</v>
      </c>
      <c r="J37" s="25">
        <v>186625.19</v>
      </c>
      <c r="K37" s="63">
        <f t="shared" si="13"/>
        <v>288.9988378116171</v>
      </c>
      <c r="L37" s="17">
        <f t="shared" si="14"/>
        <v>55.875805389221554</v>
      </c>
      <c r="M37" s="61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ht="14.25" customHeight="1">
      <c r="A38" s="128" t="s">
        <v>47</v>
      </c>
      <c r="B38" s="128"/>
      <c r="C38" s="128"/>
      <c r="D38" s="128"/>
      <c r="E38" s="128"/>
      <c r="F38" s="128"/>
      <c r="G38" s="25">
        <v>125947.78</v>
      </c>
      <c r="H38" s="25">
        <v>130000</v>
      </c>
      <c r="I38" s="62">
        <v>72593.65</v>
      </c>
      <c r="J38" s="25">
        <v>32768.76</v>
      </c>
      <c r="K38" s="63">
        <f t="shared" si="13"/>
        <v>45.13998125180371</v>
      </c>
      <c r="L38" s="17">
        <f t="shared" si="14"/>
        <v>25.206738461538464</v>
      </c>
      <c r="M38" s="61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5.75" customHeight="1">
      <c r="A39" s="128" t="s">
        <v>48</v>
      </c>
      <c r="B39" s="128"/>
      <c r="C39" s="128"/>
      <c r="D39" s="128"/>
      <c r="E39" s="128"/>
      <c r="F39" s="128"/>
      <c r="G39" s="25">
        <v>2031561</v>
      </c>
      <c r="H39" s="25">
        <v>1968800</v>
      </c>
      <c r="I39" s="62">
        <v>522401.4</v>
      </c>
      <c r="J39" s="25">
        <v>435334.5</v>
      </c>
      <c r="K39" s="63">
        <f t="shared" si="13"/>
        <v>83.33333333333333</v>
      </c>
      <c r="L39" s="17">
        <f t="shared" si="14"/>
        <v>22.111667005282406</v>
      </c>
      <c r="M39" s="61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ht="36" customHeight="1">
      <c r="A40" s="129" t="s">
        <v>49</v>
      </c>
      <c r="B40" s="129"/>
      <c r="C40" s="129"/>
      <c r="D40" s="129"/>
      <c r="E40" s="129"/>
      <c r="F40" s="129"/>
      <c r="G40" s="25">
        <v>70903.3</v>
      </c>
      <c r="H40" s="25"/>
      <c r="I40" s="62">
        <v>3596.11</v>
      </c>
      <c r="J40" s="25"/>
      <c r="K40" s="63">
        <v>0</v>
      </c>
      <c r="L40" s="17"/>
      <c r="M40" s="61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25.5" customHeight="1">
      <c r="A41" s="129" t="s">
        <v>50</v>
      </c>
      <c r="B41" s="129"/>
      <c r="C41" s="129"/>
      <c r="D41" s="129"/>
      <c r="E41" s="129"/>
      <c r="F41" s="129"/>
      <c r="G41" s="25">
        <v>29772.53</v>
      </c>
      <c r="H41" s="25"/>
      <c r="I41" s="62">
        <v>19954.58</v>
      </c>
      <c r="J41" s="25">
        <v>141668.22</v>
      </c>
      <c r="K41" s="63">
        <f>J41/100</f>
        <v>1416.6822</v>
      </c>
      <c r="L41" s="17">
        <v>0</v>
      </c>
      <c r="M41" s="61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15.75" customHeight="1">
      <c r="A42" s="128" t="s">
        <v>51</v>
      </c>
      <c r="B42" s="128"/>
      <c r="C42" s="128"/>
      <c r="D42" s="128"/>
      <c r="E42" s="128"/>
      <c r="F42" s="128"/>
      <c r="G42" s="25">
        <v>655470</v>
      </c>
      <c r="H42" s="25">
        <v>1000000</v>
      </c>
      <c r="I42" s="62">
        <v>76271</v>
      </c>
      <c r="J42" s="25">
        <v>68622</v>
      </c>
      <c r="K42" s="63">
        <f>J42/I42*100</f>
        <v>89.97128659647835</v>
      </c>
      <c r="L42" s="17">
        <f>J42/H42*100</f>
        <v>6.8622000000000005</v>
      </c>
      <c r="M42" s="61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5" customHeight="1">
      <c r="A43" s="128" t="s">
        <v>52</v>
      </c>
      <c r="B43" s="128"/>
      <c r="C43" s="128"/>
      <c r="D43" s="128"/>
      <c r="E43" s="128"/>
      <c r="F43" s="128"/>
      <c r="G43" s="25">
        <v>298339.99</v>
      </c>
      <c r="H43" s="25">
        <v>350000</v>
      </c>
      <c r="I43" s="62">
        <v>71966.07</v>
      </c>
      <c r="J43" s="25">
        <v>21824.36</v>
      </c>
      <c r="K43" s="63">
        <f>J43/I43*100</f>
        <v>30.325902192519333</v>
      </c>
      <c r="L43" s="17">
        <f>J43/H43*100</f>
        <v>6.235531428571429</v>
      </c>
      <c r="M43" s="61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 ht="13.5" customHeight="1">
      <c r="A44" s="128" t="s">
        <v>53</v>
      </c>
      <c r="B44" s="128"/>
      <c r="C44" s="128"/>
      <c r="D44" s="128"/>
      <c r="E44" s="128"/>
      <c r="F44" s="128"/>
      <c r="G44" s="25">
        <v>1283276.65</v>
      </c>
      <c r="H44" s="25">
        <v>1400000</v>
      </c>
      <c r="I44" s="62">
        <v>374307.26</v>
      </c>
      <c r="J44" s="25">
        <v>287194.98</v>
      </c>
      <c r="K44" s="63">
        <f>J44/I44*100</f>
        <v>76.72706642131386</v>
      </c>
      <c r="L44" s="17">
        <f>J44/H44*100</f>
        <v>20.513927142857142</v>
      </c>
      <c r="M44" s="61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 ht="15.75" customHeight="1">
      <c r="A45" s="128" t="s">
        <v>54</v>
      </c>
      <c r="B45" s="128"/>
      <c r="C45" s="128"/>
      <c r="D45" s="128"/>
      <c r="E45" s="128"/>
      <c r="F45" s="128"/>
      <c r="G45" s="25">
        <v>34000</v>
      </c>
      <c r="H45" s="25"/>
      <c r="I45" s="62">
        <v>1635.44</v>
      </c>
      <c r="J45" s="25">
        <v>347.82</v>
      </c>
      <c r="K45" s="63">
        <f>J45/I45*100</f>
        <v>21.267671085457124</v>
      </c>
      <c r="L45" s="17"/>
      <c r="M45" s="61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13" ht="12.75" customHeight="1">
      <c r="A46" s="129" t="s">
        <v>55</v>
      </c>
      <c r="B46" s="129"/>
      <c r="C46" s="129"/>
      <c r="D46" s="129"/>
      <c r="E46" s="129"/>
      <c r="F46" s="129"/>
      <c r="G46" s="25"/>
      <c r="H46" s="25"/>
      <c r="I46" s="62"/>
      <c r="J46" s="25"/>
      <c r="K46" s="63"/>
      <c r="L46" s="17"/>
      <c r="M46" s="66"/>
    </row>
    <row r="47" spans="1:13" ht="14.25" customHeight="1">
      <c r="A47" s="130" t="s">
        <v>56</v>
      </c>
      <c r="B47" s="130"/>
      <c r="C47" s="130"/>
      <c r="D47" s="130"/>
      <c r="E47" s="130"/>
      <c r="F47" s="130"/>
      <c r="G47" s="67">
        <f>G24+G34</f>
        <v>68109707.34</v>
      </c>
      <c r="H47" s="33">
        <f>H24+H34</f>
        <v>73413900</v>
      </c>
      <c r="I47" s="33">
        <f>I24+I34</f>
        <v>19844672.43</v>
      </c>
      <c r="J47" s="33">
        <f>J24+J34</f>
        <v>22140581.550000004</v>
      </c>
      <c r="K47" s="65">
        <f>J47/I47*100</f>
        <v>111.56939792328939</v>
      </c>
      <c r="L47" s="21">
        <f>J47/H47*100</f>
        <v>30.15856881326289</v>
      </c>
      <c r="M47" s="66"/>
    </row>
  </sheetData>
  <sheetProtection selectLockedCells="1" selectUnlockedCells="1"/>
  <mergeCells count="55">
    <mergeCell ref="B3:AC3"/>
    <mergeCell ref="A5:C9"/>
    <mergeCell ref="D5:F8"/>
    <mergeCell ref="G5:G9"/>
    <mergeCell ref="H5:AA5"/>
    <mergeCell ref="AB5:AD8"/>
    <mergeCell ref="H8:H9"/>
    <mergeCell ref="I8:J8"/>
    <mergeCell ref="K8:L8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30"/>
  <sheetViews>
    <sheetView tabSelected="1" zoomScale="88" zoomScaleNormal="88" workbookViewId="0" topLeftCell="A1">
      <pane xSplit="3" topLeftCell="H1" activePane="topRight" state="frozen"/>
      <selection pane="topLeft" activeCell="A1" sqref="A1"/>
      <selection pane="topRight" activeCell="W11" sqref="W11"/>
    </sheetView>
  </sheetViews>
  <sheetFormatPr defaultColWidth="9.140625" defaultRowHeight="12.75"/>
  <cols>
    <col min="1" max="1" width="20.28125" style="0" customWidth="1"/>
    <col min="2" max="2" width="13.28125" style="0" customWidth="1"/>
    <col min="3" max="3" width="12.28125" style="0" customWidth="1"/>
    <col min="4" max="4" width="5.7109375" style="0" customWidth="1"/>
    <col min="5" max="5" width="8.8515625" style="0" customWidth="1"/>
    <col min="6" max="6" width="10.7109375" style="0" customWidth="1"/>
    <col min="7" max="7" width="10.421875" style="0" customWidth="1"/>
    <col min="8" max="8" width="7.57421875" style="0" customWidth="1"/>
    <col min="9" max="9" width="7.7109375" style="0" customWidth="1"/>
    <col min="10" max="10" width="9.00390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10.8515625" style="0" customWidth="1"/>
    <col min="17" max="17" width="9.7109375" style="0" customWidth="1"/>
    <col min="18" max="18" width="10.00390625" style="0" customWidth="1"/>
    <col min="19" max="19" width="6.140625" style="0" customWidth="1"/>
    <col min="20" max="20" width="9.57421875" style="0" customWidth="1"/>
    <col min="21" max="22" width="10.140625" style="0" customWidth="1"/>
    <col min="23" max="23" width="7.8515625" style="0" customWidth="1"/>
    <col min="24" max="24" width="6.7109375" style="0" customWidth="1"/>
    <col min="25" max="25" width="9.421875" style="0" customWidth="1"/>
    <col min="26" max="26" width="10.7109375" style="0" customWidth="1"/>
    <col min="27" max="27" width="11.421875" style="0" customWidth="1"/>
    <col min="28" max="28" width="7.28125" style="0" customWidth="1"/>
    <col min="29" max="29" width="7.003906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1.28125" style="0" customWidth="1"/>
    <col min="36" max="36" width="10.421875" style="0" customWidth="1"/>
    <col min="37" max="38" width="10.281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0039062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9.42187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9.710937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8.851562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68"/>
      <c r="AK3" s="68"/>
      <c r="AL3" s="68"/>
      <c r="AM3" s="68"/>
      <c r="AN3" s="69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</row>
    <row r="6" spans="1:89" ht="12.75" customHeight="1">
      <c r="A6" s="144" t="s">
        <v>57</v>
      </c>
      <c r="B6" s="147" t="s">
        <v>1</v>
      </c>
      <c r="C6" s="147"/>
      <c r="D6" s="147"/>
      <c r="E6" s="138" t="s">
        <v>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</row>
    <row r="7" spans="1:89" ht="72" customHeight="1">
      <c r="A7" s="144"/>
      <c r="B7" s="147"/>
      <c r="C7" s="147"/>
      <c r="D7" s="147"/>
      <c r="E7" s="143" t="s">
        <v>58</v>
      </c>
      <c r="F7" s="143"/>
      <c r="G7" s="143"/>
      <c r="H7" s="143"/>
      <c r="I7" s="143"/>
      <c r="J7" s="143" t="s">
        <v>59</v>
      </c>
      <c r="K7" s="143"/>
      <c r="L7" s="143"/>
      <c r="M7" s="143"/>
      <c r="N7" s="143"/>
      <c r="O7" s="143" t="s">
        <v>37</v>
      </c>
      <c r="P7" s="143"/>
      <c r="Q7" s="143"/>
      <c r="R7" s="143"/>
      <c r="S7" s="143"/>
      <c r="T7" s="144" t="s">
        <v>60</v>
      </c>
      <c r="U7" s="144"/>
      <c r="V7" s="144"/>
      <c r="W7" s="144"/>
      <c r="X7" s="144"/>
      <c r="Y7" s="144" t="s">
        <v>61</v>
      </c>
      <c r="Z7" s="144"/>
      <c r="AA7" s="144"/>
      <c r="AB7" s="144"/>
      <c r="AC7" s="144"/>
      <c r="AD7" s="143" t="s">
        <v>62</v>
      </c>
      <c r="AE7" s="143"/>
      <c r="AF7" s="143"/>
      <c r="AG7" s="143"/>
      <c r="AH7" s="143"/>
      <c r="AI7" s="143" t="s">
        <v>63</v>
      </c>
      <c r="AJ7" s="143"/>
      <c r="AK7" s="143"/>
      <c r="AL7" s="143"/>
      <c r="AM7" s="143"/>
      <c r="AN7" s="143" t="s">
        <v>64</v>
      </c>
      <c r="AO7" s="143"/>
      <c r="AP7" s="143"/>
      <c r="AQ7" s="143"/>
      <c r="AR7" s="143"/>
      <c r="AS7" s="143" t="s">
        <v>65</v>
      </c>
      <c r="AT7" s="143"/>
      <c r="AU7" s="143"/>
      <c r="AV7" s="143"/>
      <c r="AW7" s="143"/>
      <c r="AX7" s="143" t="s">
        <v>66</v>
      </c>
      <c r="AY7" s="143"/>
      <c r="AZ7" s="143"/>
      <c r="BA7" s="143"/>
      <c r="BB7" s="143"/>
      <c r="BC7" s="143" t="s">
        <v>98</v>
      </c>
      <c r="BD7" s="143"/>
      <c r="BE7" s="143"/>
      <c r="BF7" s="143"/>
      <c r="BG7" s="143"/>
      <c r="BH7" s="143" t="s">
        <v>99</v>
      </c>
      <c r="BI7" s="143"/>
      <c r="BJ7" s="143"/>
      <c r="BK7" s="143"/>
      <c r="BL7" s="143"/>
      <c r="BM7" s="143" t="s">
        <v>67</v>
      </c>
      <c r="BN7" s="143"/>
      <c r="BO7" s="143"/>
      <c r="BP7" s="143"/>
      <c r="BQ7" s="143"/>
      <c r="BR7" s="143" t="s">
        <v>68</v>
      </c>
      <c r="BS7" s="143"/>
      <c r="BT7" s="143"/>
      <c r="BU7" s="143"/>
      <c r="BV7" s="143"/>
      <c r="BW7" s="145" t="s">
        <v>69</v>
      </c>
      <c r="BX7" s="145"/>
      <c r="BY7" s="145"/>
      <c r="BZ7" s="145"/>
      <c r="CA7" s="145"/>
      <c r="CB7" s="143" t="s">
        <v>70</v>
      </c>
      <c r="CC7" s="143"/>
      <c r="CD7" s="143"/>
      <c r="CE7" s="143"/>
      <c r="CF7" s="143"/>
      <c r="CG7" s="143" t="s">
        <v>54</v>
      </c>
      <c r="CH7" s="143"/>
      <c r="CI7" s="143"/>
      <c r="CJ7" s="143"/>
      <c r="CK7" s="143"/>
    </row>
    <row r="8" spans="1:89" ht="26.25" customHeight="1">
      <c r="A8" s="144"/>
      <c r="B8" s="143" t="s">
        <v>71</v>
      </c>
      <c r="C8" s="143" t="s">
        <v>15</v>
      </c>
      <c r="D8" s="71"/>
      <c r="E8" s="145" t="s">
        <v>71</v>
      </c>
      <c r="F8" s="143" t="s">
        <v>15</v>
      </c>
      <c r="G8" s="143"/>
      <c r="H8" s="143" t="s">
        <v>72</v>
      </c>
      <c r="I8" s="143"/>
      <c r="J8" s="145" t="s">
        <v>71</v>
      </c>
      <c r="K8" s="143" t="s">
        <v>15</v>
      </c>
      <c r="L8" s="143"/>
      <c r="M8" s="143" t="s">
        <v>72</v>
      </c>
      <c r="N8" s="143"/>
      <c r="O8" s="145" t="s">
        <v>71</v>
      </c>
      <c r="P8" s="143" t="s">
        <v>15</v>
      </c>
      <c r="Q8" s="143"/>
      <c r="R8" s="143" t="s">
        <v>72</v>
      </c>
      <c r="S8" s="143"/>
      <c r="T8" s="145" t="s">
        <v>71</v>
      </c>
      <c r="U8" s="143" t="s">
        <v>15</v>
      </c>
      <c r="V8" s="143"/>
      <c r="W8" s="143" t="s">
        <v>72</v>
      </c>
      <c r="X8" s="143"/>
      <c r="Y8" s="143" t="s">
        <v>71</v>
      </c>
      <c r="Z8" s="143" t="s">
        <v>15</v>
      </c>
      <c r="AA8" s="143"/>
      <c r="AB8" s="144" t="s">
        <v>72</v>
      </c>
      <c r="AC8" s="144"/>
      <c r="AD8" s="143" t="s">
        <v>71</v>
      </c>
      <c r="AE8" s="143" t="s">
        <v>15</v>
      </c>
      <c r="AF8" s="143"/>
      <c r="AG8" s="144" t="s">
        <v>72</v>
      </c>
      <c r="AH8" s="144"/>
      <c r="AI8" s="143" t="s">
        <v>71</v>
      </c>
      <c r="AJ8" s="143" t="s">
        <v>15</v>
      </c>
      <c r="AK8" s="143"/>
      <c r="AL8" s="144" t="s">
        <v>72</v>
      </c>
      <c r="AM8" s="144"/>
      <c r="AN8" s="143" t="s">
        <v>71</v>
      </c>
      <c r="AO8" s="143" t="s">
        <v>15</v>
      </c>
      <c r="AP8" s="143"/>
      <c r="AQ8" s="144" t="s">
        <v>72</v>
      </c>
      <c r="AR8" s="144"/>
      <c r="AS8" s="143" t="s">
        <v>71</v>
      </c>
      <c r="AT8" s="143" t="s">
        <v>15</v>
      </c>
      <c r="AU8" s="143"/>
      <c r="AV8" s="144" t="s">
        <v>72</v>
      </c>
      <c r="AW8" s="144"/>
      <c r="AX8" s="143" t="s">
        <v>71</v>
      </c>
      <c r="AY8" s="143" t="s">
        <v>15</v>
      </c>
      <c r="AZ8" s="143"/>
      <c r="BA8" s="144" t="s">
        <v>72</v>
      </c>
      <c r="BB8" s="144"/>
      <c r="BC8" s="143" t="s">
        <v>71</v>
      </c>
      <c r="BD8" s="143" t="s">
        <v>15</v>
      </c>
      <c r="BE8" s="143"/>
      <c r="BF8" s="144" t="s">
        <v>72</v>
      </c>
      <c r="BG8" s="144"/>
      <c r="BH8" s="143" t="s">
        <v>71</v>
      </c>
      <c r="BI8" s="143" t="s">
        <v>15</v>
      </c>
      <c r="BJ8" s="143"/>
      <c r="BK8" s="144" t="s">
        <v>72</v>
      </c>
      <c r="BL8" s="144"/>
      <c r="BM8" s="143" t="s">
        <v>71</v>
      </c>
      <c r="BN8" s="143" t="s">
        <v>15</v>
      </c>
      <c r="BO8" s="143"/>
      <c r="BP8" s="144" t="s">
        <v>72</v>
      </c>
      <c r="BQ8" s="144"/>
      <c r="BR8" s="143" t="s">
        <v>71</v>
      </c>
      <c r="BS8" s="143" t="s">
        <v>15</v>
      </c>
      <c r="BT8" s="143"/>
      <c r="BU8" s="144" t="s">
        <v>72</v>
      </c>
      <c r="BV8" s="144"/>
      <c r="BW8" s="143" t="s">
        <v>71</v>
      </c>
      <c r="BX8" s="143" t="s">
        <v>15</v>
      </c>
      <c r="BY8" s="143"/>
      <c r="BZ8" s="144" t="s">
        <v>72</v>
      </c>
      <c r="CA8" s="144"/>
      <c r="CB8" s="143" t="s">
        <v>71</v>
      </c>
      <c r="CC8" s="143" t="s">
        <v>15</v>
      </c>
      <c r="CD8" s="143"/>
      <c r="CE8" s="144" t="s">
        <v>72</v>
      </c>
      <c r="CF8" s="144"/>
      <c r="CG8" s="143" t="s">
        <v>71</v>
      </c>
      <c r="CH8" s="143" t="s">
        <v>15</v>
      </c>
      <c r="CI8" s="143"/>
      <c r="CJ8" s="144" t="s">
        <v>72</v>
      </c>
      <c r="CK8" s="144"/>
    </row>
    <row r="9" spans="1:89" ht="66" customHeight="1">
      <c r="A9" s="144"/>
      <c r="B9" s="143"/>
      <c r="C9" s="143"/>
      <c r="D9" s="72" t="s">
        <v>73</v>
      </c>
      <c r="E9" s="145"/>
      <c r="F9" s="13" t="s">
        <v>93</v>
      </c>
      <c r="G9" s="11" t="s">
        <v>94</v>
      </c>
      <c r="H9" s="11" t="s">
        <v>95</v>
      </c>
      <c r="I9" s="11" t="s">
        <v>96</v>
      </c>
      <c r="J9" s="145"/>
      <c r="K9" s="13" t="s">
        <v>93</v>
      </c>
      <c r="L9" s="11" t="s">
        <v>94</v>
      </c>
      <c r="M9" s="11" t="s">
        <v>95</v>
      </c>
      <c r="N9" s="11" t="s">
        <v>96</v>
      </c>
      <c r="O9" s="145"/>
      <c r="P9" s="13" t="s">
        <v>93</v>
      </c>
      <c r="Q9" s="11" t="s">
        <v>94</v>
      </c>
      <c r="R9" s="11" t="s">
        <v>95</v>
      </c>
      <c r="S9" s="11" t="s">
        <v>96</v>
      </c>
      <c r="T9" s="145"/>
      <c r="U9" s="13" t="s">
        <v>93</v>
      </c>
      <c r="V9" s="11" t="s">
        <v>94</v>
      </c>
      <c r="W9" s="11" t="s">
        <v>95</v>
      </c>
      <c r="X9" s="11" t="s">
        <v>96</v>
      </c>
      <c r="Y9" s="143"/>
      <c r="Z9" s="13" t="s">
        <v>93</v>
      </c>
      <c r="AA9" s="11" t="s">
        <v>94</v>
      </c>
      <c r="AB9" s="11" t="s">
        <v>95</v>
      </c>
      <c r="AC9" s="11" t="s">
        <v>96</v>
      </c>
      <c r="AD9" s="143"/>
      <c r="AE9" s="13" t="s">
        <v>93</v>
      </c>
      <c r="AF9" s="11" t="s">
        <v>94</v>
      </c>
      <c r="AG9" s="11" t="s">
        <v>95</v>
      </c>
      <c r="AH9" s="11" t="s">
        <v>96</v>
      </c>
      <c r="AI9" s="143"/>
      <c r="AJ9" s="13" t="s">
        <v>93</v>
      </c>
      <c r="AK9" s="11" t="s">
        <v>94</v>
      </c>
      <c r="AL9" s="11" t="s">
        <v>95</v>
      </c>
      <c r="AM9" s="11" t="s">
        <v>96</v>
      </c>
      <c r="AN9" s="143"/>
      <c r="AO9" s="13" t="s">
        <v>93</v>
      </c>
      <c r="AP9" s="11" t="s">
        <v>94</v>
      </c>
      <c r="AQ9" s="11" t="s">
        <v>95</v>
      </c>
      <c r="AR9" s="11" t="s">
        <v>96</v>
      </c>
      <c r="AS9" s="143"/>
      <c r="AT9" s="13" t="s">
        <v>93</v>
      </c>
      <c r="AU9" s="11" t="s">
        <v>94</v>
      </c>
      <c r="AV9" s="11" t="s">
        <v>95</v>
      </c>
      <c r="AW9" s="11" t="s">
        <v>96</v>
      </c>
      <c r="AX9" s="143"/>
      <c r="AY9" s="13" t="s">
        <v>93</v>
      </c>
      <c r="AZ9" s="11" t="s">
        <v>94</v>
      </c>
      <c r="BA9" s="11" t="s">
        <v>95</v>
      </c>
      <c r="BB9" s="11" t="s">
        <v>96</v>
      </c>
      <c r="BC9" s="143"/>
      <c r="BD9" s="13" t="s">
        <v>93</v>
      </c>
      <c r="BE9" s="11" t="s">
        <v>94</v>
      </c>
      <c r="BF9" s="11" t="s">
        <v>95</v>
      </c>
      <c r="BG9" s="11" t="s">
        <v>96</v>
      </c>
      <c r="BH9" s="143"/>
      <c r="BI9" s="13" t="s">
        <v>93</v>
      </c>
      <c r="BJ9" s="11" t="s">
        <v>94</v>
      </c>
      <c r="BK9" s="11" t="s">
        <v>95</v>
      </c>
      <c r="BL9" s="11" t="s">
        <v>96</v>
      </c>
      <c r="BM9" s="143"/>
      <c r="BN9" s="13" t="s">
        <v>93</v>
      </c>
      <c r="BO9" s="11" t="s">
        <v>94</v>
      </c>
      <c r="BP9" s="11" t="s">
        <v>95</v>
      </c>
      <c r="BQ9" s="11" t="s">
        <v>96</v>
      </c>
      <c r="BR9" s="143"/>
      <c r="BS9" s="13" t="s">
        <v>93</v>
      </c>
      <c r="BT9" s="11" t="s">
        <v>94</v>
      </c>
      <c r="BU9" s="11" t="s">
        <v>95</v>
      </c>
      <c r="BV9" s="11" t="s">
        <v>96</v>
      </c>
      <c r="BW9" s="143"/>
      <c r="BX9" s="13" t="s">
        <v>93</v>
      </c>
      <c r="BY9" s="11" t="s">
        <v>94</v>
      </c>
      <c r="BZ9" s="11" t="s">
        <v>95</v>
      </c>
      <c r="CA9" s="11" t="s">
        <v>96</v>
      </c>
      <c r="CB9" s="143"/>
      <c r="CC9" s="13" t="s">
        <v>93</v>
      </c>
      <c r="CD9" s="11" t="s">
        <v>94</v>
      </c>
      <c r="CE9" s="11" t="s">
        <v>95</v>
      </c>
      <c r="CF9" s="11" t="s">
        <v>96</v>
      </c>
      <c r="CG9" s="143"/>
      <c r="CH9" s="13" t="s">
        <v>93</v>
      </c>
      <c r="CI9" s="11" t="s">
        <v>94</v>
      </c>
      <c r="CJ9" s="11" t="s">
        <v>95</v>
      </c>
      <c r="CK9" s="11" t="s">
        <v>96</v>
      </c>
    </row>
    <row r="10" spans="1:89" s="85" customFormat="1" ht="25.5" customHeight="1">
      <c r="A10" s="73" t="s">
        <v>74</v>
      </c>
      <c r="B10" s="18">
        <f aca="true" t="shared" si="0" ref="B10:B16">E10+O10+T10+Y10+AD10+AI10+AN10+BC10+BM10+CG10+J10+AS10+BR10+BW10+CB10+BH10</f>
        <v>1344000</v>
      </c>
      <c r="C10" s="18">
        <f aca="true" t="shared" si="1" ref="C10:C16">G10+L10+Q10+V10+AA10+AK10+AP10+BE10+BO10+BT10+BY10+CD10+CI10+AF10+BJ10</f>
        <v>316830.18</v>
      </c>
      <c r="D10" s="74">
        <f aca="true" t="shared" si="2" ref="D10:D19">C10/B10*100</f>
        <v>23.573674107142857</v>
      </c>
      <c r="E10" s="75">
        <v>25500</v>
      </c>
      <c r="F10" s="62">
        <v>1677.91</v>
      </c>
      <c r="G10" s="25">
        <v>9043.81</v>
      </c>
      <c r="H10" s="76">
        <f aca="true" t="shared" si="3" ref="H10:H19">G10/F10*100</f>
        <v>538.9925562157683</v>
      </c>
      <c r="I10" s="77">
        <f aca="true" t="shared" si="4" ref="I10:I19">G10/E10*100</f>
        <v>35.46592156862745</v>
      </c>
      <c r="J10" s="78">
        <v>360700</v>
      </c>
      <c r="K10" s="79">
        <v>104449.52</v>
      </c>
      <c r="L10" s="80">
        <v>128193.72</v>
      </c>
      <c r="M10" s="81">
        <f aca="true" t="shared" si="5" ref="M10:M19">L10/K10*100</f>
        <v>122.73270379796861</v>
      </c>
      <c r="N10" s="77">
        <f aca="true" t="shared" si="6" ref="N10:N19">L10/J10*100</f>
        <v>35.54026060438037</v>
      </c>
      <c r="O10" s="78">
        <v>21000</v>
      </c>
      <c r="P10" s="79">
        <v>18608.1</v>
      </c>
      <c r="Q10" s="80">
        <v>22322.1</v>
      </c>
      <c r="R10" s="81">
        <f>Q10/P10*100</f>
        <v>119.95905009108935</v>
      </c>
      <c r="S10" s="77">
        <f aca="true" t="shared" si="7" ref="S10:S19">Q10/O10*100</f>
        <v>106.29571428571427</v>
      </c>
      <c r="T10" s="78">
        <v>194200</v>
      </c>
      <c r="U10" s="62">
        <v>657.17</v>
      </c>
      <c r="V10" s="25">
        <v>1616.38</v>
      </c>
      <c r="W10" s="77">
        <f>V10/U10*100</f>
        <v>245.96071031848686</v>
      </c>
      <c r="X10" s="77">
        <f aca="true" t="shared" si="8" ref="X10:X19">V10/T10*100</f>
        <v>0.8323274974253349</v>
      </c>
      <c r="Y10" s="78">
        <v>500000</v>
      </c>
      <c r="Z10" s="62">
        <v>-14663.9</v>
      </c>
      <c r="AA10" s="25">
        <v>43353.92</v>
      </c>
      <c r="AB10" s="77">
        <f aca="true" t="shared" si="9" ref="AB10:AB19">AA10/Z10*100</f>
        <v>-295.6506795600079</v>
      </c>
      <c r="AC10" s="77">
        <f aca="true" t="shared" si="10" ref="AC10:AC19">AA10/Y10*100</f>
        <v>8.670784</v>
      </c>
      <c r="AD10" s="78">
        <v>13000</v>
      </c>
      <c r="AE10" s="82">
        <v>1700</v>
      </c>
      <c r="AF10" s="78">
        <v>6800</v>
      </c>
      <c r="AG10" s="77">
        <f>AF10/AE10*100</f>
        <v>400</v>
      </c>
      <c r="AH10" s="77">
        <f aca="true" t="shared" si="11" ref="AH10:AH16">AF10/AD10*100</f>
        <v>52.307692307692314</v>
      </c>
      <c r="AI10" s="25">
        <v>213000</v>
      </c>
      <c r="AJ10" s="25">
        <v>28650</v>
      </c>
      <c r="AK10" s="25">
        <v>99966.93</v>
      </c>
      <c r="AL10" s="77">
        <f>AK10/AJ10*100</f>
        <v>348.9247120418848</v>
      </c>
      <c r="AM10" s="77">
        <f aca="true" t="shared" si="12" ref="AM10:AM19">AK10/AI10*100</f>
        <v>46.932830985915494</v>
      </c>
      <c r="AN10" s="78">
        <v>16600</v>
      </c>
      <c r="AO10" s="62">
        <v>5533.32</v>
      </c>
      <c r="AP10" s="25">
        <v>5533.32</v>
      </c>
      <c r="AQ10" s="77">
        <f>AP10/AO10*100</f>
        <v>100</v>
      </c>
      <c r="AR10" s="77">
        <f>AP10/AN10*100</f>
        <v>33.33325301204819</v>
      </c>
      <c r="AS10" s="77"/>
      <c r="AT10" s="83"/>
      <c r="AU10" s="77"/>
      <c r="AV10" s="77"/>
      <c r="AW10" s="77"/>
      <c r="AX10" s="77"/>
      <c r="AY10" s="77"/>
      <c r="AZ10" s="77"/>
      <c r="BA10" s="77"/>
      <c r="BB10" s="77"/>
      <c r="BC10" s="25"/>
      <c r="BD10" s="84"/>
      <c r="BE10" s="33"/>
      <c r="BF10" s="25"/>
      <c r="BG10" s="25"/>
      <c r="BH10" s="25"/>
      <c r="BI10" s="62"/>
      <c r="BJ10" s="25"/>
      <c r="BK10" s="25"/>
      <c r="BL10" s="77"/>
      <c r="BM10" s="78"/>
      <c r="BN10" s="62"/>
      <c r="BO10" s="25"/>
      <c r="BP10" s="77"/>
      <c r="BQ10" s="77"/>
      <c r="BR10" s="25"/>
      <c r="BS10" s="62"/>
      <c r="BT10" s="25"/>
      <c r="BU10" s="25"/>
      <c r="BV10" s="25"/>
      <c r="BW10" s="25"/>
      <c r="BX10" s="62"/>
      <c r="BY10" s="25"/>
      <c r="BZ10" s="25"/>
      <c r="CA10" s="25"/>
      <c r="CB10" s="25"/>
      <c r="CC10" s="25"/>
      <c r="CD10" s="25"/>
      <c r="CE10" s="25"/>
      <c r="CF10" s="25"/>
      <c r="CG10" s="33"/>
      <c r="CH10" s="25"/>
      <c r="CI10" s="25"/>
      <c r="CJ10" s="25"/>
      <c r="CK10" s="25"/>
    </row>
    <row r="11" spans="1:89" s="91" customFormat="1" ht="24.75" customHeight="1">
      <c r="A11" s="86" t="s">
        <v>75</v>
      </c>
      <c r="B11" s="18">
        <f t="shared" si="0"/>
        <v>1549800</v>
      </c>
      <c r="C11" s="18">
        <f t="shared" si="1"/>
        <v>360189.93999999994</v>
      </c>
      <c r="D11" s="74">
        <f t="shared" si="2"/>
        <v>23.241059491547293</v>
      </c>
      <c r="E11" s="75">
        <v>75000</v>
      </c>
      <c r="F11" s="62">
        <v>18980.1</v>
      </c>
      <c r="G11" s="25">
        <v>17019.59</v>
      </c>
      <c r="H11" s="76">
        <f t="shared" si="3"/>
        <v>89.67070774126586</v>
      </c>
      <c r="I11" s="77">
        <f t="shared" si="4"/>
        <v>22.692786666666667</v>
      </c>
      <c r="J11" s="78">
        <v>470700</v>
      </c>
      <c r="K11" s="79">
        <v>136121.35</v>
      </c>
      <c r="L11" s="80">
        <v>167317.81</v>
      </c>
      <c r="M11" s="81">
        <f t="shared" si="5"/>
        <v>122.91812415906836</v>
      </c>
      <c r="N11" s="77">
        <f t="shared" si="6"/>
        <v>35.546592309326535</v>
      </c>
      <c r="O11" s="78">
        <v>30000</v>
      </c>
      <c r="P11" s="87">
        <v>24251.1</v>
      </c>
      <c r="Q11" s="23">
        <v>18597.6</v>
      </c>
      <c r="R11" s="81">
        <f>Q11/P11*100</f>
        <v>76.68765540532182</v>
      </c>
      <c r="S11" s="77">
        <f t="shared" si="7"/>
        <v>61.99199999999999</v>
      </c>
      <c r="T11" s="78">
        <v>295600</v>
      </c>
      <c r="U11" s="62">
        <v>1043.44</v>
      </c>
      <c r="V11" s="25">
        <v>83745.6</v>
      </c>
      <c r="W11" s="77">
        <f>V11/U11*100</f>
        <v>8025.91428352373</v>
      </c>
      <c r="X11" s="77">
        <f t="shared" si="8"/>
        <v>28.330717185385655</v>
      </c>
      <c r="Y11" s="78">
        <v>600000</v>
      </c>
      <c r="Z11" s="88">
        <v>5991.01</v>
      </c>
      <c r="AA11" s="89">
        <v>20297.93</v>
      </c>
      <c r="AB11" s="77">
        <f t="shared" si="9"/>
        <v>338.8064783734295</v>
      </c>
      <c r="AC11" s="77">
        <f t="shared" si="10"/>
        <v>3.382988333333333</v>
      </c>
      <c r="AD11" s="78">
        <v>11000</v>
      </c>
      <c r="AE11" s="82">
        <v>4700</v>
      </c>
      <c r="AF11" s="78">
        <v>5900</v>
      </c>
      <c r="AG11" s="77">
        <f>AF11/AE11*100</f>
        <v>125.53191489361701</v>
      </c>
      <c r="AH11" s="77">
        <f t="shared" si="11"/>
        <v>53.63636363636364</v>
      </c>
      <c r="AI11" s="25">
        <v>67500</v>
      </c>
      <c r="AJ11" s="90">
        <v>44330.64</v>
      </c>
      <c r="AK11" s="90">
        <v>39400.25</v>
      </c>
      <c r="AL11" s="77">
        <f>AK11/AJ11*100</f>
        <v>88.87814387520686</v>
      </c>
      <c r="AM11" s="77">
        <f t="shared" si="12"/>
        <v>58.37074074074074</v>
      </c>
      <c r="AN11" s="78"/>
      <c r="AO11" s="62">
        <v>0</v>
      </c>
      <c r="AP11" s="25"/>
      <c r="AQ11" s="77"/>
      <c r="AR11" s="77"/>
      <c r="AS11" s="77"/>
      <c r="AT11" s="83"/>
      <c r="AU11" s="77"/>
      <c r="AV11" s="77"/>
      <c r="AW11" s="77"/>
      <c r="AX11" s="77"/>
      <c r="AY11" s="77"/>
      <c r="AZ11" s="77"/>
      <c r="BA11" s="77"/>
      <c r="BB11" s="77"/>
      <c r="BC11" s="25"/>
      <c r="BD11" s="62"/>
      <c r="BE11" s="25"/>
      <c r="BF11" s="25"/>
      <c r="BG11" s="25"/>
      <c r="BH11" s="25"/>
      <c r="BI11" s="62"/>
      <c r="BJ11" s="25">
        <v>10911.16</v>
      </c>
      <c r="BK11" s="25"/>
      <c r="BL11" s="25"/>
      <c r="BM11" s="78"/>
      <c r="BN11" s="83"/>
      <c r="BO11" s="77"/>
      <c r="BP11" s="77"/>
      <c r="BQ11" s="77"/>
      <c r="BR11" s="25"/>
      <c r="BS11" s="62"/>
      <c r="BT11" s="25"/>
      <c r="BU11" s="25"/>
      <c r="BV11" s="25"/>
      <c r="BW11" s="25"/>
      <c r="BX11" s="62"/>
      <c r="BY11" s="25"/>
      <c r="BZ11" s="25"/>
      <c r="CA11" s="25"/>
      <c r="CB11" s="25"/>
      <c r="CC11" s="25"/>
      <c r="CD11" s="25"/>
      <c r="CE11" s="25"/>
      <c r="CF11" s="25"/>
      <c r="CG11" s="33"/>
      <c r="CH11" s="25">
        <v>7364</v>
      </c>
      <c r="CI11" s="25">
        <v>-3000</v>
      </c>
      <c r="CJ11" s="77"/>
      <c r="CK11" s="25"/>
    </row>
    <row r="12" spans="1:89" s="91" customFormat="1" ht="24.75" customHeight="1">
      <c r="A12" s="86" t="s">
        <v>76</v>
      </c>
      <c r="B12" s="18">
        <f t="shared" si="0"/>
        <v>2122800</v>
      </c>
      <c r="C12" s="18">
        <f t="shared" si="1"/>
        <v>687633.88</v>
      </c>
      <c r="D12" s="74">
        <f t="shared" si="2"/>
        <v>32.39277746372715</v>
      </c>
      <c r="E12" s="92">
        <v>165000</v>
      </c>
      <c r="F12" s="62">
        <v>42729.54</v>
      </c>
      <c r="G12" s="25">
        <v>47146.49</v>
      </c>
      <c r="H12" s="76">
        <f t="shared" si="3"/>
        <v>110.33699403269961</v>
      </c>
      <c r="I12" s="77">
        <f t="shared" si="4"/>
        <v>28.5736303030303</v>
      </c>
      <c r="J12" s="78">
        <v>468400</v>
      </c>
      <c r="K12" s="79">
        <v>135447.49</v>
      </c>
      <c r="L12" s="80">
        <v>166485.39</v>
      </c>
      <c r="M12" s="81">
        <f t="shared" si="5"/>
        <v>122.91507948947597</v>
      </c>
      <c r="N12" s="77">
        <f t="shared" si="6"/>
        <v>35.54342228864219</v>
      </c>
      <c r="O12" s="78">
        <v>114000</v>
      </c>
      <c r="P12" s="87">
        <v>16590</v>
      </c>
      <c r="Q12" s="23">
        <v>370505.4</v>
      </c>
      <c r="R12" s="81">
        <f>Q12/P12*100</f>
        <v>2233.305605786619</v>
      </c>
      <c r="S12" s="77">
        <f t="shared" si="7"/>
        <v>325.0047368421053</v>
      </c>
      <c r="T12" s="78">
        <v>193700</v>
      </c>
      <c r="U12" s="87">
        <v>425.31</v>
      </c>
      <c r="V12" s="23">
        <v>5973.68</v>
      </c>
      <c r="W12" s="77">
        <f aca="true" t="shared" si="13" ref="W12:W19">V12/U12*100</f>
        <v>1404.5472714020364</v>
      </c>
      <c r="X12" s="77">
        <f t="shared" si="8"/>
        <v>3.0839855446566857</v>
      </c>
      <c r="Y12" s="78">
        <v>1000000</v>
      </c>
      <c r="Z12" s="64">
        <v>24996.37</v>
      </c>
      <c r="AA12" s="93">
        <v>33751.46</v>
      </c>
      <c r="AB12" s="77">
        <f t="shared" si="9"/>
        <v>135.02544569471488</v>
      </c>
      <c r="AC12" s="77">
        <f t="shared" si="10"/>
        <v>3.3751459999999995</v>
      </c>
      <c r="AD12" s="78">
        <v>19000</v>
      </c>
      <c r="AE12" s="82">
        <v>3250</v>
      </c>
      <c r="AF12" s="78">
        <v>2700</v>
      </c>
      <c r="AG12" s="77">
        <f>AF12/AE12*100</f>
        <v>83.07692307692308</v>
      </c>
      <c r="AH12" s="77">
        <f t="shared" si="11"/>
        <v>14.210526315789473</v>
      </c>
      <c r="AI12" s="25">
        <v>147000</v>
      </c>
      <c r="AJ12" s="94">
        <v>61442.15</v>
      </c>
      <c r="AK12" s="95">
        <v>57133.96</v>
      </c>
      <c r="AL12" s="77">
        <f>AK12/AJ12*100</f>
        <v>92.98821737195068</v>
      </c>
      <c r="AM12" s="77">
        <f t="shared" si="12"/>
        <v>38.86663945578231</v>
      </c>
      <c r="AN12" s="78">
        <v>15700</v>
      </c>
      <c r="AO12" s="62">
        <v>5250</v>
      </c>
      <c r="AP12" s="25">
        <v>3937.5</v>
      </c>
      <c r="AQ12" s="77">
        <f>AP12/AO12*100</f>
        <v>75</v>
      </c>
      <c r="AR12" s="77">
        <f>AP12/AN12*100</f>
        <v>25.079617834394906</v>
      </c>
      <c r="AS12" s="77"/>
      <c r="AT12" s="83"/>
      <c r="AU12" s="77"/>
      <c r="AV12" s="77"/>
      <c r="AW12" s="77"/>
      <c r="AX12" s="77"/>
      <c r="AY12" s="77"/>
      <c r="AZ12" s="77"/>
      <c r="BA12" s="77"/>
      <c r="BB12" s="77"/>
      <c r="BC12" s="25"/>
      <c r="BD12" s="62"/>
      <c r="BE12" s="25"/>
      <c r="BF12" s="25"/>
      <c r="BG12" s="25"/>
      <c r="BH12" s="25"/>
      <c r="BI12" s="62"/>
      <c r="BJ12" s="25"/>
      <c r="BK12" s="25"/>
      <c r="BL12" s="25"/>
      <c r="BM12" s="78"/>
      <c r="BN12" s="83"/>
      <c r="BO12" s="77"/>
      <c r="BP12" s="77"/>
      <c r="BQ12" s="77"/>
      <c r="BR12" s="25"/>
      <c r="BS12" s="62"/>
      <c r="BT12" s="25"/>
      <c r="BU12" s="25"/>
      <c r="BV12" s="25"/>
      <c r="BW12" s="25"/>
      <c r="BX12" s="62"/>
      <c r="BY12" s="25"/>
      <c r="BZ12" s="25"/>
      <c r="CA12" s="25"/>
      <c r="CB12" s="25"/>
      <c r="CC12" s="25"/>
      <c r="CD12" s="25"/>
      <c r="CE12" s="25"/>
      <c r="CF12" s="25"/>
      <c r="CG12" s="33"/>
      <c r="CH12" s="25">
        <v>0</v>
      </c>
      <c r="CI12" s="25"/>
      <c r="CJ12" s="77"/>
      <c r="CK12" s="25"/>
    </row>
    <row r="13" spans="1:89" s="99" customFormat="1" ht="24.75" customHeight="1">
      <c r="A13" s="96" t="s">
        <v>77</v>
      </c>
      <c r="B13" s="18">
        <f t="shared" si="0"/>
        <v>2371400</v>
      </c>
      <c r="C13" s="18">
        <f t="shared" si="1"/>
        <v>496119.45999999996</v>
      </c>
      <c r="D13" s="74">
        <f t="shared" si="2"/>
        <v>20.92095218014675</v>
      </c>
      <c r="E13" s="78">
        <v>120000</v>
      </c>
      <c r="F13" s="97">
        <v>25637.33</v>
      </c>
      <c r="G13" s="98">
        <v>27662.94</v>
      </c>
      <c r="H13" s="76">
        <f t="shared" si="3"/>
        <v>107.9010177736917</v>
      </c>
      <c r="I13" s="77">
        <f t="shared" si="4"/>
        <v>23.05245</v>
      </c>
      <c r="J13" s="78">
        <v>688600</v>
      </c>
      <c r="K13" s="79">
        <v>199464.96</v>
      </c>
      <c r="L13" s="80">
        <v>244733.55</v>
      </c>
      <c r="M13" s="81">
        <f t="shared" si="5"/>
        <v>122.6950086872401</v>
      </c>
      <c r="N13" s="77">
        <f t="shared" si="6"/>
        <v>35.54074208539065</v>
      </c>
      <c r="O13" s="78">
        <v>24000</v>
      </c>
      <c r="P13" s="79">
        <v>17170.5</v>
      </c>
      <c r="Q13" s="80">
        <v>19724.01</v>
      </c>
      <c r="R13" s="81">
        <f>Q13/P13*100</f>
        <v>114.87149471477242</v>
      </c>
      <c r="S13" s="77">
        <f t="shared" si="7"/>
        <v>82.183375</v>
      </c>
      <c r="T13" s="78">
        <v>368800</v>
      </c>
      <c r="U13" s="79">
        <v>3260.49</v>
      </c>
      <c r="V13" s="80">
        <v>9026.27</v>
      </c>
      <c r="W13" s="77">
        <f t="shared" si="13"/>
        <v>276.83783725759014</v>
      </c>
      <c r="X13" s="77">
        <f t="shared" si="8"/>
        <v>2.447470173535792</v>
      </c>
      <c r="Y13" s="78">
        <v>1050000</v>
      </c>
      <c r="Z13" s="62">
        <v>69527.92</v>
      </c>
      <c r="AA13" s="25">
        <v>142176.47</v>
      </c>
      <c r="AB13" s="77">
        <f t="shared" si="9"/>
        <v>204.48831203349678</v>
      </c>
      <c r="AC13" s="77">
        <f t="shared" si="10"/>
        <v>13.54061619047619</v>
      </c>
      <c r="AD13" s="78">
        <v>24000</v>
      </c>
      <c r="AE13" s="82">
        <v>7940</v>
      </c>
      <c r="AF13" s="78">
        <v>7680</v>
      </c>
      <c r="AG13" s="77">
        <f>AF13/AE13*100</f>
        <v>96.72544080604534</v>
      </c>
      <c r="AH13" s="77">
        <f t="shared" si="11"/>
        <v>32</v>
      </c>
      <c r="AI13" s="25">
        <v>96000</v>
      </c>
      <c r="AJ13" s="62">
        <v>18668.93</v>
      </c>
      <c r="AK13" s="25">
        <v>31766.42</v>
      </c>
      <c r="AL13" s="77">
        <f>AK13/AJ13*100</f>
        <v>170.15661851000564</v>
      </c>
      <c r="AM13" s="77">
        <f t="shared" si="12"/>
        <v>33.090020833333334</v>
      </c>
      <c r="AN13" s="78"/>
      <c r="AO13" s="62">
        <v>0</v>
      </c>
      <c r="AP13" s="25"/>
      <c r="AQ13" s="77"/>
      <c r="AR13" s="77"/>
      <c r="AS13" s="77"/>
      <c r="AT13" s="83"/>
      <c r="AU13" s="77"/>
      <c r="AV13" s="77"/>
      <c r="AW13" s="77"/>
      <c r="AX13" s="77"/>
      <c r="AY13" s="77"/>
      <c r="AZ13" s="77"/>
      <c r="BA13" s="77"/>
      <c r="BB13" s="77"/>
      <c r="BC13" s="25"/>
      <c r="BD13" s="62"/>
      <c r="BE13" s="25"/>
      <c r="BF13" s="77"/>
      <c r="BG13" s="77"/>
      <c r="BH13" s="25"/>
      <c r="BI13" s="62"/>
      <c r="BJ13" s="25">
        <v>13349.8</v>
      </c>
      <c r="BK13" s="25"/>
      <c r="BL13" s="25"/>
      <c r="BM13" s="78"/>
      <c r="BN13" s="83"/>
      <c r="BO13" s="25"/>
      <c r="BP13" s="77"/>
      <c r="BQ13" s="77"/>
      <c r="BR13" s="25"/>
      <c r="BS13" s="62"/>
      <c r="BT13" s="25"/>
      <c r="BU13" s="25"/>
      <c r="BV13" s="25"/>
      <c r="BW13" s="25"/>
      <c r="BX13" s="62"/>
      <c r="BY13" s="25"/>
      <c r="BZ13" s="25"/>
      <c r="CA13" s="25"/>
      <c r="CB13" s="25"/>
      <c r="CC13" s="25"/>
      <c r="CD13" s="25"/>
      <c r="CE13" s="25"/>
      <c r="CF13" s="25"/>
      <c r="CG13" s="33"/>
      <c r="CH13" s="25"/>
      <c r="CI13" s="25"/>
      <c r="CJ13" s="77"/>
      <c r="CK13" s="25"/>
    </row>
    <row r="14" spans="1:89" s="91" customFormat="1" ht="24.75" customHeight="1">
      <c r="A14" s="86" t="s">
        <v>78</v>
      </c>
      <c r="B14" s="18">
        <f t="shared" si="0"/>
        <v>1328000</v>
      </c>
      <c r="C14" s="18">
        <f t="shared" si="1"/>
        <v>483858.99000000005</v>
      </c>
      <c r="D14" s="74">
        <f t="shared" si="2"/>
        <v>36.43516490963856</v>
      </c>
      <c r="E14" s="100">
        <v>57000</v>
      </c>
      <c r="F14" s="62">
        <v>9137.78</v>
      </c>
      <c r="G14" s="25">
        <v>24672.02</v>
      </c>
      <c r="H14" s="76">
        <f t="shared" si="3"/>
        <v>270.0001532100794</v>
      </c>
      <c r="I14" s="77">
        <f t="shared" si="4"/>
        <v>43.284245614035086</v>
      </c>
      <c r="J14" s="78">
        <v>356000</v>
      </c>
      <c r="K14" s="79">
        <v>103101.83</v>
      </c>
      <c r="L14" s="80">
        <v>126528.88</v>
      </c>
      <c r="M14" s="81">
        <f t="shared" si="5"/>
        <v>122.72224460031408</v>
      </c>
      <c r="N14" s="77">
        <f t="shared" si="6"/>
        <v>35.5418202247191</v>
      </c>
      <c r="O14" s="78">
        <v>39000</v>
      </c>
      <c r="P14" s="87">
        <v>28806.88</v>
      </c>
      <c r="Q14" s="23">
        <v>45614.78</v>
      </c>
      <c r="R14" s="81">
        <f>Q14/P14*100</f>
        <v>158.34682548057964</v>
      </c>
      <c r="S14" s="77">
        <f t="shared" si="7"/>
        <v>116.96097435897434</v>
      </c>
      <c r="T14" s="78">
        <v>120000</v>
      </c>
      <c r="U14" s="62">
        <v>3507.98</v>
      </c>
      <c r="V14" s="25">
        <v>8243.31</v>
      </c>
      <c r="W14" s="77">
        <f t="shared" si="13"/>
        <v>234.98737164978132</v>
      </c>
      <c r="X14" s="77">
        <f t="shared" si="8"/>
        <v>6.869425</v>
      </c>
      <c r="Y14" s="78">
        <v>650000</v>
      </c>
      <c r="Z14" s="88">
        <v>88307.33</v>
      </c>
      <c r="AA14" s="89">
        <v>79911.19</v>
      </c>
      <c r="AB14" s="77">
        <f t="shared" si="9"/>
        <v>90.49213694944689</v>
      </c>
      <c r="AC14" s="77">
        <f t="shared" si="10"/>
        <v>12.294029230769231</v>
      </c>
      <c r="AD14" s="78">
        <v>12000</v>
      </c>
      <c r="AE14" s="101">
        <v>3000</v>
      </c>
      <c r="AF14" s="102">
        <v>5300</v>
      </c>
      <c r="AG14" s="77">
        <f>AF14/AE14*100</f>
        <v>176.66666666666666</v>
      </c>
      <c r="AH14" s="77">
        <f t="shared" si="11"/>
        <v>44.166666666666664</v>
      </c>
      <c r="AI14" s="25">
        <v>69000</v>
      </c>
      <c r="AJ14" s="62">
        <v>10700</v>
      </c>
      <c r="AK14" s="25">
        <v>104271.64</v>
      </c>
      <c r="AL14" s="77">
        <f>AK14/AJ14*100</f>
        <v>974.5013084112151</v>
      </c>
      <c r="AM14" s="77">
        <f t="shared" si="12"/>
        <v>151.11831884057972</v>
      </c>
      <c r="AN14" s="78">
        <v>25000</v>
      </c>
      <c r="AO14" s="62">
        <v>82986.85</v>
      </c>
      <c r="AP14" s="25"/>
      <c r="AQ14" s="77"/>
      <c r="AR14" s="77">
        <f>AP14/AN14*100</f>
        <v>0</v>
      </c>
      <c r="AS14" s="77"/>
      <c r="AT14" s="83"/>
      <c r="AU14" s="77"/>
      <c r="AV14" s="77"/>
      <c r="AW14" s="77"/>
      <c r="AX14" s="77"/>
      <c r="AY14" s="77"/>
      <c r="AZ14" s="77"/>
      <c r="BA14" s="77"/>
      <c r="BB14" s="77"/>
      <c r="BC14" s="25"/>
      <c r="BD14" s="62"/>
      <c r="BE14" s="25"/>
      <c r="BF14" s="25"/>
      <c r="BG14" s="25"/>
      <c r="BH14" s="25"/>
      <c r="BI14" s="62"/>
      <c r="BJ14" s="25">
        <v>7427.65</v>
      </c>
      <c r="BK14" s="25"/>
      <c r="BL14" s="25"/>
      <c r="BM14" s="25"/>
      <c r="BN14" s="62"/>
      <c r="BO14" s="25"/>
      <c r="BP14" s="77"/>
      <c r="BQ14" s="77"/>
      <c r="BR14" s="25"/>
      <c r="BS14" s="62"/>
      <c r="BT14" s="25">
        <v>81889.52</v>
      </c>
      <c r="BU14" s="77"/>
      <c r="BV14" s="77"/>
      <c r="BW14" s="25"/>
      <c r="BX14" s="62"/>
      <c r="BY14" s="25"/>
      <c r="BZ14" s="25"/>
      <c r="CA14" s="77">
        <v>0</v>
      </c>
      <c r="CB14" s="25"/>
      <c r="CC14" s="25"/>
      <c r="CD14" s="25"/>
      <c r="CE14" s="25"/>
      <c r="CF14" s="25"/>
      <c r="CG14" s="33"/>
      <c r="CH14" s="25"/>
      <c r="CI14" s="25"/>
      <c r="CJ14" s="77"/>
      <c r="CK14" s="25"/>
    </row>
    <row r="15" spans="1:89" s="91" customFormat="1" ht="24.75" customHeight="1">
      <c r="A15" s="86" t="s">
        <v>79</v>
      </c>
      <c r="B15" s="18">
        <f t="shared" si="0"/>
        <v>1929900</v>
      </c>
      <c r="C15" s="18">
        <f t="shared" si="1"/>
        <v>424213.5</v>
      </c>
      <c r="D15" s="74">
        <f t="shared" si="2"/>
        <v>21.98111301103684</v>
      </c>
      <c r="E15" s="75">
        <v>135000</v>
      </c>
      <c r="F15" s="62">
        <v>34349.44</v>
      </c>
      <c r="G15" s="25">
        <v>28315.71</v>
      </c>
      <c r="H15" s="76">
        <f t="shared" si="3"/>
        <v>82.43426967077193</v>
      </c>
      <c r="I15" s="77">
        <f t="shared" si="4"/>
        <v>20.9746</v>
      </c>
      <c r="J15" s="78">
        <v>374700</v>
      </c>
      <c r="K15" s="79">
        <v>108492.75</v>
      </c>
      <c r="L15" s="80">
        <v>133188.31</v>
      </c>
      <c r="M15" s="81">
        <f t="shared" si="5"/>
        <v>122.7624057828749</v>
      </c>
      <c r="N15" s="77">
        <f t="shared" si="6"/>
        <v>35.54531892180411</v>
      </c>
      <c r="O15" s="78">
        <v>69000</v>
      </c>
      <c r="P15" s="87">
        <v>92170.5</v>
      </c>
      <c r="Q15" s="23">
        <v>32526</v>
      </c>
      <c r="R15" s="81">
        <f>Q15/P15*100</f>
        <v>35.28894819926115</v>
      </c>
      <c r="S15" s="77">
        <f t="shared" si="7"/>
        <v>47.13913043478261</v>
      </c>
      <c r="T15" s="78">
        <v>190000</v>
      </c>
      <c r="U15" s="62">
        <v>3216.07</v>
      </c>
      <c r="V15" s="25">
        <v>3881.45</v>
      </c>
      <c r="W15" s="77">
        <f t="shared" si="13"/>
        <v>120.68922629171628</v>
      </c>
      <c r="X15" s="77">
        <f t="shared" si="8"/>
        <v>2.0428684210526313</v>
      </c>
      <c r="Y15" s="78">
        <v>1000000</v>
      </c>
      <c r="Z15" s="62">
        <v>-30514.3</v>
      </c>
      <c r="AA15" s="25">
        <v>31477.63</v>
      </c>
      <c r="AB15" s="77">
        <f t="shared" si="9"/>
        <v>-103.15697885909229</v>
      </c>
      <c r="AC15" s="77">
        <f t="shared" si="10"/>
        <v>3.147763</v>
      </c>
      <c r="AD15" s="78">
        <v>15000</v>
      </c>
      <c r="AE15" s="82">
        <v>6700</v>
      </c>
      <c r="AF15" s="78">
        <v>7270</v>
      </c>
      <c r="AG15" s="77">
        <f>AF15/AE15*100</f>
        <v>108.50746268656717</v>
      </c>
      <c r="AH15" s="77">
        <f t="shared" si="11"/>
        <v>48.46666666666667</v>
      </c>
      <c r="AI15" s="25">
        <v>104000</v>
      </c>
      <c r="AJ15" s="62">
        <v>38569.48</v>
      </c>
      <c r="AK15" s="25">
        <v>169363.52</v>
      </c>
      <c r="AL15" s="77">
        <f>AK15/AJ15*100</f>
        <v>439.1127907350578</v>
      </c>
      <c r="AM15" s="77">
        <f t="shared" si="12"/>
        <v>162.84953846153846</v>
      </c>
      <c r="AN15" s="78">
        <v>42200</v>
      </c>
      <c r="AO15" s="62">
        <v>17791.7</v>
      </c>
      <c r="AP15" s="25">
        <v>14072.24</v>
      </c>
      <c r="AQ15" s="77">
        <f>AP15/AO15*100</f>
        <v>79.09440919080245</v>
      </c>
      <c r="AR15" s="77">
        <f>AP15/AN15*100</f>
        <v>33.34654028436019</v>
      </c>
      <c r="AS15" s="77"/>
      <c r="AT15" s="83"/>
      <c r="AU15" s="77"/>
      <c r="AV15" s="77"/>
      <c r="AW15" s="77"/>
      <c r="AX15" s="77"/>
      <c r="AY15" s="77"/>
      <c r="AZ15" s="77"/>
      <c r="BA15" s="77"/>
      <c r="BB15" s="77"/>
      <c r="BC15" s="25"/>
      <c r="BD15" s="62"/>
      <c r="BE15" s="25"/>
      <c r="BF15" s="25"/>
      <c r="BG15" s="25"/>
      <c r="BH15" s="25"/>
      <c r="BI15" s="62"/>
      <c r="BJ15" s="25">
        <v>4118.64</v>
      </c>
      <c r="BK15" s="25"/>
      <c r="BL15" s="25"/>
      <c r="BM15" s="25"/>
      <c r="BN15" s="83"/>
      <c r="BO15" s="77"/>
      <c r="BP15" s="77"/>
      <c r="BQ15" s="77"/>
      <c r="BR15" s="25"/>
      <c r="BS15" s="62"/>
      <c r="BT15" s="25"/>
      <c r="BU15" s="25"/>
      <c r="BV15" s="25"/>
      <c r="BW15" s="25"/>
      <c r="BX15" s="62"/>
      <c r="BY15" s="25"/>
      <c r="BZ15" s="25"/>
      <c r="CA15" s="25"/>
      <c r="CB15" s="25"/>
      <c r="CC15" s="25"/>
      <c r="CD15" s="25"/>
      <c r="CE15" s="25"/>
      <c r="CF15" s="25"/>
      <c r="CG15" s="33"/>
      <c r="CH15" s="25">
        <v>83.28</v>
      </c>
      <c r="CI15" s="25"/>
      <c r="CJ15" s="77"/>
      <c r="CK15" s="77"/>
    </row>
    <row r="16" spans="1:89" s="91" customFormat="1" ht="25.5" customHeight="1">
      <c r="A16" s="86" t="s">
        <v>80</v>
      </c>
      <c r="B16" s="18">
        <f t="shared" si="0"/>
        <v>1365600</v>
      </c>
      <c r="C16" s="18">
        <f t="shared" si="1"/>
        <v>317189.49999999994</v>
      </c>
      <c r="D16" s="74">
        <f t="shared" si="2"/>
        <v>23.22711628588166</v>
      </c>
      <c r="E16" s="75">
        <v>66000</v>
      </c>
      <c r="F16" s="62">
        <v>14687.43</v>
      </c>
      <c r="G16" s="25">
        <v>16501.91</v>
      </c>
      <c r="H16" s="76">
        <f t="shared" si="3"/>
        <v>112.35396526145145</v>
      </c>
      <c r="I16" s="77">
        <f t="shared" si="4"/>
        <v>25.00289393939394</v>
      </c>
      <c r="J16" s="78">
        <v>206100</v>
      </c>
      <c r="K16" s="79">
        <v>59300.39</v>
      </c>
      <c r="L16" s="80">
        <v>73253.57</v>
      </c>
      <c r="M16" s="81">
        <f t="shared" si="5"/>
        <v>123.52965975434564</v>
      </c>
      <c r="N16" s="77">
        <f t="shared" si="6"/>
        <v>35.54273168364872</v>
      </c>
      <c r="O16" s="78">
        <v>30000</v>
      </c>
      <c r="P16" s="87">
        <v>21422.1</v>
      </c>
      <c r="Q16" s="23">
        <v>104705.4</v>
      </c>
      <c r="R16" s="81">
        <f>Q16/P16*100</f>
        <v>488.7728093884353</v>
      </c>
      <c r="S16" s="77">
        <f t="shared" si="7"/>
        <v>349.018</v>
      </c>
      <c r="T16" s="78">
        <v>320600</v>
      </c>
      <c r="U16" s="62">
        <v>2391.18</v>
      </c>
      <c r="V16" s="25">
        <v>2606.05</v>
      </c>
      <c r="W16" s="77">
        <f t="shared" si="13"/>
        <v>108.98593999615254</v>
      </c>
      <c r="X16" s="77">
        <f t="shared" si="8"/>
        <v>0.8128665003119153</v>
      </c>
      <c r="Y16" s="78">
        <v>550000</v>
      </c>
      <c r="Z16" s="88">
        <v>15481.54</v>
      </c>
      <c r="AA16" s="89">
        <v>57065.53</v>
      </c>
      <c r="AB16" s="77">
        <f t="shared" si="9"/>
        <v>368.6037047993933</v>
      </c>
      <c r="AC16" s="77">
        <f t="shared" si="10"/>
        <v>10.37555090909091</v>
      </c>
      <c r="AD16" s="78">
        <v>6000</v>
      </c>
      <c r="AE16" s="82">
        <v>800</v>
      </c>
      <c r="AF16" s="78">
        <v>3200</v>
      </c>
      <c r="AG16" s="77">
        <f>AF16/AE16*100</f>
        <v>400</v>
      </c>
      <c r="AH16" s="77">
        <f t="shared" si="11"/>
        <v>53.333333333333336</v>
      </c>
      <c r="AI16" s="25">
        <v>56000</v>
      </c>
      <c r="AJ16" s="62">
        <v>23222</v>
      </c>
      <c r="AK16" s="25">
        <v>19095.45</v>
      </c>
      <c r="AL16" s="77">
        <f>AK16/AJ16*100</f>
        <v>82.22999741624322</v>
      </c>
      <c r="AM16" s="77">
        <f t="shared" si="12"/>
        <v>34.09901785714286</v>
      </c>
      <c r="AN16" s="78">
        <v>38900</v>
      </c>
      <c r="AO16" s="62">
        <v>12966.72</v>
      </c>
      <c r="AP16" s="25">
        <v>11025.04</v>
      </c>
      <c r="AQ16" s="77">
        <f>AP16/AO16*100</f>
        <v>85.02566570420277</v>
      </c>
      <c r="AR16" s="77">
        <f>AP16/AN16*100</f>
        <v>28.342005141388178</v>
      </c>
      <c r="AS16" s="77"/>
      <c r="AT16" s="83"/>
      <c r="AU16" s="77"/>
      <c r="AV16" s="77"/>
      <c r="AW16" s="77"/>
      <c r="AX16" s="77"/>
      <c r="AY16" s="77"/>
      <c r="AZ16" s="77"/>
      <c r="BA16" s="77"/>
      <c r="BB16" s="77"/>
      <c r="BC16" s="25">
        <v>92000</v>
      </c>
      <c r="BD16" s="62">
        <v>64566.34</v>
      </c>
      <c r="BE16" s="25">
        <v>29736.55</v>
      </c>
      <c r="BF16" s="77">
        <f>BE16/BD16*100</f>
        <v>46.05580864580523</v>
      </c>
      <c r="BG16" s="77">
        <f>BE16/BC16*100</f>
        <v>32.32233695652174</v>
      </c>
      <c r="BH16" s="25"/>
      <c r="BI16" s="62"/>
      <c r="BJ16" s="25"/>
      <c r="BK16" s="77"/>
      <c r="BL16" s="25"/>
      <c r="BM16" s="78"/>
      <c r="BN16" s="62"/>
      <c r="BO16" s="25"/>
      <c r="BP16" s="77"/>
      <c r="BQ16" s="77"/>
      <c r="BR16" s="25"/>
      <c r="BS16" s="62"/>
      <c r="BT16" s="25"/>
      <c r="BU16" s="25"/>
      <c r="BV16" s="25"/>
      <c r="BW16" s="25"/>
      <c r="BX16" s="62"/>
      <c r="BY16" s="25"/>
      <c r="BZ16" s="25"/>
      <c r="CA16" s="25"/>
      <c r="CB16" s="25"/>
      <c r="CC16" s="25"/>
      <c r="CD16" s="25"/>
      <c r="CE16" s="25"/>
      <c r="CF16" s="25"/>
      <c r="CG16" s="33"/>
      <c r="CH16" s="25"/>
      <c r="CI16" s="25"/>
      <c r="CJ16" s="77"/>
      <c r="CK16" s="25"/>
    </row>
    <row r="17" spans="1:89" s="91" customFormat="1" ht="24.75" customHeight="1">
      <c r="A17" s="86" t="s">
        <v>81</v>
      </c>
      <c r="B17" s="18">
        <f>E17+O17+T17+Y17+AD17+AI17+AN17+BC17+BM17+CG17+J17+AS17+BR17+BW17+CB17+BH17+AX17</f>
        <v>5844600</v>
      </c>
      <c r="C17" s="18">
        <f>G17+L17+Q17+V17+AA17+AK17+AP17+BE17+BO17+BT17+BY17+CD17+CI17+AF17+BJ17+AU17+AZ17</f>
        <v>1356428.55</v>
      </c>
      <c r="D17" s="74">
        <f t="shared" si="2"/>
        <v>23.20823580741197</v>
      </c>
      <c r="E17" s="75">
        <v>1365000</v>
      </c>
      <c r="F17" s="62">
        <v>344979.36</v>
      </c>
      <c r="G17" s="25">
        <v>391518.69</v>
      </c>
      <c r="H17" s="76">
        <f t="shared" si="3"/>
        <v>113.49046795147397</v>
      </c>
      <c r="I17" s="77">
        <f t="shared" si="4"/>
        <v>28.68268791208791</v>
      </c>
      <c r="J17" s="78">
        <v>541000</v>
      </c>
      <c r="K17" s="79">
        <v>156337.38</v>
      </c>
      <c r="L17" s="80">
        <v>192290.59</v>
      </c>
      <c r="M17" s="81">
        <f t="shared" si="5"/>
        <v>122.99719363340999</v>
      </c>
      <c r="N17" s="77">
        <f t="shared" si="6"/>
        <v>35.5435471349353</v>
      </c>
      <c r="O17" s="78">
        <v>240000</v>
      </c>
      <c r="P17" s="87">
        <v>92741.7</v>
      </c>
      <c r="Q17" s="23">
        <v>149061.27</v>
      </c>
      <c r="R17" s="81">
        <f>Q17/P17*100</f>
        <v>160.72734271638325</v>
      </c>
      <c r="S17" s="77">
        <f t="shared" si="7"/>
        <v>62.108862499999994</v>
      </c>
      <c r="T17" s="78">
        <v>1100000</v>
      </c>
      <c r="U17" s="62">
        <v>15302.56</v>
      </c>
      <c r="V17" s="25">
        <v>127516.23</v>
      </c>
      <c r="W17" s="77">
        <f t="shared" si="13"/>
        <v>833.2999837935613</v>
      </c>
      <c r="X17" s="77">
        <f t="shared" si="8"/>
        <v>11.592384545454545</v>
      </c>
      <c r="Y17" s="78">
        <v>2200000</v>
      </c>
      <c r="Z17" s="62">
        <v>371990.55</v>
      </c>
      <c r="AA17" s="25">
        <v>344858.97</v>
      </c>
      <c r="AB17" s="77">
        <f t="shared" si="9"/>
        <v>92.70637923463377</v>
      </c>
      <c r="AC17" s="77">
        <f t="shared" si="10"/>
        <v>15.675407727272725</v>
      </c>
      <c r="AD17" s="78"/>
      <c r="AE17" s="82"/>
      <c r="AF17" s="78"/>
      <c r="AG17" s="77"/>
      <c r="AH17" s="77"/>
      <c r="AI17" s="25">
        <v>85000</v>
      </c>
      <c r="AJ17" s="62">
        <v>29874</v>
      </c>
      <c r="AK17" s="25">
        <v>38984.95</v>
      </c>
      <c r="AL17" s="77">
        <f>AK17/AJ17*100</f>
        <v>130.49792461672357</v>
      </c>
      <c r="AM17" s="77">
        <f t="shared" si="12"/>
        <v>45.86464705882353</v>
      </c>
      <c r="AN17" s="78">
        <v>11900</v>
      </c>
      <c r="AO17" s="62">
        <v>37021.18</v>
      </c>
      <c r="AP17" s="25"/>
      <c r="AQ17" s="77"/>
      <c r="AR17" s="77">
        <f>AP17/AN17*100</f>
        <v>0</v>
      </c>
      <c r="AS17" s="78">
        <v>287700</v>
      </c>
      <c r="AT17" s="62">
        <v>28784</v>
      </c>
      <c r="AU17" s="25"/>
      <c r="AV17" s="77"/>
      <c r="AW17" s="77">
        <f>AU17/AS17*100</f>
        <v>0</v>
      </c>
      <c r="AX17" s="77">
        <v>14000</v>
      </c>
      <c r="AY17" s="25">
        <v>7038.38</v>
      </c>
      <c r="AZ17" s="25">
        <v>1360.09</v>
      </c>
      <c r="BA17" s="77">
        <f>AZ17/AY17*100</f>
        <v>19.323906921763246</v>
      </c>
      <c r="BB17" s="77">
        <f>AZ17/AX17*100</f>
        <v>9.71492857142857</v>
      </c>
      <c r="BC17" s="25"/>
      <c r="BD17" s="84"/>
      <c r="BE17" s="33"/>
      <c r="BF17" s="77"/>
      <c r="BG17" s="25"/>
      <c r="BH17" s="25"/>
      <c r="BI17" s="62"/>
      <c r="BJ17" s="25"/>
      <c r="BK17" s="25"/>
      <c r="BL17" s="25"/>
      <c r="BM17" s="78"/>
      <c r="BN17" s="83"/>
      <c r="BO17" s="77"/>
      <c r="BP17" s="77"/>
      <c r="BQ17" s="77"/>
      <c r="BR17" s="25"/>
      <c r="BS17" s="62"/>
      <c r="BT17" s="25"/>
      <c r="BU17" s="25"/>
      <c r="BV17" s="25"/>
      <c r="BW17" s="25"/>
      <c r="BX17" s="62">
        <v>9654</v>
      </c>
      <c r="BY17" s="25"/>
      <c r="BZ17" s="25"/>
      <c r="CA17" s="77"/>
      <c r="CB17" s="25"/>
      <c r="CC17" s="25"/>
      <c r="CD17" s="25">
        <v>110837.76</v>
      </c>
      <c r="CE17" s="77"/>
      <c r="CF17" s="77"/>
      <c r="CG17" s="33"/>
      <c r="CH17" s="25"/>
      <c r="CI17" s="25"/>
      <c r="CJ17" s="77"/>
      <c r="CK17" s="25"/>
    </row>
    <row r="18" spans="1:89" s="91" customFormat="1" ht="21.75" customHeight="1">
      <c r="A18" s="86" t="s">
        <v>82</v>
      </c>
      <c r="B18" s="18">
        <f>E18+O18+T18+Y18+AD18+AI18+AN18+BC18+BM18+CG18+J18+AS18+BR18+BW18+CB18+BH18</f>
        <v>3195700</v>
      </c>
      <c r="C18" s="18">
        <f>G18+L18+Q18+V18+AA18+AK18+AP18+BE18+BO18+BT18+BY18+CD18+CI18+AF18+BJ18</f>
        <v>565067.87</v>
      </c>
      <c r="D18" s="74">
        <f t="shared" si="2"/>
        <v>17.682131301436304</v>
      </c>
      <c r="E18" s="75">
        <v>255000</v>
      </c>
      <c r="F18" s="62">
        <v>64166.22</v>
      </c>
      <c r="G18" s="25">
        <v>65694.61</v>
      </c>
      <c r="H18" s="76">
        <f t="shared" si="3"/>
        <v>102.3819230741658</v>
      </c>
      <c r="I18" s="77">
        <f t="shared" si="4"/>
        <v>25.762592156862745</v>
      </c>
      <c r="J18" s="78">
        <v>613600</v>
      </c>
      <c r="K18" s="79">
        <v>177227.31</v>
      </c>
      <c r="L18" s="80">
        <v>218095.86</v>
      </c>
      <c r="M18" s="81">
        <f t="shared" si="5"/>
        <v>123.05996180836914</v>
      </c>
      <c r="N18" s="77">
        <f t="shared" si="6"/>
        <v>35.543653846153845</v>
      </c>
      <c r="O18" s="78">
        <v>240000</v>
      </c>
      <c r="P18" s="87">
        <v>96612.03</v>
      </c>
      <c r="Q18" s="23">
        <v>179610.28</v>
      </c>
      <c r="R18" s="81">
        <f>Q18/P18*100</f>
        <v>185.90881487533179</v>
      </c>
      <c r="S18" s="77">
        <f t="shared" si="7"/>
        <v>74.83761666666666</v>
      </c>
      <c r="T18" s="78">
        <v>500000</v>
      </c>
      <c r="U18" s="62">
        <v>-3425.49</v>
      </c>
      <c r="V18" s="25">
        <v>5065.17</v>
      </c>
      <c r="W18" s="77">
        <f t="shared" si="13"/>
        <v>-147.8670204846606</v>
      </c>
      <c r="X18" s="77">
        <f t="shared" si="8"/>
        <v>1.013034</v>
      </c>
      <c r="Y18" s="78">
        <v>1438100</v>
      </c>
      <c r="Z18" s="62">
        <v>125145.43</v>
      </c>
      <c r="AA18" s="25">
        <v>79468.79</v>
      </c>
      <c r="AB18" s="77">
        <f t="shared" si="9"/>
        <v>63.50115221946179</v>
      </c>
      <c r="AC18" s="77">
        <f t="shared" si="10"/>
        <v>5.525957165704749</v>
      </c>
      <c r="AD18" s="78">
        <v>13000</v>
      </c>
      <c r="AE18" s="82">
        <v>3300</v>
      </c>
      <c r="AF18" s="78">
        <v>9200</v>
      </c>
      <c r="AG18" s="77">
        <f>AF18/AE18*100</f>
        <v>278.7878787878788</v>
      </c>
      <c r="AH18" s="77">
        <f>AF18/AD18*100</f>
        <v>70.76923076923077</v>
      </c>
      <c r="AI18" s="25">
        <v>136000</v>
      </c>
      <c r="AJ18" s="62">
        <v>40994.85</v>
      </c>
      <c r="AK18" s="25">
        <v>11933.16</v>
      </c>
      <c r="AL18" s="77">
        <f>AK18/AJ18*100</f>
        <v>29.108924657609432</v>
      </c>
      <c r="AM18" s="77">
        <f t="shared" si="12"/>
        <v>8.774382352941176</v>
      </c>
      <c r="AN18" s="78"/>
      <c r="AO18" s="62">
        <v>0</v>
      </c>
      <c r="AP18" s="25"/>
      <c r="AQ18" s="77"/>
      <c r="AR18" s="77"/>
      <c r="AS18" s="78"/>
      <c r="AT18" s="83"/>
      <c r="AU18" s="77"/>
      <c r="AV18" s="77"/>
      <c r="AW18" s="77"/>
      <c r="AX18" s="77"/>
      <c r="AY18" s="77"/>
      <c r="AZ18" s="77"/>
      <c r="BA18" s="77"/>
      <c r="BB18" s="77"/>
      <c r="BC18" s="25"/>
      <c r="BD18" s="62"/>
      <c r="BE18" s="25"/>
      <c r="BF18" s="77"/>
      <c r="BG18" s="25"/>
      <c r="BH18" s="25"/>
      <c r="BI18" s="62"/>
      <c r="BJ18" s="25"/>
      <c r="BK18" s="25"/>
      <c r="BL18" s="25"/>
      <c r="BM18" s="78"/>
      <c r="BN18" s="62"/>
      <c r="BO18" s="25"/>
      <c r="BP18" s="77"/>
      <c r="BQ18" s="77"/>
      <c r="BR18" s="25"/>
      <c r="BS18" s="62"/>
      <c r="BT18" s="25"/>
      <c r="BU18" s="25"/>
      <c r="BV18" s="25"/>
      <c r="BW18" s="25"/>
      <c r="BX18" s="62"/>
      <c r="BY18" s="25"/>
      <c r="BZ18" s="25"/>
      <c r="CA18" s="77"/>
      <c r="CB18" s="25"/>
      <c r="CC18" s="25"/>
      <c r="CD18" s="25"/>
      <c r="CE18" s="25"/>
      <c r="CF18" s="25"/>
      <c r="CG18" s="33"/>
      <c r="CH18" s="25">
        <v>-2000</v>
      </c>
      <c r="CI18" s="25">
        <v>-4000</v>
      </c>
      <c r="CJ18" s="77"/>
      <c r="CK18" s="25"/>
    </row>
    <row r="19" spans="1:89" s="118" customFormat="1" ht="24.75" customHeight="1">
      <c r="A19" s="103" t="s">
        <v>83</v>
      </c>
      <c r="B19" s="28">
        <f>SUM(B10:B18)</f>
        <v>21051800</v>
      </c>
      <c r="C19" s="28">
        <f>SUM(C10:C18)</f>
        <v>5007531.87</v>
      </c>
      <c r="D19" s="104">
        <f t="shared" si="2"/>
        <v>23.786715957780334</v>
      </c>
      <c r="E19" s="105">
        <f>SUM(E10:E18)</f>
        <v>2263500</v>
      </c>
      <c r="F19" s="106">
        <f>SUM(F10:F18)</f>
        <v>556345.11</v>
      </c>
      <c r="G19" s="107">
        <f>SUM(G10:G18)</f>
        <v>627575.77</v>
      </c>
      <c r="H19" s="108">
        <f t="shared" si="3"/>
        <v>112.80332274332383</v>
      </c>
      <c r="I19" s="109">
        <f t="shared" si="4"/>
        <v>27.725901038215156</v>
      </c>
      <c r="J19" s="105">
        <f>SUM(J10:J18)</f>
        <v>4079800</v>
      </c>
      <c r="K19" s="110">
        <f>SUM(K10:K18)</f>
        <v>1179942.98</v>
      </c>
      <c r="L19" s="111">
        <f>SUM(L10:L18)</f>
        <v>1450087.6800000002</v>
      </c>
      <c r="M19" s="112">
        <f t="shared" si="5"/>
        <v>122.89472496374361</v>
      </c>
      <c r="N19" s="113">
        <f t="shared" si="6"/>
        <v>35.54310701504976</v>
      </c>
      <c r="O19" s="105">
        <f>SUM(O10:O18)</f>
        <v>807000</v>
      </c>
      <c r="P19" s="114">
        <f>P18+P17+P16+P15+P14+P12+P11+P13+P10</f>
        <v>408372.9099999999</v>
      </c>
      <c r="Q19" s="27">
        <f>Q18+Q17+Q16+Q15+Q14+Q12+Q11+Q13+Q10</f>
        <v>942666.84</v>
      </c>
      <c r="R19" s="112">
        <f>Q19/P19*100</f>
        <v>230.83481223081134</v>
      </c>
      <c r="S19" s="113">
        <f t="shared" si="7"/>
        <v>116.8112565055762</v>
      </c>
      <c r="T19" s="105">
        <f>SUM(T10:T18)</f>
        <v>3282900</v>
      </c>
      <c r="U19" s="106">
        <f>SUM(U10:U18)</f>
        <v>26378.71</v>
      </c>
      <c r="V19" s="107">
        <f>SUM(V10:V18)</f>
        <v>247674.14</v>
      </c>
      <c r="W19" s="109">
        <f t="shared" si="13"/>
        <v>938.9168007078437</v>
      </c>
      <c r="X19" s="109">
        <f t="shared" si="8"/>
        <v>7.544370526059277</v>
      </c>
      <c r="Y19" s="105">
        <f>SUM(Y10:Y18)</f>
        <v>8988100</v>
      </c>
      <c r="Z19" s="106">
        <f>SUM(Z10:Z18)</f>
        <v>656261.95</v>
      </c>
      <c r="AA19" s="107">
        <f>SUM(AA10:AA18)</f>
        <v>832361.89</v>
      </c>
      <c r="AB19" s="109">
        <f t="shared" si="9"/>
        <v>126.83378794092816</v>
      </c>
      <c r="AC19" s="109">
        <f t="shared" si="10"/>
        <v>9.26071016121316</v>
      </c>
      <c r="AD19" s="105">
        <f>SUM(AD10:AD18)</f>
        <v>113000</v>
      </c>
      <c r="AE19" s="115">
        <f>SUM(AE10:AE18)</f>
        <v>31390</v>
      </c>
      <c r="AF19" s="105">
        <f>SUM(AF10:AF18)</f>
        <v>48050</v>
      </c>
      <c r="AG19" s="113">
        <f>AF19/AE19*100</f>
        <v>153.07422746097484</v>
      </c>
      <c r="AH19" s="109">
        <f>AF19/AD19*100</f>
        <v>42.52212389380531</v>
      </c>
      <c r="AI19" s="107">
        <f>SUM(AI10:AI18)</f>
        <v>973500</v>
      </c>
      <c r="AJ19" s="106">
        <f>SUM(AJ10:AJ18)</f>
        <v>296452.05</v>
      </c>
      <c r="AK19" s="107">
        <f>SUM(AK10:AK18)</f>
        <v>571916.28</v>
      </c>
      <c r="AL19" s="109">
        <f>AK19/AJ19*100</f>
        <v>192.920332310065</v>
      </c>
      <c r="AM19" s="113">
        <f t="shared" si="12"/>
        <v>58.748462249614796</v>
      </c>
      <c r="AN19" s="105">
        <f>SUM(AN10:AN18)</f>
        <v>150300</v>
      </c>
      <c r="AO19" s="106">
        <f>SUM(AO10:AO18)</f>
        <v>161549.77000000002</v>
      </c>
      <c r="AP19" s="107">
        <f>SUM(AP10:AP18)</f>
        <v>34568.1</v>
      </c>
      <c r="AQ19" s="109">
        <f>AP19/AO19*100</f>
        <v>21.397802051962064</v>
      </c>
      <c r="AR19" s="113">
        <f>AP19/AN19*100</f>
        <v>22.99940119760479</v>
      </c>
      <c r="AS19" s="105">
        <f>SUM(AS10:AS18)</f>
        <v>287700</v>
      </c>
      <c r="AT19" s="106">
        <f>SUM(AT10:AT18)</f>
        <v>28784</v>
      </c>
      <c r="AU19" s="107">
        <f>SUM(AU10:AU18)</f>
        <v>0</v>
      </c>
      <c r="AV19" s="109"/>
      <c r="AW19" s="109">
        <f>AU19/AS19*100</f>
        <v>0</v>
      </c>
      <c r="AX19" s="108">
        <f>SUM(AX10:AX18)</f>
        <v>14000</v>
      </c>
      <c r="AY19" s="116">
        <f>AY17</f>
        <v>7038.38</v>
      </c>
      <c r="AZ19" s="108">
        <f>AZ17</f>
        <v>1360.09</v>
      </c>
      <c r="BA19" s="108"/>
      <c r="BB19" s="109">
        <f>AZ19/AX19*100</f>
        <v>9.71492857142857</v>
      </c>
      <c r="BC19" s="107">
        <f>SUM(BC10:BC18)</f>
        <v>92000</v>
      </c>
      <c r="BD19" s="106">
        <f>SUM(BD10:BD18)</f>
        <v>64566.34</v>
      </c>
      <c r="BE19" s="107">
        <f>SUM(BE10:BE18)</f>
        <v>29736.55</v>
      </c>
      <c r="BF19" s="113"/>
      <c r="BG19" s="109">
        <v>0</v>
      </c>
      <c r="BH19" s="107">
        <f>SUM(BH10:BH18)</f>
        <v>0</v>
      </c>
      <c r="BI19" s="106">
        <f>SUM(BI10:BI18)</f>
        <v>0</v>
      </c>
      <c r="BJ19" s="107">
        <f>SUM(BJ10:BJ18)</f>
        <v>35807.25</v>
      </c>
      <c r="BK19" s="113">
        <f>SUM(BK10:BK18)</f>
        <v>0</v>
      </c>
      <c r="BL19" s="33"/>
      <c r="BM19" s="107">
        <f>SUM(BM10:BM18)</f>
        <v>0</v>
      </c>
      <c r="BN19" s="106">
        <f>SUM(BN10:BN18)</f>
        <v>0</v>
      </c>
      <c r="BO19" s="107">
        <f>SUM(BO10:BO18)</f>
        <v>0</v>
      </c>
      <c r="BP19" s="109"/>
      <c r="BQ19" s="109"/>
      <c r="BR19" s="116">
        <f>SUM(BR10:BR18)</f>
        <v>0</v>
      </c>
      <c r="BS19" s="117">
        <f>SUM(BS10:BS18)</f>
        <v>0</v>
      </c>
      <c r="BT19" s="116">
        <f>SUM(BT10:BT18)</f>
        <v>81889.52</v>
      </c>
      <c r="BU19" s="108"/>
      <c r="BV19" s="109"/>
      <c r="BW19" s="107">
        <f>SUM(BW10:BW18)</f>
        <v>0</v>
      </c>
      <c r="BX19" s="106">
        <f>BX10+BX12+BX14+BX17</f>
        <v>9654</v>
      </c>
      <c r="BY19" s="107">
        <f>SUM(BY10:BY18)</f>
        <v>0</v>
      </c>
      <c r="BZ19" s="107"/>
      <c r="CA19" s="109">
        <v>0</v>
      </c>
      <c r="CB19" s="107">
        <f>SUM(CB10:CB18)</f>
        <v>0</v>
      </c>
      <c r="CC19" s="116">
        <f>CC17</f>
        <v>0</v>
      </c>
      <c r="CD19" s="116">
        <f>CD17</f>
        <v>110837.76</v>
      </c>
      <c r="CE19" s="109"/>
      <c r="CF19" s="77"/>
      <c r="CG19" s="107"/>
      <c r="CH19" s="107">
        <f>SUM(CH10:CH18)</f>
        <v>5447.28</v>
      </c>
      <c r="CI19" s="107">
        <f>SUM(CI10:CI18)</f>
        <v>-7000</v>
      </c>
      <c r="CJ19" s="109"/>
      <c r="CK19" s="109"/>
    </row>
    <row r="29" ht="12.75">
      <c r="G29" s="57"/>
    </row>
    <row r="30" ht="12.75">
      <c r="G30" s="57"/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H8:CI8"/>
    <mergeCell ref="CJ8:CK8"/>
    <mergeCell ref="CB8:CB9"/>
    <mergeCell ref="CC8:CD8"/>
    <mergeCell ref="CE8:CF8"/>
    <mergeCell ref="CG8:CG9"/>
  </mergeCells>
  <printOptions/>
  <pageMargins left="0.25972222222222224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I5" sqref="I5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8.7109375" style="0" customWidth="1"/>
    <col min="7" max="7" width="15.28125" style="0" customWidth="1"/>
    <col min="8" max="8" width="15.57421875" style="0" customWidth="1"/>
    <col min="9" max="9" width="13.57421875" style="0" customWidth="1"/>
    <col min="10" max="10" width="14.57421875" style="0" customWidth="1"/>
    <col min="11" max="11" width="12.28125" style="0" customWidth="1"/>
    <col min="12" max="12" width="11.7109375" style="0" customWidth="1"/>
    <col min="13" max="16384" width="9.00390625" style="0" customWidth="1"/>
  </cols>
  <sheetData>
    <row r="1" spans="1:12" ht="8.25" customHeight="1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19"/>
      <c r="B2" s="119"/>
      <c r="C2" s="119"/>
      <c r="D2" s="120"/>
      <c r="E2" s="121"/>
      <c r="F2" s="120"/>
      <c r="G2" s="120"/>
      <c r="H2" s="120"/>
      <c r="I2" s="122"/>
      <c r="J2" s="122"/>
      <c r="K2" s="120"/>
      <c r="L2" s="120"/>
    </row>
    <row r="3" spans="1:12" ht="14.25" customHeight="1">
      <c r="A3" s="152"/>
      <c r="B3" s="152"/>
      <c r="C3" s="152"/>
      <c r="D3" s="152"/>
      <c r="E3" s="152"/>
      <c r="F3" s="152"/>
      <c r="G3" s="153" t="s">
        <v>84</v>
      </c>
      <c r="H3" s="154" t="s">
        <v>85</v>
      </c>
      <c r="I3" s="155" t="s">
        <v>15</v>
      </c>
      <c r="J3" s="155"/>
      <c r="K3" s="155" t="s">
        <v>16</v>
      </c>
      <c r="L3" s="155"/>
    </row>
    <row r="4" spans="1:12" ht="43.5" customHeight="1">
      <c r="A4" s="152"/>
      <c r="B4" s="152"/>
      <c r="C4" s="152"/>
      <c r="D4" s="152"/>
      <c r="E4" s="152"/>
      <c r="F4" s="152"/>
      <c r="G4" s="153"/>
      <c r="H4" s="154"/>
      <c r="I4" s="123" t="s">
        <v>93</v>
      </c>
      <c r="J4" s="124" t="s">
        <v>94</v>
      </c>
      <c r="K4" s="124" t="s">
        <v>95</v>
      </c>
      <c r="L4" s="124" t="s">
        <v>96</v>
      </c>
    </row>
    <row r="5" spans="1:12" ht="24.75" customHeight="1">
      <c r="A5" s="150" t="s">
        <v>33</v>
      </c>
      <c r="B5" s="150"/>
      <c r="C5" s="150"/>
      <c r="D5" s="150"/>
      <c r="E5" s="150"/>
      <c r="F5" s="150"/>
      <c r="G5" s="125">
        <f>G6+G7+G8+G9+G11+G12+G13+G14+G10+G15+G16</f>
        <v>70317729.11000001</v>
      </c>
      <c r="H5" s="125">
        <f>SUM(H6:H16)</f>
        <v>82419400</v>
      </c>
      <c r="I5" s="125">
        <f>I6+I7+I8+I9+I10+I11+I12+I13+I14+I15+I16</f>
        <v>19526085.029999997</v>
      </c>
      <c r="J5" s="125">
        <f>J6+J7+J8+J9+J11+J12+J13+J14+J10+J15+J16</f>
        <v>23011226.260000005</v>
      </c>
      <c r="K5" s="126">
        <f aca="true" t="shared" si="0" ref="K5:K13">J5/I5*100</f>
        <v>117.84864310815719</v>
      </c>
      <c r="L5" s="126">
        <f aca="true" t="shared" si="1" ref="L5:L15">J5/H5*100</f>
        <v>27.919672140297074</v>
      </c>
    </row>
    <row r="6" spans="1:12" ht="17.25" customHeight="1">
      <c r="A6" s="148" t="s">
        <v>34</v>
      </c>
      <c r="B6" s="148"/>
      <c r="C6" s="148"/>
      <c r="D6" s="148"/>
      <c r="E6" s="148"/>
      <c r="F6" s="148"/>
      <c r="G6" s="25">
        <v>41257048.21</v>
      </c>
      <c r="H6" s="25">
        <f>Лист1!H25+Лист2!E19</f>
        <v>48864400</v>
      </c>
      <c r="I6" s="25">
        <f>Лист1!I25+Лист2!F19</f>
        <v>11961418.09</v>
      </c>
      <c r="J6" s="25">
        <f>Лист1!J25+Лист2!G19</f>
        <v>13548104.35</v>
      </c>
      <c r="K6" s="17">
        <f t="shared" si="0"/>
        <v>113.26503469790512</v>
      </c>
      <c r="L6" s="17">
        <f t="shared" si="1"/>
        <v>27.725919790276766</v>
      </c>
    </row>
    <row r="7" spans="1:12" ht="24.75" customHeight="1">
      <c r="A7" s="149" t="s">
        <v>35</v>
      </c>
      <c r="B7" s="149"/>
      <c r="C7" s="149"/>
      <c r="D7" s="149"/>
      <c r="E7" s="149"/>
      <c r="F7" s="149"/>
      <c r="G7" s="25">
        <v>6330647.39</v>
      </c>
      <c r="H7" s="25">
        <f>Лист1!H26+Лист2!J19</f>
        <v>7141000</v>
      </c>
      <c r="I7" s="25">
        <f>Лист1!I26+Лист2!K19</f>
        <v>2064057.88</v>
      </c>
      <c r="J7" s="25">
        <f>Лист1!J26+Лист2!L19</f>
        <v>2538069.66</v>
      </c>
      <c r="K7" s="17">
        <f t="shared" si="0"/>
        <v>122.96504301516973</v>
      </c>
      <c r="L7" s="17">
        <f t="shared" si="1"/>
        <v>35.54221621621622</v>
      </c>
    </row>
    <row r="8" spans="1:12" ht="14.25" customHeight="1">
      <c r="A8" s="148" t="s">
        <v>36</v>
      </c>
      <c r="B8" s="148"/>
      <c r="C8" s="148"/>
      <c r="D8" s="148"/>
      <c r="E8" s="148"/>
      <c r="F8" s="148"/>
      <c r="G8" s="25">
        <v>6842061.14</v>
      </c>
      <c r="H8" s="25">
        <f>Лист1!H27</f>
        <v>7360000</v>
      </c>
      <c r="I8" s="25">
        <f>Лист1!I27</f>
        <v>2752495.6</v>
      </c>
      <c r="J8" s="25">
        <f>Лист1!J27</f>
        <v>1898057.24</v>
      </c>
      <c r="K8" s="17">
        <f t="shared" si="0"/>
        <v>68.95768480065871</v>
      </c>
      <c r="L8" s="17">
        <f t="shared" si="1"/>
        <v>25.788821195652172</v>
      </c>
    </row>
    <row r="9" spans="1:12" ht="18" customHeight="1">
      <c r="A9" s="148" t="s">
        <v>37</v>
      </c>
      <c r="B9" s="148"/>
      <c r="C9" s="148"/>
      <c r="D9" s="148"/>
      <c r="E9" s="148"/>
      <c r="F9" s="148"/>
      <c r="G9" s="25">
        <v>2553920.86</v>
      </c>
      <c r="H9" s="25">
        <f>Лист1!H28+Лист2!O19</f>
        <v>2690000</v>
      </c>
      <c r="I9" s="25">
        <f>Лист1!I28+Лист2!P19</f>
        <v>1361243.0099999998</v>
      </c>
      <c r="J9" s="25">
        <f>Лист1!J28+Лист2!Q19</f>
        <v>3142222.8</v>
      </c>
      <c r="K9" s="17">
        <f t="shared" si="0"/>
        <v>230.83481618759612</v>
      </c>
      <c r="L9" s="17">
        <f t="shared" si="1"/>
        <v>116.8112565055762</v>
      </c>
    </row>
    <row r="10" spans="1:12" ht="24.75" customHeight="1">
      <c r="A10" s="149" t="s">
        <v>38</v>
      </c>
      <c r="B10" s="149"/>
      <c r="C10" s="149"/>
      <c r="D10" s="149"/>
      <c r="E10" s="149"/>
      <c r="F10" s="149"/>
      <c r="G10" s="25">
        <v>199974.95</v>
      </c>
      <c r="H10" s="25">
        <f>Лист1!H29</f>
        <v>230000</v>
      </c>
      <c r="I10" s="25">
        <f>Лист1!I29</f>
        <v>37709.91</v>
      </c>
      <c r="J10" s="25">
        <f>Лист1!J29</f>
        <v>15241.01</v>
      </c>
      <c r="K10" s="17">
        <f t="shared" si="0"/>
        <v>40.41645816709718</v>
      </c>
      <c r="L10" s="17">
        <f t="shared" si="1"/>
        <v>6.626526086956522</v>
      </c>
    </row>
    <row r="11" spans="1:12" ht="19.5" customHeight="1">
      <c r="A11" s="148" t="s">
        <v>86</v>
      </c>
      <c r="B11" s="148"/>
      <c r="C11" s="148"/>
      <c r="D11" s="148"/>
      <c r="E11" s="148"/>
      <c r="F11" s="148"/>
      <c r="G11" s="127">
        <v>1276052</v>
      </c>
      <c r="H11" s="25">
        <f>Лист2!T19</f>
        <v>3282900</v>
      </c>
      <c r="I11" s="25">
        <f>Лист2!U19</f>
        <v>26378.71</v>
      </c>
      <c r="J11" s="25">
        <f>Лист2!V19</f>
        <v>247674.14</v>
      </c>
      <c r="K11" s="17">
        <f t="shared" si="0"/>
        <v>938.9168007078437</v>
      </c>
      <c r="L11" s="17">
        <f t="shared" si="1"/>
        <v>7.544370526059277</v>
      </c>
    </row>
    <row r="12" spans="1:12" ht="18.75" customHeight="1">
      <c r="A12" s="148" t="s">
        <v>87</v>
      </c>
      <c r="B12" s="148"/>
      <c r="C12" s="148"/>
      <c r="D12" s="148"/>
      <c r="E12" s="148"/>
      <c r="F12" s="148"/>
      <c r="G12" s="25">
        <v>8014816.32</v>
      </c>
      <c r="H12" s="25">
        <f>Лист2!Y19</f>
        <v>8988100</v>
      </c>
      <c r="I12" s="25">
        <f>Лист2!Z19</f>
        <v>656261.95</v>
      </c>
      <c r="J12" s="25">
        <f>Лист2!AA19</f>
        <v>832361.89</v>
      </c>
      <c r="K12" s="17">
        <f t="shared" si="0"/>
        <v>126.83378794092816</v>
      </c>
      <c r="L12" s="17">
        <f t="shared" si="1"/>
        <v>9.26071016121316</v>
      </c>
    </row>
    <row r="13" spans="1:12" ht="19.5" customHeight="1">
      <c r="A13" s="148" t="s">
        <v>39</v>
      </c>
      <c r="B13" s="148"/>
      <c r="C13" s="148"/>
      <c r="D13" s="148"/>
      <c r="E13" s="148"/>
      <c r="F13" s="148"/>
      <c r="G13" s="25">
        <v>1372244.37</v>
      </c>
      <c r="H13" s="25">
        <f>Лист1!H30</f>
        <v>1550000</v>
      </c>
      <c r="I13" s="25">
        <f>Лист1!I30</f>
        <v>141122.08</v>
      </c>
      <c r="J13" s="25">
        <f>Лист1!J30</f>
        <v>156147.94</v>
      </c>
      <c r="K13" s="17">
        <f t="shared" si="0"/>
        <v>110.6474195958563</v>
      </c>
      <c r="L13" s="17">
        <f t="shared" si="1"/>
        <v>10.07406064516129</v>
      </c>
    </row>
    <row r="14" spans="1:12" ht="19.5" customHeight="1">
      <c r="A14" s="148" t="s">
        <v>40</v>
      </c>
      <c r="B14" s="148"/>
      <c r="C14" s="148"/>
      <c r="D14" s="148"/>
      <c r="E14" s="148"/>
      <c r="F14" s="148"/>
      <c r="G14" s="25">
        <v>1041901.33</v>
      </c>
      <c r="H14" s="25">
        <f>Лист1!H31</f>
        <v>700000</v>
      </c>
      <c r="I14" s="25">
        <f>Лист1!I31</f>
        <v>0</v>
      </c>
      <c r="J14" s="25">
        <f>Лист1!J31</f>
        <v>0</v>
      </c>
      <c r="K14" s="17"/>
      <c r="L14" s="17">
        <f t="shared" si="1"/>
        <v>0</v>
      </c>
    </row>
    <row r="15" spans="1:12" ht="19.5" customHeight="1">
      <c r="A15" s="148" t="s">
        <v>41</v>
      </c>
      <c r="B15" s="148"/>
      <c r="C15" s="148"/>
      <c r="D15" s="148"/>
      <c r="E15" s="148"/>
      <c r="F15" s="148"/>
      <c r="G15" s="25">
        <v>1429062.54</v>
      </c>
      <c r="H15" s="25">
        <f>Лист1!H32+Лист2!AD19</f>
        <v>1613000</v>
      </c>
      <c r="I15" s="25">
        <f>Лист1!I32+Лист2!AE19</f>
        <v>525397.8</v>
      </c>
      <c r="J15" s="25">
        <f>Лист1!J32+Лист2!AF19</f>
        <v>633347.23</v>
      </c>
      <c r="K15" s="17">
        <f>J15/I15*100</f>
        <v>120.5462280199879</v>
      </c>
      <c r="L15" s="17">
        <f t="shared" si="1"/>
        <v>39.26517234965902</v>
      </c>
    </row>
    <row r="16" spans="1:12" ht="17.25" customHeight="1">
      <c r="A16" s="148" t="s">
        <v>42</v>
      </c>
      <c r="B16" s="148"/>
      <c r="C16" s="148"/>
      <c r="D16" s="148"/>
      <c r="E16" s="148"/>
      <c r="F16" s="148"/>
      <c r="G16" s="25"/>
      <c r="H16" s="25"/>
      <c r="I16" s="25"/>
      <c r="J16" s="25"/>
      <c r="K16" s="17"/>
      <c r="L16" s="17"/>
    </row>
    <row r="17" spans="1:12" ht="19.5" customHeight="1">
      <c r="A17" s="150" t="s">
        <v>43</v>
      </c>
      <c r="B17" s="150"/>
      <c r="C17" s="150"/>
      <c r="D17" s="150"/>
      <c r="E17" s="150"/>
      <c r="F17" s="150"/>
      <c r="G17" s="125">
        <f>G18+G19+G20+G21+G22+G23+G24+G25+G26+G27+G28+G29+G30+G31</f>
        <v>11941096.999999998</v>
      </c>
      <c r="H17" s="125">
        <f>SUM(H18:H31)</f>
        <v>12046300</v>
      </c>
      <c r="I17" s="125">
        <f>I18+I19+I20+I21+I22+I23+I24+I25+I26+I27+I28+I29+I30+I31</f>
        <v>3750770.8800000004</v>
      </c>
      <c r="J17" s="125">
        <f>J18+J19+J20+J21+J22+J23+J24+J25+J26+J27+J28+J29+J30+J31</f>
        <v>4136887.1599999988</v>
      </c>
      <c r="K17" s="112">
        <f>J17/I17*100</f>
        <v>110.29431795098074</v>
      </c>
      <c r="L17" s="112">
        <f aca="true" t="shared" si="2" ref="L17:L25">J17/H17*100</f>
        <v>34.34155848683827</v>
      </c>
    </row>
    <row r="18" spans="1:12" ht="24.75" customHeight="1">
      <c r="A18" s="149" t="s">
        <v>44</v>
      </c>
      <c r="B18" s="149"/>
      <c r="C18" s="149"/>
      <c r="D18" s="149"/>
      <c r="E18" s="149"/>
      <c r="F18" s="149"/>
      <c r="G18" s="25">
        <v>7083.33</v>
      </c>
      <c r="H18" s="25">
        <f>Лист1!H35</f>
        <v>5000</v>
      </c>
      <c r="I18" s="25">
        <f>Лист1!I35</f>
        <v>21437.67</v>
      </c>
      <c r="J18" s="25">
        <f>Лист1!J35</f>
        <v>3490</v>
      </c>
      <c r="K18" s="17">
        <f>J18/I18*100</f>
        <v>16.27975428299811</v>
      </c>
      <c r="L18" s="17">
        <f t="shared" si="2"/>
        <v>69.8</v>
      </c>
    </row>
    <row r="19" spans="1:12" ht="21" customHeight="1">
      <c r="A19" s="148" t="s">
        <v>45</v>
      </c>
      <c r="B19" s="148"/>
      <c r="C19" s="148"/>
      <c r="D19" s="148"/>
      <c r="E19" s="148"/>
      <c r="F19" s="148"/>
      <c r="G19" s="25">
        <v>6014611.75</v>
      </c>
      <c r="H19" s="25">
        <f>Лист1!H36+Лист2!AI19</f>
        <v>6314500</v>
      </c>
      <c r="I19" s="25">
        <f>Лист1!I36+Лист2!AJ19</f>
        <v>2244991.48</v>
      </c>
      <c r="J19" s="25">
        <f>Лист1!J36+Лист2!AK19</f>
        <v>2671812.0599999996</v>
      </c>
      <c r="K19" s="17">
        <f>J19/I19*100</f>
        <v>119.01212471416594</v>
      </c>
      <c r="L19" s="17">
        <f t="shared" si="2"/>
        <v>42.31232971731728</v>
      </c>
    </row>
    <row r="20" spans="1:12" ht="18.75" customHeight="1">
      <c r="A20" s="148" t="s">
        <v>46</v>
      </c>
      <c r="B20" s="148"/>
      <c r="C20" s="148"/>
      <c r="D20" s="148"/>
      <c r="E20" s="148"/>
      <c r="F20" s="148"/>
      <c r="G20" s="25">
        <v>671070.82</v>
      </c>
      <c r="H20" s="25">
        <f>Лист1!H37+Лист2!AN19</f>
        <v>484300</v>
      </c>
      <c r="I20" s="25">
        <f>Лист1!I37+Лист2!AO19</f>
        <v>226126.22000000003</v>
      </c>
      <c r="J20" s="25">
        <f>Лист1!J37+Лист2!AP19</f>
        <v>221193.29</v>
      </c>
      <c r="K20" s="17">
        <f>J20/I20*100</f>
        <v>97.81850596538516</v>
      </c>
      <c r="L20" s="17">
        <f t="shared" si="2"/>
        <v>45.6727833987198</v>
      </c>
    </row>
    <row r="21" spans="1:12" ht="29.25" customHeight="1">
      <c r="A21" s="149" t="s">
        <v>88</v>
      </c>
      <c r="B21" s="149"/>
      <c r="C21" s="149"/>
      <c r="D21" s="149"/>
      <c r="E21" s="149"/>
      <c r="F21" s="149"/>
      <c r="G21" s="25">
        <v>429839.56</v>
      </c>
      <c r="H21" s="25">
        <f>Лист2!AS17</f>
        <v>287700</v>
      </c>
      <c r="I21" s="25">
        <f>Лист2!AT19</f>
        <v>28784</v>
      </c>
      <c r="J21" s="25">
        <f>Лист2!AU19</f>
        <v>0</v>
      </c>
      <c r="K21" s="17"/>
      <c r="L21" s="17">
        <f t="shared" si="2"/>
        <v>0</v>
      </c>
    </row>
    <row r="22" spans="1:12" ht="28.5" customHeight="1">
      <c r="A22" s="149" t="s">
        <v>89</v>
      </c>
      <c r="B22" s="149"/>
      <c r="C22" s="149"/>
      <c r="D22" s="149"/>
      <c r="E22" s="149"/>
      <c r="F22" s="149"/>
      <c r="G22" s="25"/>
      <c r="H22" s="25">
        <f>Лист2!AX19</f>
        <v>14000</v>
      </c>
      <c r="I22" s="25">
        <f>Лист2!AY17</f>
        <v>7038.38</v>
      </c>
      <c r="J22" s="25">
        <f>Лист2!AZ17</f>
        <v>1360.09</v>
      </c>
      <c r="K22" s="17"/>
      <c r="L22" s="17">
        <f t="shared" si="2"/>
        <v>9.71492857142857</v>
      </c>
    </row>
    <row r="23" spans="1:12" ht="18.75" customHeight="1">
      <c r="A23" s="148" t="s">
        <v>47</v>
      </c>
      <c r="B23" s="148"/>
      <c r="C23" s="148"/>
      <c r="D23" s="148"/>
      <c r="E23" s="148"/>
      <c r="F23" s="148"/>
      <c r="G23" s="25">
        <v>116849.67</v>
      </c>
      <c r="H23" s="25">
        <f>Лист1!H38</f>
        <v>130000</v>
      </c>
      <c r="I23" s="25">
        <f>Лист1!I38</f>
        <v>72593.65</v>
      </c>
      <c r="J23" s="25">
        <f>Лист1!J38</f>
        <v>32768.76</v>
      </c>
      <c r="K23" s="17">
        <f>J23/I23*100</f>
        <v>45.13998125180371</v>
      </c>
      <c r="L23" s="17">
        <f t="shared" si="2"/>
        <v>25.206738461538464</v>
      </c>
    </row>
    <row r="24" spans="1:12" ht="18" customHeight="1">
      <c r="A24" s="148" t="s">
        <v>48</v>
      </c>
      <c r="B24" s="148"/>
      <c r="C24" s="148"/>
      <c r="D24" s="148"/>
      <c r="E24" s="148"/>
      <c r="F24" s="148"/>
      <c r="G24" s="25">
        <v>754579.8</v>
      </c>
      <c r="H24" s="25">
        <f>Лист1!H39</f>
        <v>1968800</v>
      </c>
      <c r="I24" s="25">
        <f>Лист1!I39</f>
        <v>522401.4</v>
      </c>
      <c r="J24" s="25">
        <f>Лист1!J39</f>
        <v>435334.5</v>
      </c>
      <c r="K24" s="17"/>
      <c r="L24" s="17">
        <f t="shared" si="2"/>
        <v>22.111667005282406</v>
      </c>
    </row>
    <row r="25" spans="1:12" ht="24.75" customHeight="1">
      <c r="A25" s="149" t="s">
        <v>90</v>
      </c>
      <c r="B25" s="149"/>
      <c r="C25" s="149"/>
      <c r="D25" s="149"/>
      <c r="E25" s="149"/>
      <c r="F25" s="149"/>
      <c r="G25" s="16">
        <v>151911.94</v>
      </c>
      <c r="H25" s="16">
        <f>Лист1!H40+Лист2!BC19</f>
        <v>92000</v>
      </c>
      <c r="I25" s="25">
        <f>Лист1!I40+Лист2!BD19</f>
        <v>68162.45</v>
      </c>
      <c r="J25" s="16">
        <f>Лист2!BE19+Лист1!J40</f>
        <v>29736.55</v>
      </c>
      <c r="K25" s="17">
        <f>J25/I25*100</f>
        <v>43.62599935888455</v>
      </c>
      <c r="L25" s="17">
        <f t="shared" si="2"/>
        <v>32.32233695652174</v>
      </c>
    </row>
    <row r="26" spans="1:12" ht="18.75" customHeight="1">
      <c r="A26" s="149" t="s">
        <v>91</v>
      </c>
      <c r="B26" s="149"/>
      <c r="C26" s="149"/>
      <c r="D26" s="149"/>
      <c r="E26" s="149"/>
      <c r="F26" s="149"/>
      <c r="G26" s="25">
        <v>120001.01</v>
      </c>
      <c r="H26" s="16">
        <f>Лист1!H41+Лист2!BH19</f>
        <v>0</v>
      </c>
      <c r="I26" s="25">
        <f>Лист1!I41+Лист2!BI19</f>
        <v>19954.58</v>
      </c>
      <c r="J26" s="25">
        <f>Лист1!J41+Лист2!BJ19</f>
        <v>177475.47</v>
      </c>
      <c r="K26" s="17"/>
      <c r="L26" s="17"/>
    </row>
    <row r="27" spans="1:12" ht="19.5" customHeight="1">
      <c r="A27" s="148" t="s">
        <v>92</v>
      </c>
      <c r="B27" s="148"/>
      <c r="C27" s="148"/>
      <c r="D27" s="148"/>
      <c r="E27" s="148"/>
      <c r="F27" s="148"/>
      <c r="G27" s="25">
        <v>641148</v>
      </c>
      <c r="H27" s="16">
        <f>Лист1!H42+Лист2!BR19</f>
        <v>1000000</v>
      </c>
      <c r="I27" s="25">
        <f>Лист1!I42+Лист2!BS19</f>
        <v>76271</v>
      </c>
      <c r="J27" s="25">
        <f>Лист1!J42+Лист2!BT19</f>
        <v>150511.52000000002</v>
      </c>
      <c r="K27" s="17"/>
      <c r="L27" s="17">
        <f>J27/H27*100</f>
        <v>15.051152000000002</v>
      </c>
    </row>
    <row r="28" spans="1:12" ht="20.25" customHeight="1">
      <c r="A28" s="148" t="s">
        <v>52</v>
      </c>
      <c r="B28" s="148"/>
      <c r="C28" s="148"/>
      <c r="D28" s="148"/>
      <c r="E28" s="148"/>
      <c r="F28" s="148"/>
      <c r="G28" s="25">
        <v>1011479.82</v>
      </c>
      <c r="H28" s="16">
        <f>Лист1!H43+Лист2!BM19</f>
        <v>350000</v>
      </c>
      <c r="I28" s="25">
        <f>Лист1!I43+Лист2!BN19</f>
        <v>71966.07</v>
      </c>
      <c r="J28" s="25">
        <f>Лист1!J43+Лист2!BO19</f>
        <v>21824.36</v>
      </c>
      <c r="K28" s="17">
        <f>J28/I28*100</f>
        <v>30.325902192519333</v>
      </c>
      <c r="L28" s="17">
        <f>J28/H28*100</f>
        <v>6.235531428571429</v>
      </c>
    </row>
    <row r="29" spans="1:12" ht="18" customHeight="1">
      <c r="A29" s="148" t="s">
        <v>53</v>
      </c>
      <c r="B29" s="148"/>
      <c r="C29" s="148"/>
      <c r="D29" s="148"/>
      <c r="E29" s="148"/>
      <c r="F29" s="148"/>
      <c r="G29" s="25">
        <v>1948174.7</v>
      </c>
      <c r="H29" s="16">
        <f>Лист1!H44+Лист2!BW19</f>
        <v>1400000</v>
      </c>
      <c r="I29" s="25">
        <f>Лист1!I44+Лист2!BX19</f>
        <v>383961.26</v>
      </c>
      <c r="J29" s="25">
        <f>Лист1!J44+Лист2!BY19</f>
        <v>287194.98</v>
      </c>
      <c r="K29" s="17">
        <f>J29/I29*100</f>
        <v>74.79790539285135</v>
      </c>
      <c r="L29" s="17">
        <f>J29/H29*100</f>
        <v>20.513927142857142</v>
      </c>
    </row>
    <row r="30" spans="1:12" ht="17.25" customHeight="1">
      <c r="A30" s="149" t="s">
        <v>54</v>
      </c>
      <c r="B30" s="149"/>
      <c r="C30" s="149"/>
      <c r="D30" s="149"/>
      <c r="E30" s="149"/>
      <c r="F30" s="149"/>
      <c r="G30" s="25">
        <v>5900</v>
      </c>
      <c r="H30" s="25"/>
      <c r="I30" s="25">
        <f>Лист1!I45+Лист2!CH19</f>
        <v>7082.719999999999</v>
      </c>
      <c r="J30" s="25">
        <f>Лист1!J45+Лист2!CI19</f>
        <v>-6652.18</v>
      </c>
      <c r="K30" s="17">
        <f>J30/I30*100</f>
        <v>-93.9212618880882</v>
      </c>
      <c r="L30" s="17"/>
    </row>
    <row r="31" spans="1:12" ht="16.5" customHeight="1">
      <c r="A31" s="149" t="s">
        <v>55</v>
      </c>
      <c r="B31" s="149"/>
      <c r="C31" s="149"/>
      <c r="D31" s="149"/>
      <c r="E31" s="149"/>
      <c r="F31" s="149"/>
      <c r="G31" s="25">
        <v>68446.6</v>
      </c>
      <c r="H31" s="25">
        <f>Лист2!CB19</f>
        <v>0</v>
      </c>
      <c r="I31" s="25">
        <f>Лист1!I46+Лист2!CC19</f>
        <v>0</v>
      </c>
      <c r="J31" s="25">
        <f>Лист2!CD19</f>
        <v>110837.76</v>
      </c>
      <c r="K31" s="17"/>
      <c r="L31" s="17"/>
    </row>
    <row r="32" spans="1:12" ht="24.75" customHeight="1">
      <c r="A32" s="150" t="s">
        <v>56</v>
      </c>
      <c r="B32" s="150"/>
      <c r="C32" s="150"/>
      <c r="D32" s="150"/>
      <c r="E32" s="150"/>
      <c r="F32" s="150"/>
      <c r="G32" s="33">
        <f>G5+G17</f>
        <v>82258826.11000001</v>
      </c>
      <c r="H32" s="33">
        <f>H5+H17</f>
        <v>94465700</v>
      </c>
      <c r="I32" s="33">
        <f>I5+I17</f>
        <v>23276855.909999996</v>
      </c>
      <c r="J32" s="33">
        <f>J5+J17</f>
        <v>27148113.420000006</v>
      </c>
      <c r="K32" s="21">
        <f>J32/I32*100</f>
        <v>116.63135917053502</v>
      </c>
      <c r="L32" s="21">
        <f>J32/H32*100</f>
        <v>28.738593394216107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printOptions/>
  <pageMargins left="0.7875" right="0.39375" top="0.5902777777777778" bottom="0.3937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2019-05-07T07:26:20Z</cp:lastPrinted>
  <dcterms:modified xsi:type="dcterms:W3CDTF">2019-05-07T07:28:57Z</dcterms:modified>
  <cp:category/>
  <cp:version/>
  <cp:contentType/>
  <cp:contentStatus/>
</cp:coreProperties>
</file>