
<file path=[Content_Types].xml><?xml version="1.0" encoding="utf-8"?>
<Types xmlns="http://schemas.openxmlformats.org/package/2006/content-types">
  <Override PartName="/xl/worksheets/sheet16.xml" ContentType="application/vnd.openxmlformats-officedocument.spreadsheetml.worksheet+xml"/>
  <Override PartName="/xl/revisions/revisionLog1.xml" ContentType="application/vnd.openxmlformats-officedocument.spreadsheetml.revisionLog+xml"/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revisions/userNames.xml" ContentType="application/vnd.openxmlformats-officedocument.spreadsheetml.userNames+xml"/>
  <Override PartName="/xl/worksheets/sheet14.xml" ContentType="application/vnd.openxmlformats-officedocument.spreadsheetml.worksheet+xml"/>
  <Default Extension="rels" ContentType="application/vnd.openxmlformats-package.relationships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revisions/revisionLog148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Иль!$A$1:$F$103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Иль!$A$1:$F$103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$104:$104,район!$111:$111,район!$131:$133,район!$136:$137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Иль!$A$1:$F$103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Але!$19:$24,Але!$44:$44,Але!$46:$46,Але!$53:$53,Але!$55:$56,Але!$63:$64,Але!$73:$74,Але!$78:$92</definedName>
    <definedName name="Z_5BFCA170_DEAE_4D2C_98A0_1E68B427AC01_.wvu.Rows" localSheetId="5" hidden="1">Иль!$19:$24,Иль!$30:$31,Иль!$33:$33,Иль!$45:$45,Иль!$50:$50,Иль!$60:$61,Иль!$68:$69,Иль!$77:$78,Иль!$80:$80,Иль!$82:$89,Иль!$92:$96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район!$17:$18,район!$20:$20,район!$28:$30,район!$49:$50,район!$74:$74,район!$81:$81,район!$98:$98,район!$104:$104,район!$131:$133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Сун!$19:$24,Сун!$49:$51,Сун!$58:$58,Сун!$60:$61,Сун!$68:$69,Сун!$78:$79,Сун!$81:$84,Сун!$87:$88,Сун!$92:$96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Хор!$19:$24,Хор!$32:$32,Хор!$40:$40,Хор!$44:$44,Хор!$55:$55,Хор!$57:$58,Хор!$65:$66,Хор!$80:$84,Хор!$87:$94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Иль!$A$1:$F$103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Хор!$19:$24,Хор!$28:$36,Хор!$40:$40,Хор!$44:$44,Хор!$46:$48,Хор!$55:$55,Хор!$57:$59,Хор!$65:$66,Хор!$71:$71,Хор!$75:$76,Хор!$80:$84,Хор!$87:$94,Хор!$141:$141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Юнг!$19:$24,Юнг!$31:$35,Юнг!$38:$38,Юнг!$46:$47,Юнг!$56:$56,Юнг!$58:$60,Юнг!$66:$68,Юнг!$76:$77,Юнг!$81:$85,Юнг!$88:$95,Юнг!$141:$141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Юсь!$19:$24,Юсь!$31:$33,Юсь!$36:$36,Юсь!$44:$50,Юсь!$58:$58,Юсь!$60:$61,Юсь!$68:$69,Юсь!$78:$79,Юсь!$83:$87,Юсь!$90:$97,Юсь!$141:$141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Яро!$19:$24,Яро!$28:$36,Яро!$43:$43,Яро!$46:$46,Яро!$54:$54,Яро!$56:$58,Яро!$64:$65,Яро!$74:$74,Яро!$79:$83,Яро!$86:$93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Иль!$A$1:$F$103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Сун!$A$1:$F$103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Иль!$19:$24,Иль!$30:$39,Иль!$58:$58,Иль!$60:$62,Иль!$68:$69,Иль!$77:$78,Иль!$80:$80,Иль!$85:$89,Иль!$92:$99,Иль!$142:$142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Мос!$19:$24,Мос!$29:$35,Мос!$44:$44,Мос!$49:$49,Мос!$57:$57,Мос!$59:$60,Мос!$67:$68,Мос!$77:$78,Мос!$80:$80,Мос!$83:$90,Мос!$93:$100,Мос!$141:$141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Сят!$19:$24,Сят!$31:$35,Сят!$38:$38,Сят!$45:$48,Сят!$57:$57,Сят!$59:$60,Сят!$67:$68,Сят!$77:$78,Сят!$82:$86,Сят!$89:$96,Сят!$142:$142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Тор!$19:$24,Тор!$32:$36,Тор!$39:$39,Тор!$46:$47,Тор!$50:$50,Тор!$57:$57,Тор!$59:$60,Тор!$67:$68,Тор!$74:$74,Тор!$78:$79,Тор!$83:$95,Тор!$142:$142</definedName>
    <definedName name="Z_B30CE22D_C12F_4E12_8BB9_3AAE0A6991CC_.wvu.Rows" localSheetId="12" hidden="1">Хор!$19:$24,Хор!$28:$36,Хор!$40:$40,Хор!$44:$44,Хор!$46:$48,Хор!$55:$55,Хор!$57:$59,Хор!$65:$66,Хор!$71:$71,Хор!$75:$76,Хор!$80:$84,Хор!$87:$94,Хор!$141:$141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Юнг!$19:$24,Юнг!$31:$33,Юнг!$38:$38,Юнг!$46:$47,Юнг!$56:$56,Юнг!$58:$60,Юнг!$66:$68,Юнг!$76:$77,Юнг!$81:$85,Юнг!$88:$95,Юнг!$141:$141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Яра!$19:$24,Яра!$32:$34,Яра!$46:$50,Яра!$58:$58,Яра!$60:$62,Яра!$68:$69,Яра!$79:$80,Яра!$84:$88,Яра!$91:$98,Яра!$143:$143</definedName>
    <definedName name="Z_B30CE22D_C12F_4E12_8BB9_3AAE0A6991CC_.wvu.Rows" localSheetId="18" hidden="1">Яро!$19:$24,Яро!$28:$36,Яро!$43:$44,Яро!$46:$46,Яро!$54:$54,Яро!$56:$58,Яро!$64:$65,Яро!$74:$74,Яро!$79:$83,Яро!$86:$93</definedName>
    <definedName name="Z_E271257C_1B5C_4EEE_899F_E7A422E6A72D_.wvu.Cols" localSheetId="1" hidden="1">Справка!$AV:$AX,Справка!$BB:$BD,Справка!$BH:$BM,Справка!$BT:$BY,Справка!$CX:$DF</definedName>
    <definedName name="Z_E271257C_1B5C_4EEE_899F_E7A422E6A72D_.wvu.PrintArea" localSheetId="5" hidden="1">Иль!$A$1:$F$103</definedName>
    <definedName name="Z_E271257C_1B5C_4EEE_899F_E7A422E6A72D_.wvu.PrintArea" localSheetId="0" hidden="1">Консол!$A$1:$K$50</definedName>
    <definedName name="Z_E271257C_1B5C_4EEE_899F_E7A422E6A72D_.wvu.PrintArea" localSheetId="7" hidden="1">Мор!$A$1:$F$100</definedName>
    <definedName name="Z_E271257C_1B5C_4EEE_899F_E7A422E6A72D_.wvu.PrintArea" localSheetId="1" hidden="1">Справка!$A$1:$EY$31</definedName>
    <definedName name="Z_E271257C_1B5C_4EEE_899F_E7A422E6A72D_.wvu.PrintArea" localSheetId="11" hidden="1">Тор!$A$1:$F$101</definedName>
    <definedName name="Z_E271257C_1B5C_4EEE_899F_E7A422E6A72D_.wvu.PrintArea" localSheetId="15" hidden="1">Юнг!$A$1:$F$99</definedName>
    <definedName name="Z_E271257C_1B5C_4EEE_899F_E7A422E6A72D_.wvu.PrintArea" localSheetId="17" hidden="1">Яра!$A$1:$F$102</definedName>
    <definedName name="Z_E271257C_1B5C_4EEE_899F_E7A422E6A72D_.wvu.Rows" localSheetId="3" hidden="1">Але!$19:$24,Але!$44:$44,Але!$46:$46,Але!$53:$53,Але!$55:$56,Але!$63:$64,Але!$73:$74,Але!$78:$92</definedName>
    <definedName name="Z_E271257C_1B5C_4EEE_899F_E7A422E6A72D_.wvu.Rows" localSheetId="5" hidden="1">Иль!$19:$24,Иль!$30:$31,Иль!$33:$33,Иль!$45:$45,Иль!$50:$50,Иль!$60:$61,Иль!$68:$69,Иль!$77:$78,Иль!$80:$80,Иль!$82:$89,Иль!$92:$96</definedName>
    <definedName name="Z_E271257C_1B5C_4EEE_899F_E7A422E6A72D_.wvu.Rows" localSheetId="6" hidden="1">Кад!$19:$24,Кад!$44:$44,Кад!$56:$56,Кад!$58:$59,Кад!$66:$67,Кад!$82:$84,Кад!$88:$95</definedName>
    <definedName name="Z_E271257C_1B5C_4EEE_899F_E7A422E6A72D_.wvu.Rows" localSheetId="0" hidden="1">Консол!$22:$22,Консол!$43:$45,Консол!$82:$84</definedName>
    <definedName name="Z_E271257C_1B5C_4EEE_899F_E7A422E6A72D_.wvu.Rows" localSheetId="19" hidden="1">Лист1!$82:$84</definedName>
    <definedName name="Z_E271257C_1B5C_4EEE_899F_E7A422E6A72D_.wvu.Rows" localSheetId="7" hidden="1">Мор!$21:$21,Мор!$23:$23,Мор!$37:$37,Мор!$44:$44,Мор!$47:$47,Мор!$49:$50,Мор!$57:$57,Мор!$59:$60,Мор!$67:$68,Мор!$82:$87,Мор!$90:$96</definedName>
    <definedName name="Z_E271257C_1B5C_4EEE_899F_E7A422E6A72D_.wvu.Rows" localSheetId="8" hidden="1">Мос!$19:$24,Мос!$44:$44,Мос!$57:$57,Мос!$59:$60,Мос!$67:$68,Мос!$80:$80,Мос!$82:$88,Мос!$93:$98</definedName>
    <definedName name="Z_E271257C_1B5C_4EEE_899F_E7A422E6A72D_.wvu.Rows" localSheetId="9" hidden="1">Ори!$19:$24,Ори!$32:$32,Ори!$44:$44,Ори!$48:$50,Ори!$57:$57,Ори!$59:$60,Ори!$67:$68,Ори!$77:$78,Ори!$80:$80,Ори!$82:$86,Ори!$90:$97</definedName>
    <definedName name="Z_E271257C_1B5C_4EEE_899F_E7A422E6A72D_.wvu.Rows" localSheetId="2" hidden="1">район!$17:$18,район!$20:$20,район!$28:$30,район!$49:$50,район!$74:$74,район!$81:$81,район!$98:$98,район!$104:$104,район!$131:$133</definedName>
    <definedName name="Z_E271257C_1B5C_4EEE_899F_E7A422E6A72D_.wvu.Rows" localSheetId="1" hidden="1">Справка!$33:$33</definedName>
    <definedName name="Z_E271257C_1B5C_4EEE_899F_E7A422E6A72D_.wvu.Rows" localSheetId="4" hidden="1">Сун!$19:$24,Сун!$49:$51,Сун!$58:$58,Сун!$60:$61,Сун!$68:$69,Сун!$78:$79,Сун!$81:$84,Сун!$87:$88,Сун!$92:$96</definedName>
    <definedName name="Z_E271257C_1B5C_4EEE_899F_E7A422E6A72D_.wvu.Rows" localSheetId="10" hidden="1">Сят!$19:$19,Сят!$45:$47,Сят!$57:$57,Сят!$59:$60,Сят!$67:$68,Сят!$82:$85,Сят!$89:$96</definedName>
    <definedName name="Z_E271257C_1B5C_4EEE_899F_E7A422E6A72D_.wvu.Rows" localSheetId="11" hidden="1">Тор!$19:$19,Тор!$50:$50,Тор!$57:$57,Тор!$59:$60,Тор!$67:$68,Тор!$74:$74,Тор!$78:$79,Тор!$82:$93</definedName>
    <definedName name="Z_E271257C_1B5C_4EEE_899F_E7A422E6A72D_.wvu.Rows" localSheetId="12" hidden="1">Хор!$19:$24,Хор!$32:$32,Хор!$40:$40,Хор!$44:$44,Хор!$55:$55,Хор!$57:$58,Хор!$65:$66,Хор!$80:$84,Хор!$87:$94</definedName>
    <definedName name="Z_E271257C_1B5C_4EEE_899F_E7A422E6A72D_.wvu.Rows" localSheetId="13" hidden="1">Чум!$19:$19,Чум!$21:$21,Чум!$23:$24,Чум!$47:$49,Чум!$57:$57,Чум!$59:$60,Чум!$67:$68,Чум!$82:$86,Чум!$89:$96</definedName>
    <definedName name="Z_E271257C_1B5C_4EEE_899F_E7A422E6A72D_.wvu.Rows" localSheetId="14" hidden="1">Шать!$19:$24,Шать!$47:$49,Шать!$57:$57,Шать!$59:$60,Шать!$67:$68,Шать!$77:$78,Шать!$82:$86,Шать!$89:$96</definedName>
    <definedName name="Z_E271257C_1B5C_4EEE_899F_E7A422E6A72D_.wvu.Rows" localSheetId="15" hidden="1">Юнг!$19:$24,Юнг!$32:$32,Юнг!$46:$46,Юнг!$49:$49,Юнг!$56:$56,Юнг!$58:$59,Юнг!$66:$67,Юнг!$81:$85,Юнг!$88:$95</definedName>
    <definedName name="Z_E271257C_1B5C_4EEE_899F_E7A422E6A72D_.wvu.Rows" localSheetId="16" hidden="1">Юсь!$20:$24,Юсь!$40:$40,Юсь!$44:$49,Юсь!$58:$58,Юсь!$60:$61,Юсь!$68:$69,Юсь!$78:$79,Юсь!$82:$87,Юсь!$90:$97</definedName>
    <definedName name="Z_E271257C_1B5C_4EEE_899F_E7A422E6A72D_.wvu.Rows" localSheetId="17" hidden="1">Яра!$19:$24,Яра!$46:$50,Яра!$58:$58,Яра!$60:$61,Яра!$68:$69,Яра!$79:$79,Яра!$82:$88,Яра!$91:$98</definedName>
    <definedName name="Z_E271257C_1B5C_4EEE_899F_E7A422E6A72D_.wvu.Rows" localSheetId="18" hidden="1">Яро!$19:$24,Яро!$29:$30,Яро!$32:$32,Яро!$43:$43,Яро!$54:$54,Яро!$56:$57,Яро!$64:$65,Яро!$74:$75,Яро!$79:$84,Яро!$86:$93</definedName>
    <definedName name="_xlnm.Print_Area" localSheetId="5">Иль!$A$1:$F$103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1 - Личное представление" guid="{E271257C-1B5C-4EEE-899F-E7A422E6A72D}" mergeInterval="0" personalView="1" maximized="1" xWindow="1" yWindow="1" windowWidth="1356" windowHeight="538" tabRatio="695" activeSheetId="19"/>
    <customWorkbookView name="morgau_fin2 - Личное представление" guid="{B30CE22D-C12F-4E12-8BB9-3AAE0A6991CC}" mergeInterval="0" personalView="1" maximized="1" xWindow="1" yWindow="1" windowWidth="1276" windowHeight="803" tabRatio="695" activeSheetId="11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4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7 - Личное представление" guid="{5BFCA170-DEAE-4D2C-98A0-1E68B427AC01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CO19" i="2"/>
  <c r="C40" i="9"/>
  <c r="E48"/>
  <c r="D33" i="3"/>
  <c r="C33"/>
  <c r="D5" i="5"/>
  <c r="D38" i="14"/>
  <c r="C29" i="12"/>
  <c r="D40" i="16"/>
  <c r="C42" i="18"/>
  <c r="C39" i="19"/>
  <c r="J15" i="2"/>
  <c r="E102" i="3"/>
  <c r="F102"/>
  <c r="D12" i="7"/>
  <c r="C64" i="6"/>
  <c r="CD14" i="2"/>
  <c r="CS17"/>
  <c r="CD17"/>
  <c r="C78" i="19"/>
  <c r="C38" i="4"/>
  <c r="AT28" i="2"/>
  <c r="F28" i="18"/>
  <c r="E28"/>
  <c r="D26"/>
  <c r="C67"/>
  <c r="F72"/>
  <c r="E72"/>
  <c r="D73"/>
  <c r="F29"/>
  <c r="E29"/>
  <c r="C114" i="3"/>
  <c r="C97"/>
  <c r="E92"/>
  <c r="F86" i="15"/>
  <c r="E86"/>
  <c r="F85"/>
  <c r="E85"/>
  <c r="F84"/>
  <c r="E84"/>
  <c r="F83"/>
  <c r="E83"/>
  <c r="D80" i="14"/>
  <c r="C42"/>
  <c r="C45" i="12"/>
  <c r="CR17" i="2"/>
  <c r="C40" i="7"/>
  <c r="D41" i="6"/>
  <c r="C41"/>
  <c r="CS16" i="2"/>
  <c r="CR16"/>
  <c r="BQ14"/>
  <c r="E51" i="6"/>
  <c r="F51"/>
  <c r="C42"/>
  <c r="D67" i="5"/>
  <c r="C42"/>
  <c r="C16"/>
  <c r="D38" i="4"/>
  <c r="BR14" i="2"/>
  <c r="CV26"/>
  <c r="CV22"/>
  <c r="CV21"/>
  <c r="D123" i="3"/>
  <c r="D72"/>
  <c r="D41" i="12"/>
  <c r="E49"/>
  <c r="F49"/>
  <c r="D40" i="11"/>
  <c r="BR25" i="2" l="1"/>
  <c r="CS23"/>
  <c r="CS19"/>
  <c r="CS18"/>
  <c r="CS14" l="1"/>
  <c r="C72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D67" i="6" l="1"/>
  <c r="F33" i="5"/>
  <c r="AE14" i="2"/>
  <c r="CR14"/>
  <c r="CR27"/>
  <c r="CT27" s="1"/>
  <c r="CR25"/>
  <c r="CT25" s="1"/>
  <c r="CR24"/>
  <c r="CT24" s="1"/>
  <c r="CR21"/>
  <c r="CT21" s="1"/>
  <c r="CR19"/>
  <c r="CR18"/>
  <c r="CT18" s="1"/>
  <c r="CS15"/>
  <c r="CR15"/>
  <c r="F79" i="13"/>
  <c r="F90" i="18"/>
  <c r="C75" i="17"/>
  <c r="E51"/>
  <c r="F51"/>
  <c r="C38"/>
  <c r="C73" i="16"/>
  <c r="C40"/>
  <c r="E40" s="1"/>
  <c r="E50" i="15"/>
  <c r="F50"/>
  <c r="C41" i="14"/>
  <c r="F41" s="1"/>
  <c r="E50"/>
  <c r="F50"/>
  <c r="E75" i="12"/>
  <c r="E72"/>
  <c r="E31"/>
  <c r="F31"/>
  <c r="D29"/>
  <c r="C81" i="11"/>
  <c r="C40"/>
  <c r="E40" s="1"/>
  <c r="E49"/>
  <c r="F49"/>
  <c r="C40" i="10"/>
  <c r="F40" s="1"/>
  <c r="E79" i="9"/>
  <c r="E50"/>
  <c r="F50"/>
  <c r="E47" i="8"/>
  <c r="F47"/>
  <c r="E48"/>
  <c r="F48"/>
  <c r="E49"/>
  <c r="F49"/>
  <c r="E50"/>
  <c r="F50"/>
  <c r="C40"/>
  <c r="F40" s="1"/>
  <c r="E28" i="3"/>
  <c r="E29"/>
  <c r="E30"/>
  <c r="E31"/>
  <c r="C66" i="6"/>
  <c r="F80" i="5"/>
  <c r="F75"/>
  <c r="C26"/>
  <c r="D41"/>
  <c r="E48"/>
  <c r="F48"/>
  <c r="C41"/>
  <c r="E48" i="12"/>
  <c r="F48"/>
  <c r="E66" i="3"/>
  <c r="E61"/>
  <c r="E56"/>
  <c r="E38"/>
  <c r="G24" i="1"/>
  <c r="E79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8" i="3"/>
  <c r="G33" i="1" s="1"/>
  <c r="C108" i="3"/>
  <c r="F33" i="1" s="1"/>
  <c r="E110" i="3"/>
  <c r="E111"/>
  <c r="E101"/>
  <c r="E90"/>
  <c r="E73"/>
  <c r="E74"/>
  <c r="E69"/>
  <c r="E70"/>
  <c r="E59"/>
  <c r="D51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E18" i="2" s="1"/>
  <c r="E35" i="11"/>
  <c r="F35"/>
  <c r="E34"/>
  <c r="F34"/>
  <c r="E33"/>
  <c r="C7" i="8"/>
  <c r="D7" i="5"/>
  <c r="C52" i="4"/>
  <c r="D12"/>
  <c r="C67"/>
  <c r="BP23" i="2"/>
  <c r="BO21"/>
  <c r="D96" i="12"/>
  <c r="ER22" i="2" s="1"/>
  <c r="D26" i="6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1" i="3"/>
  <c r="AQ27" i="2"/>
  <c r="AQ25"/>
  <c r="AQ18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8" i="3"/>
  <c r="G21" i="1" s="1"/>
  <c r="F66" i="3"/>
  <c r="E36" i="18"/>
  <c r="F36"/>
  <c r="E48" i="16"/>
  <c r="F48"/>
  <c r="E46"/>
  <c r="E47"/>
  <c r="E42"/>
  <c r="F42"/>
  <c r="C34" i="15"/>
  <c r="BN25" i="2" s="1"/>
  <c r="E36" i="15"/>
  <c r="F36"/>
  <c r="D34"/>
  <c r="BO25" i="2" s="1"/>
  <c r="E70" i="14"/>
  <c r="D34"/>
  <c r="BO24" i="2" s="1"/>
  <c r="C34" i="14"/>
  <c r="E36" i="12"/>
  <c r="F36"/>
  <c r="C35"/>
  <c r="E42" i="11"/>
  <c r="F42"/>
  <c r="E42" i="8"/>
  <c r="F42"/>
  <c r="E85" i="7"/>
  <c r="D36"/>
  <c r="BR17" i="2" s="1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4" i="3"/>
  <c r="G35" i="1" s="1"/>
  <c r="D35" s="1"/>
  <c r="F117" i="3"/>
  <c r="E117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D67" i="4"/>
  <c r="EF14" i="2" s="1"/>
  <c r="DQ20"/>
  <c r="DQ17"/>
  <c r="D5" i="15"/>
  <c r="D5" i="9"/>
  <c r="C35" i="18"/>
  <c r="BN28" i="2" s="1"/>
  <c r="C34" i="8"/>
  <c r="AP18" i="2"/>
  <c r="AT19"/>
  <c r="AS18"/>
  <c r="E40" i="3"/>
  <c r="F40"/>
  <c r="C51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8" i="3"/>
  <c r="G38" i="1" s="1"/>
  <c r="C96" i="12"/>
  <c r="EQ22" i="2" s="1"/>
  <c r="D7" i="16"/>
  <c r="E42" i="9"/>
  <c r="F42"/>
  <c r="D83" i="4"/>
  <c r="ER14" i="2" s="1"/>
  <c r="C83" i="4"/>
  <c r="EQ14" i="2" s="1"/>
  <c r="D76" i="4"/>
  <c r="EL14" i="2" s="1"/>
  <c r="C76" i="4"/>
  <c r="D72"/>
  <c r="C72"/>
  <c r="EH14" i="2" s="1"/>
  <c r="D62" i="4"/>
  <c r="C62"/>
  <c r="EB14" i="2" s="1"/>
  <c r="C60" i="4"/>
  <c r="F60" s="1"/>
  <c r="D52"/>
  <c r="D36" i="16"/>
  <c r="D138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7" i="3"/>
  <c r="G29" i="1" s="1"/>
  <c r="C138" i="3"/>
  <c r="F138" s="1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4" i="3"/>
  <c r="D23"/>
  <c r="G12" i="1" s="1"/>
  <c r="BU33" i="2"/>
  <c r="DF33"/>
  <c r="D46" i="3"/>
  <c r="D41"/>
  <c r="C88" i="17"/>
  <c r="EQ27" i="2" s="1"/>
  <c r="DP14"/>
  <c r="D26" i="17"/>
  <c r="D32" i="18"/>
  <c r="D14" i="4"/>
  <c r="C78" i="13"/>
  <c r="EK23" i="2" s="1"/>
  <c r="C26" i="11"/>
  <c r="C26" i="8"/>
  <c r="C32" i="6"/>
  <c r="D67" i="18"/>
  <c r="E67" s="1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4" i="8"/>
  <c r="EU18" i="2" s="1"/>
  <c r="D65" i="6"/>
  <c r="D65" i="5"/>
  <c r="D103" i="3"/>
  <c r="G32" i="1" s="1"/>
  <c r="CO27" i="2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28" i="3"/>
  <c r="F38" i="1" s="1"/>
  <c r="C123" i="3"/>
  <c r="F37" i="1" s="1"/>
  <c r="D120" i="3"/>
  <c r="G36" i="1" s="1"/>
  <c r="C120" i="3"/>
  <c r="F36" i="1" s="1"/>
  <c r="C131" i="3"/>
  <c r="E131" s="1"/>
  <c r="D112"/>
  <c r="C103"/>
  <c r="F32" i="1" s="1"/>
  <c r="D95" i="3"/>
  <c r="G30" i="1" s="1"/>
  <c r="D97" i="3"/>
  <c r="E97" s="1"/>
  <c r="C87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F17" s="1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E14" s="1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C67"/>
  <c r="EB16" i="2" s="1"/>
  <c r="E68" i="6"/>
  <c r="F68"/>
  <c r="E69"/>
  <c r="F69"/>
  <c r="E70"/>
  <c r="F70"/>
  <c r="E71"/>
  <c r="F71"/>
  <c r="D72"/>
  <c r="EF16" i="2" s="1"/>
  <c r="E73" i="6"/>
  <c r="F73"/>
  <c r="E74"/>
  <c r="F74"/>
  <c r="E76"/>
  <c r="F76"/>
  <c r="C79"/>
  <c r="D79"/>
  <c r="EI16" i="2" s="1"/>
  <c r="E80" i="6"/>
  <c r="F80"/>
  <c r="E81"/>
  <c r="F81"/>
  <c r="E82"/>
  <c r="F82"/>
  <c r="C83"/>
  <c r="EK16" i="2" s="1"/>
  <c r="D83" i="6"/>
  <c r="EL16" i="2" s="1"/>
  <c r="E84" i="6"/>
  <c r="F84"/>
  <c r="C85"/>
  <c r="EN16" i="2" s="1"/>
  <c r="D85" i="6"/>
  <c r="EO16" i="2" s="1"/>
  <c r="E86" i="6"/>
  <c r="F86"/>
  <c r="E87"/>
  <c r="F87"/>
  <c r="E88"/>
  <c r="F88"/>
  <c r="F89"/>
  <c r="C90"/>
  <c r="EQ16" i="2" s="1"/>
  <c r="D90" i="6"/>
  <c r="ER16" i="2" s="1"/>
  <c r="E91" i="6"/>
  <c r="F91"/>
  <c r="E92"/>
  <c r="F92"/>
  <c r="E93"/>
  <c r="E94"/>
  <c r="E95"/>
  <c r="C96"/>
  <c r="D96"/>
  <c r="EU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H9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F16" i="1" s="1"/>
  <c r="C16" s="1"/>
  <c r="E42" i="3"/>
  <c r="F42"/>
  <c r="C43"/>
  <c r="F17" i="1" s="1"/>
  <c r="D43" i="3"/>
  <c r="G17" i="1" s="1"/>
  <c r="E44" i="3"/>
  <c r="F44"/>
  <c r="F45"/>
  <c r="C46"/>
  <c r="F18" i="1" s="1"/>
  <c r="D49" i="3"/>
  <c r="G19" i="1" s="1"/>
  <c r="D19" s="1"/>
  <c r="E47" i="3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E96"/>
  <c r="F96"/>
  <c r="E98"/>
  <c r="F98"/>
  <c r="E99"/>
  <c r="F99"/>
  <c r="E100"/>
  <c r="F100"/>
  <c r="F101"/>
  <c r="E104"/>
  <c r="F104"/>
  <c r="E105"/>
  <c r="F105"/>
  <c r="E106"/>
  <c r="F106"/>
  <c r="E107"/>
  <c r="F107"/>
  <c r="E109"/>
  <c r="F109"/>
  <c r="F110"/>
  <c r="F111"/>
  <c r="C112"/>
  <c r="F34" i="1" s="1"/>
  <c r="C34" s="1"/>
  <c r="E113" i="3"/>
  <c r="F113"/>
  <c r="E115"/>
  <c r="F115"/>
  <c r="E116"/>
  <c r="F116"/>
  <c r="E118"/>
  <c r="F118"/>
  <c r="E119"/>
  <c r="F119"/>
  <c r="E121"/>
  <c r="F121"/>
  <c r="E122"/>
  <c r="F122"/>
  <c r="E124"/>
  <c r="F124"/>
  <c r="E125"/>
  <c r="F125"/>
  <c r="E126"/>
  <c r="F126"/>
  <c r="E127"/>
  <c r="F127"/>
  <c r="E129"/>
  <c r="F129"/>
  <c r="E130"/>
  <c r="F130"/>
  <c r="E132"/>
  <c r="E133"/>
  <c r="C134"/>
  <c r="F39" i="1" s="1"/>
  <c r="C39" s="1"/>
  <c r="D134" i="3"/>
  <c r="E135"/>
  <c r="F135"/>
  <c r="C136"/>
  <c r="F40" i="1" s="1"/>
  <c r="C40" s="1"/>
  <c r="G40"/>
  <c r="D40" s="1"/>
  <c r="F137" i="3"/>
  <c r="E139"/>
  <c r="F139"/>
  <c r="E140"/>
  <c r="F140"/>
  <c r="E141"/>
  <c r="F14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T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P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F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K27" s="1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F40" i="11"/>
  <c r="E41" i="6"/>
  <c r="E74" i="9"/>
  <c r="F74" i="11"/>
  <c r="F72" i="3"/>
  <c r="E72"/>
  <c r="E76" i="12"/>
  <c r="F73" i="17"/>
  <c r="C72"/>
  <c r="EE27" i="2" s="1"/>
  <c r="E73" i="17"/>
  <c r="E79" i="8"/>
  <c r="F79"/>
  <c r="E73"/>
  <c r="CC20" i="2"/>
  <c r="E37" i="1"/>
  <c r="E38"/>
  <c r="E31"/>
  <c r="C71" i="12"/>
  <c r="C38" i="19"/>
  <c r="F39"/>
  <c r="F80" i="14" l="1"/>
  <c r="AZ23" i="2"/>
  <c r="BA23" s="1"/>
  <c r="D25" i="13"/>
  <c r="E40" i="9"/>
  <c r="EB15" i="2"/>
  <c r="ED15" s="1"/>
  <c r="E5" i="12"/>
  <c r="F55" i="16"/>
  <c r="E40" i="8"/>
  <c r="CK27" i="2"/>
  <c r="E69" i="13"/>
  <c r="F7" i="7"/>
  <c r="E66" i="15"/>
  <c r="D25" i="18"/>
  <c r="D93" i="4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5" i="3"/>
  <c r="E68"/>
  <c r="F26" i="12"/>
  <c r="AR22" i="2"/>
  <c r="F41" i="5"/>
  <c r="F7" i="12"/>
  <c r="E37" i="5"/>
  <c r="C25"/>
  <c r="CH23" i="2"/>
  <c r="Z20"/>
  <c r="ES14"/>
  <c r="F112" i="3"/>
  <c r="E54" i="13"/>
  <c r="N22" i="2"/>
  <c r="F14" i="11"/>
  <c r="DO18" i="2"/>
  <c r="K17"/>
  <c r="E123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79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C40" s="1"/>
  <c r="C52" s="1"/>
  <c r="BN15" i="2"/>
  <c r="F15" s="1"/>
  <c r="F35" i="5"/>
  <c r="F30"/>
  <c r="AU14" i="2"/>
  <c r="F34" i="4"/>
  <c r="F17"/>
  <c r="F5"/>
  <c r="F41" i="1"/>
  <c r="H41" s="1"/>
  <c r="F68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8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5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3" i="3"/>
  <c r="F46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0" i="6"/>
  <c r="DR16" i="2"/>
  <c r="E12" i="6"/>
  <c r="DU16" i="2"/>
  <c r="AI16"/>
  <c r="AC16"/>
  <c r="W16"/>
  <c r="C100" i="5"/>
  <c r="D100"/>
  <c r="EV15" i="2"/>
  <c r="BC35"/>
  <c r="BC33"/>
  <c r="E12" i="4"/>
  <c r="F89"/>
  <c r="F20"/>
  <c r="E23" i="3"/>
  <c r="D142"/>
  <c r="F7"/>
  <c r="F108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79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2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3" i="3"/>
  <c r="E138"/>
  <c r="D25" i="16"/>
  <c r="D39" s="1"/>
  <c r="D50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V31"/>
  <c r="V35" s="1"/>
  <c r="F64" i="15"/>
  <c r="H24" i="1"/>
  <c r="E46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3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6" i="3"/>
  <c r="F64" i="13"/>
  <c r="F71" i="8"/>
  <c r="C97"/>
  <c r="D97" i="14"/>
  <c r="E78" i="13"/>
  <c r="E20" i="12"/>
  <c r="F82" i="15"/>
  <c r="E90" i="5"/>
  <c r="F17" i="15"/>
  <c r="EU17" i="2"/>
  <c r="EV17" s="1"/>
  <c r="E83" i="6"/>
  <c r="E16" i="3"/>
  <c r="F32" i="6"/>
  <c r="CK17" i="2"/>
  <c r="CY33"/>
  <c r="E17" i="6"/>
  <c r="EL15" i="2"/>
  <c r="EM15" s="1"/>
  <c r="F36" i="10"/>
  <c r="K29" i="2"/>
  <c r="F26" i="7"/>
  <c r="E7" i="16"/>
  <c r="E103" i="3"/>
  <c r="F26" i="15"/>
  <c r="E31" i="9"/>
  <c r="D4" i="15"/>
  <c r="E51" i="3"/>
  <c r="E108"/>
  <c r="AP29" i="2"/>
  <c r="AR29" s="1"/>
  <c r="E29" i="15"/>
  <c r="F23" i="3"/>
  <c r="F33"/>
  <c r="D25" i="9"/>
  <c r="F81" i="7"/>
  <c r="F34" i="15"/>
  <c r="E91" i="13"/>
  <c r="F17" i="18"/>
  <c r="DR14" i="2"/>
  <c r="F17" i="11"/>
  <c r="F83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6" i="6"/>
  <c r="E7" i="3"/>
  <c r="N28" i="2"/>
  <c r="F128" i="3"/>
  <c r="D96" i="7"/>
  <c r="C93" i="4"/>
  <c r="AI28" i="2"/>
  <c r="CN21"/>
  <c r="K14"/>
  <c r="EA28"/>
  <c r="D25" i="12"/>
  <c r="CK21" i="2"/>
  <c r="F57" i="6"/>
  <c r="F7"/>
  <c r="DM31" i="2"/>
  <c r="DM35" s="1"/>
  <c r="J3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0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5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7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D25" i="11"/>
  <c r="CJ31" i="2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C98" i="12"/>
  <c r="E71"/>
  <c r="AC26" i="2"/>
  <c r="DU24"/>
  <c r="CH24"/>
  <c r="AO19"/>
  <c r="N19"/>
  <c r="DU18"/>
  <c r="E85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E136" i="3"/>
  <c r="H12" i="1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3" i="3"/>
  <c r="F29" i="4"/>
  <c r="E5"/>
  <c r="E57" i="5"/>
  <c r="D25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1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4" i="3"/>
  <c r="G39" i="1"/>
  <c r="E134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C25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7" i="3"/>
  <c r="C142"/>
  <c r="F87"/>
  <c r="EK18" i="2"/>
  <c r="E80" i="8"/>
  <c r="C25"/>
  <c r="F26"/>
  <c r="E41" i="3"/>
  <c r="G16" i="1"/>
  <c r="F41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0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6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4" i="3"/>
  <c r="F114"/>
  <c r="F120"/>
  <c r="E120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5" i="6"/>
  <c r="C72"/>
  <c r="F75"/>
  <c r="E72" i="7"/>
  <c r="F72"/>
  <c r="F78"/>
  <c r="C75"/>
  <c r="CR31" i="2"/>
  <c r="CT19"/>
  <c r="F72" i="17"/>
  <c r="CN28" i="2"/>
  <c r="F49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E29" i="13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X33" l="1"/>
  <c r="X35"/>
  <c r="D40" i="18"/>
  <c r="D52" s="1"/>
  <c r="D53" s="1"/>
  <c r="J33" i="2"/>
  <c r="J35"/>
  <c r="BS15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D52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T35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1" i="3"/>
  <c r="D82" s="1"/>
  <c r="D83" s="1"/>
  <c r="F4"/>
  <c r="AF31" i="2"/>
  <c r="AE33"/>
  <c r="J10" i="1"/>
  <c r="D10" s="1"/>
  <c r="E10" s="1"/>
  <c r="DR31" i="2"/>
  <c r="DR33" s="1"/>
  <c r="E4" i="15"/>
  <c r="D40"/>
  <c r="D51" s="1"/>
  <c r="D52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52" s="1"/>
  <c r="DG23" i="2"/>
  <c r="J5" i="1"/>
  <c r="D5" s="1"/>
  <c r="C37" i="13"/>
  <c r="C49" s="1"/>
  <c r="C50" s="1"/>
  <c r="DM33" i="2"/>
  <c r="E97" i="8"/>
  <c r="F29" i="2"/>
  <c r="C29" s="1"/>
  <c r="D20"/>
  <c r="P35"/>
  <c r="Q31"/>
  <c r="C53" i="5"/>
  <c r="R33" i="2"/>
  <c r="D24"/>
  <c r="I7" i="1"/>
  <c r="E25" i="9"/>
  <c r="ER35" i="2"/>
  <c r="EM18"/>
  <c r="C20"/>
  <c r="CJ33"/>
  <c r="AS33"/>
  <c r="C14"/>
  <c r="J6" i="1"/>
  <c r="D6" s="1"/>
  <c r="CM33" i="2"/>
  <c r="DV35"/>
  <c r="Z19"/>
  <c r="DG22"/>
  <c r="DL16"/>
  <c r="U33"/>
  <c r="DH28"/>
  <c r="EN31"/>
  <c r="EN33" s="1"/>
  <c r="BS28"/>
  <c r="C40" i="15"/>
  <c r="DL22" i="2"/>
  <c r="EG19"/>
  <c r="D40" i="5"/>
  <c r="E142" i="3"/>
  <c r="S35" i="2"/>
  <c r="T31"/>
  <c r="F98" i="12"/>
  <c r="E98"/>
  <c r="CH31" i="2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CE31"/>
  <c r="AU18"/>
  <c r="AT31"/>
  <c r="D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0" i="6"/>
  <c r="E72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5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1" i="3"/>
  <c r="C39" i="8"/>
  <c r="C51" s="1"/>
  <c r="C52" s="1"/>
  <c r="F142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2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C51" i="9" l="1"/>
  <c r="C52" s="1"/>
  <c r="W33" i="2"/>
  <c r="W35"/>
  <c r="D28" i="1"/>
  <c r="C53" i="17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0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E39" i="11"/>
  <c r="E100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E39" i="1"/>
  <c r="J21"/>
  <c r="D21" s="1"/>
  <c r="BR33" i="2"/>
  <c r="BR35"/>
  <c r="BS31"/>
  <c r="EQ35"/>
  <c r="EQ33"/>
  <c r="I38" i="1"/>
  <c r="K38" s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DJ33" i="2"/>
  <c r="DJ35"/>
  <c r="EX27"/>
  <c r="DI27"/>
  <c r="E30" i="1"/>
  <c r="C28"/>
  <c r="K12"/>
  <c r="D12"/>
  <c r="DH31" i="2"/>
  <c r="DL31"/>
  <c r="CA35"/>
  <c r="CB31"/>
  <c r="J24" i="1"/>
  <c r="CA33" i="2"/>
  <c r="DI28" l="1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E12"/>
  <c r="K24"/>
  <c r="E31" i="2" l="1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J43"/>
  <c r="C27" l="1"/>
  <c r="C43" s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<sst xmlns="http://schemas.openxmlformats.org/spreadsheetml/2006/main" count="2827" uniqueCount="435">
  <si>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</si>
  <si>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</si>
  <si>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</si>
  <si>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</si>
  <si>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</si>
  <si>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</si>
  <si>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</si>
  <si>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</si>
  <si>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</si>
  <si>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</si>
  <si>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</si>
  <si>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</si>
  <si>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</si>
  <si>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</si>
  <si>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</si>
  <si>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</si>
  <si>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</si>
  <si>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</si>
  <si>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</si>
  <si>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</si>
  <si>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</si>
  <si>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</si>
  <si>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</si>
  <si>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</si>
  <si>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</si>
  <si>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</si>
  <si>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</si>
  <si>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</si>
  <si>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</si>
  <si>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</si>
  <si>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</si>
  <si>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</si>
  <si>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</si>
  <si>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</si>
  <si>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</si>
  <si>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</si>
  <si>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</si>
  <si>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</si>
  <si>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</si>
  <si>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</si>
  <si>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</si>
  <si>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</si>
  <si>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</si>
  <si>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</si>
  <si>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</si>
  <si>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</si>
  <si>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</si>
  <si>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</si>
  <si>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</si>
  <si>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</si>
  <si>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</si>
  <si>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</si>
  <si>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</si>
  <si>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</si>
  <si>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</si>
  <si>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</si>
  <si>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</si>
  <si>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</si>
  <si>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</si>
  <si>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</si>
  <si>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</si>
  <si>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</si>
  <si>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</si>
  <si>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</si>
  <si>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</si>
  <si>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</si>
  <si>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</si>
  <si>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</si>
  <si>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</si>
  <si>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</si>
  <si>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</si>
  <si>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</si>
  <si>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</si>
  <si>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</si>
  <si>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</si>
  <si>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</si>
  <si>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</si>
  <si>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</si>
  <si>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</si>
  <si>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</si>
  <si>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</si>
  <si>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</si>
  <si>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</si>
  <si>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</si>
  <si>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</si>
  <si>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</si>
  <si>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</si>
  <si>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</si>
  <si>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</si>
  <si>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</si>
  <si>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</si>
  <si>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</si>
  <si>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</si>
  <si>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</si>
  <si>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</si>
  <si>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</si>
  <si>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</si>
  <si>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</si>
  <si>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</si>
  <si>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</si>
  <si>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</si>
  <si>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</si>
  <si>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</si>
  <si>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</si>
  <si>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</si>
  <si>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</si>
  <si>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</si>
  <si>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</si>
  <si>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</si>
  <si>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</si>
  <si>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</si>
  <si>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</si>
  <si>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</si>
  <si>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</si>
  <si>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</si>
  <si>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</si>
  <si>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</si>
  <si>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</si>
  <si>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</si>
  <si>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</si>
  <si>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</si>
  <si>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</si>
  <si>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</si>
  <si>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</si>
  <si>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</si>
  <si>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</si>
  <si>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</si>
  <si>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</si>
  <si>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</si>
  <si>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</si>
  <si>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</si>
  <si>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</si>
  <si>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</si>
  <si>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</si>
  <si>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</si>
  <si>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</si>
  <si>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</si>
  <si>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</si>
  <si>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</si>
  <si>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</si>
  <si>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</si>
  <si>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</si>
  <si>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</si>
  <si>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</si>
  <si>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</si>
  <si>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</si>
  <si>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</si>
  <si>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</si>
  <si>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</si>
  <si>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</si>
  <si>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</si>
  <si>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</si>
  <si>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</si>
  <si>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</si>
  <si>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</si>
  <si>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</si>
  <si>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</si>
  <si>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</si>
  <si>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</si>
  <si>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</si>
  <si>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</si>
  <si>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</si>
  <si>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</si>
  <si>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</si>
  <si>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</si>
  <si>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</si>
  <si>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</si>
  <si>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</si>
  <si>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</si>
  <si>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</si>
  <si>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</si>
  <si>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</si>
  <si>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</si>
  <si>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</si>
  <si>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</si>
  <si>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</si>
  <si>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</si>
  <si>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</si>
  <si>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</si>
  <si>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</si>
  <si>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</si>
  <si>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</si>
  <si>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</si>
  <si>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</si>
  <si>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</si>
  <si>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</si>
  <si>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</si>
  <si>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</si>
  <si>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</si>
  <si>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</si>
  <si>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</si>
  <si>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</si>
  <si>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</si>
  <si>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</si>
  <si>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</si>
  <si>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</si>
  <si>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</si>
  <si>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</si>
  <si>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</si>
  <si>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</si>
  <si>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</si>
  <si>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</si>
  <si>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</si>
  <si>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</si>
  <si>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</si>
  <si>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</si>
  <si>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</si>
  <si>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</si>
  <si>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</si>
  <si>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</si>
  <si>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</si>
  <si>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</si>
  <si>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</si>
  <si>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</si>
  <si>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</si>
  <si>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</si>
  <si>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</si>
  <si>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</si>
  <si>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</si>
  <si>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</si>
  <si>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</si>
  <si>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</si>
  <si>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</si>
  <si>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</si>
  <si>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</si>
  <si>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</si>
  <si>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</si>
  <si>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</si>
  <si>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</si>
  <si>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</si>
  <si>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</si>
  <si>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</si>
  <si>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</si>
  <si>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</si>
  <si>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</si>
  <si>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</si>
  <si>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</si>
  <si>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</si>
  <si>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</si>
  <si>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</si>
  <si>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</si>
  <si>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</si>
  <si>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</si>
  <si>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</si>
  <si>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</si>
  <si>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</si>
  <si>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</si>
  <si>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</si>
  <si>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</si>
  <si>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</si>
  <si>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</si>
  <si>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</si>
  <si>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</si>
  <si>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</si>
  <si>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</si>
  <si>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</si>
  <si>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</si>
  <si>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</si>
  <si>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</si>
  <si>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</si>
  <si>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</si>
  <si>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</si>
  <si>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</si>
  <si>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</si>
  <si>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</si>
  <si>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</si>
  <si>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</si>
  <si>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</si>
  <si>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</si>
  <si>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</si>
  <si>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</si>
  <si>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</si>
  <si>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</si>
  <si>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</si>
  <si>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</si>
  <si>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</si>
  <si>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</si>
  <si>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</si>
  <si>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</si>
  <si>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</si>
  <si>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</si>
  <si>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</si>
  <si>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</si>
  <si>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</si>
  <si>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</si>
  <si>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</si>
  <si>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</si>
  <si>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</si>
  <si>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</si>
  <si>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</si>
  <si>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</si>
  <si>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</si>
  <si>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</si>
  <si>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</si>
  <si>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</si>
  <si>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</si>
  <si>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</si>
  <si>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</si>
  <si>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</si>
  <si>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</si>
  <si>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</si>
  <si>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</si>
  <si>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</si>
  <si>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</si>
  <si>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</si>
  <si>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</si>
  <si>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</si>
  <si>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</si>
  <si>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</si>
  <si>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</si>
  <si>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</si>
  <si>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</si>
  <si>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</si>
  <si>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</si>
  <si>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</si>
  <si>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</si>
  <si>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</si>
  <si>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</si>
  <si>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</si>
  <si>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</si>
  <si>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</si>
  <si>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</si>
  <si>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</si>
  <si>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</si>
  <si>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</si>
  <si>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</si>
  <si>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</si>
  <si>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</si>
  <si>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</si>
  <si>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</si>
  <si>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</si>
  <si>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</si>
  <si>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</si>
  <si>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</si>
  <si>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</si>
  <si>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</si>
  <si>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</si>
  <si>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</si>
  <si>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</si>
  <si>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</si>
  <si>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</si>
  <si>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</si>
  <si>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</si>
  <si>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</si>
  <si>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</si>
  <si>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</si>
  <si>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</si>
  <si>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</si>
  <si>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</si>
  <si>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</si>
  <si>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</si>
  <si>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</si>
  <si>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</si>
  <si>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</si>
  <si>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</si>
  <si>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</si>
  <si>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</si>
  <si>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</si>
  <si>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</si>
  <si>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</si>
  <si>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</si>
  <si>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</si>
  <si>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</si>
  <si>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</si>
  <si>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</si>
  <si>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</si>
  <si>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</si>
  <si>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</si>
  <si>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</si>
  <si>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</si>
  <si>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</si>
  <si>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</si>
  <si>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</si>
  <si>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</si>
  <si>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</si>
  <si>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</si>
  <si>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</si>
  <si>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</si>
  <si>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</si>
  <si>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</si>
  <si>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</si>
  <si>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</si>
  <si>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</si>
  <si>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</si>
  <si>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</si>
  <si>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</si>
  <si>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</si>
  <si>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</si>
  <si>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</si>
  <si>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</si>
  <si>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</si>
  <si>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</si>
  <si>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</si>
  <si>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</si>
  <si>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</si>
  <si>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</si>
  <si>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</si>
  <si>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</si>
  <si>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</si>
  <si>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</si>
  <si>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</si>
  <si>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</si>
  <si>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</si>
  <si>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</si>
  <si>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</si>
  <si>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</si>
  <si>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</si>
  <si>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</si>
  <si>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</si>
  <si>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</si>
  <si>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</si>
  <si>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об исполнении бюджетов поселений  Моргаушского района  на 1 сентября 2018 г.</t>
  </si>
  <si>
    <t>исполнено на 01.09.2018 г</t>
  </si>
  <si>
    <t>исполнено на 01.10.2018 г.</t>
  </si>
  <si>
    <t>исполнен на 01.10.2018 г.</t>
  </si>
  <si>
    <t xml:space="preserve">                     Анализ исполнения бюджета Ярославского сельского поселения на 01.10.2018 г.</t>
  </si>
  <si>
    <t xml:space="preserve">                     Анализ исполнения бюджета Александровского сельского поселения на 01.10.2018 г.</t>
  </si>
  <si>
    <t>Анализ исполнения консолидированного бюджета Моргаушского районана 01.10.2018 г.</t>
  </si>
  <si>
    <t xml:space="preserve">                          Моргаушского района на 01.10.2018 г. </t>
  </si>
  <si>
    <t xml:space="preserve">исполнено на 01.10.2018 г. </t>
  </si>
  <si>
    <t xml:space="preserve">                     Анализ исполнения бюджета Большесундырского сельского поселения на 01.10.2018 г.</t>
  </si>
  <si>
    <t xml:space="preserve">                     Анализ исполнения бюджета Ильинского сельского поселения на 01.10.2018 г.</t>
  </si>
  <si>
    <t xml:space="preserve">                     Анализ исполнения бюджета Кадикасинского сельского поселения на 01.10.2018 г.</t>
  </si>
  <si>
    <t xml:space="preserve">                     Анализ исполнения бюджета Моргаушского сельского поселения на 01.10.2018 г.</t>
  </si>
  <si>
    <t xml:space="preserve">                     Анализ исполнения бюджета Москакасинского сельского поселения на 01.10.2018 г.</t>
  </si>
  <si>
    <t xml:space="preserve">                     Анализ исполнения бюджета Орининского сельского поселения на 01.10.2018 г.</t>
  </si>
  <si>
    <t xml:space="preserve">                     Анализ исполнения бюджета Сятракасинского сельского поселения на 01.10.2018 г.</t>
  </si>
  <si>
    <t xml:space="preserve">                     Анализ исполнения бюджета Тораевского сельского поселения на 01.10.2018 г.</t>
  </si>
  <si>
    <t xml:space="preserve">                     Анализ исполнения бюджета Хорнойского сельского поселения на 01.10.2018 г.</t>
  </si>
  <si>
    <t xml:space="preserve">                     Анализ исполнения бюджета Чуманкасинского сельского поселения на 01.10.2018 г.</t>
  </si>
  <si>
    <t xml:space="preserve">                     Анализ исполнения бюджета Шатьмапосинского сельского поселения на 01.10.2018 г.</t>
  </si>
  <si>
    <t xml:space="preserve">                     Анализ исполнения бюджета Юнгинского сельского поселения на 01.10.2018 г.</t>
  </si>
  <si>
    <t xml:space="preserve">                     Анализ исполнения бюджета Юськасинского сельского поселения на 01.10.2018 г.</t>
  </si>
  <si>
    <t xml:space="preserve">                     Анализ исполнения бюджета Ярабайкасинского сельского поселения на 01.10.2018 г.</t>
  </si>
  <si>
    <t>исполнено на 01.10.2018г.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</si>
</sst>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02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80" fontId="26" fillId="3" borderId="1" xfId="0" applyNumberFormat="1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73" fontId="3" fillId="0" borderId="1" xfId="11" applyNumberFormat="1" applyFont="1" applyBorder="1" applyAlignment="1">
      <alignment horizontal="right" vertical="center"/>
    </xf>
    <xf numFmtId="186" fontId="5" fillId="2" borderId="1" xfId="2" applyNumberFormat="1" applyFont="1" applyFill="1" applyBorder="1" applyAlignment="1">
      <alignment horizontal="right" vertical="center" shrinkToFit="1"/>
    </xf>
    <xf numFmtId="178" fontId="5" fillId="0" borderId="1" xfId="11" applyNumberFormat="1" applyFont="1" applyFill="1" applyBorder="1" applyAlignment="1">
      <alignment horizontal="right" vertical="center"/>
    </xf>
    <xf numFmtId="178" fontId="5" fillId="0" borderId="1" xfId="11" applyNumberFormat="1" applyFont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8" fontId="3" fillId="0" borderId="1" xfId="11" applyNumberFormat="1" applyFont="1" applyBorder="1" applyAlignment="1">
      <alignment horizontal="right" vertical="center"/>
    </xf>
    <xf numFmtId="178" fontId="3" fillId="0" borderId="1" xfId="11" applyNumberFormat="1" applyFont="1" applyFill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68" fontId="32" fillId="0" borderId="1" xfId="11" applyNumberFormat="1" applyFont="1" applyBorder="1" applyAlignment="1">
      <alignment horizontal="right" vertical="center"/>
    </xf>
    <xf numFmtId="168" fontId="32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77" fontId="3" fillId="0" borderId="1" xfId="9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72" fontId="18" fillId="3" borderId="1" xfId="0" applyNumberFormat="1" applyFont="1" applyFill="1" applyBorder="1"/>
    <xf numFmtId="172" fontId="18" fillId="0" borderId="1" xfId="0" applyNumberFormat="1" applyFont="1" applyFill="1" applyBorder="1"/>
    <xf numFmtId="172" fontId="18" fillId="5" borderId="1" xfId="0" applyNumberFormat="1" applyFont="1" applyFill="1" applyBorder="1"/>
    <xf numFmtId="180" fontId="18" fillId="0" borderId="1" xfId="0" applyNumberFormat="1" applyFont="1" applyFill="1" applyBorder="1"/>
    <xf numFmtId="180" fontId="18" fillId="5" borderId="1" xfId="0" applyNumberFormat="1" applyFont="1" applyFill="1" applyBorder="1"/>
    <xf numFmtId="0" fontId="19" fillId="7" borderId="1" xfId="10" applyFont="1" applyFill="1" applyBorder="1" applyAlignment="1">
      <alignment vertical="center" wrapText="1"/>
    </xf>
    <xf numFmtId="0" fontId="20" fillId="7" borderId="1" xfId="10" applyFont="1" applyFill="1" applyBorder="1" applyAlignment="1" applyProtection="1">
      <alignment vertical="center" wrapText="1"/>
      <protection locked="0"/>
    </xf>
    <xf numFmtId="172" fontId="18" fillId="7" borderId="1" xfId="0" applyNumberFormat="1" applyFont="1" applyFill="1" applyBorder="1"/>
    <xf numFmtId="180" fontId="18" fillId="7" borderId="1" xfId="0" applyNumberFormat="1" applyFont="1" applyFill="1" applyBorder="1"/>
    <xf numFmtId="167" fontId="18" fillId="7" borderId="1" xfId="0" applyNumberFormat="1" applyFont="1" applyFill="1" applyBorder="1" applyAlignment="1">
      <alignment vertical="center" wrapText="1"/>
    </xf>
    <xf numFmtId="167" fontId="16" fillId="7" borderId="1" xfId="0" applyNumberFormat="1" applyFont="1" applyFill="1" applyBorder="1"/>
    <xf numFmtId="167" fontId="18" fillId="7" borderId="1" xfId="0" applyNumberFormat="1" applyFont="1" applyFill="1" applyBorder="1" applyAlignment="1" applyProtection="1">
      <alignment vertical="center" wrapText="1"/>
      <protection locked="0"/>
    </xf>
    <xf numFmtId="172" fontId="18" fillId="7" borderId="1" xfId="0" applyNumberFormat="1" applyFont="1" applyFill="1" applyBorder="1" applyAlignment="1">
      <alignment vertical="center" wrapText="1"/>
    </xf>
    <xf numFmtId="167" fontId="18" fillId="7" borderId="1" xfId="0" applyNumberFormat="1" applyFont="1" applyFill="1" applyBorder="1" applyAlignment="1">
      <alignment horizontal="right" vertical="center" wrapText="1"/>
    </xf>
    <xf numFmtId="167" fontId="21" fillId="7" borderId="1" xfId="0" applyNumberFormat="1" applyFont="1" applyFill="1" applyBorder="1" applyAlignment="1" applyProtection="1">
      <alignment vertical="center" wrapText="1"/>
      <protection locked="0"/>
    </xf>
    <xf numFmtId="167" fontId="17" fillId="7" borderId="1" xfId="0" applyNumberFormat="1" applyFont="1" applyFill="1" applyBorder="1" applyAlignment="1">
      <alignment vertical="center" wrapText="1"/>
    </xf>
    <xf numFmtId="168" fontId="18" fillId="7" borderId="0" xfId="0" applyNumberFormat="1" applyFont="1" applyFill="1" applyBorder="1"/>
    <xf numFmtId="172" fontId="18" fillId="7" borderId="0" xfId="0" applyNumberFormat="1" applyFont="1" applyFill="1"/>
    <xf numFmtId="0" fontId="18" fillId="7" borderId="0" xfId="0" applyFont="1" applyFill="1"/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7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18" fillId="7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421" Type="http://schemas.openxmlformats.org/officeDocument/2006/relationships/revisionLog" Target="revisionLog148.xml"/><Relationship Id="rId42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4F6616DE-82AA-4996-9546-8596C1BAEDCD}" diskRevisions="1" revisionId="14258" version="2">
  <header guid="{D59FDD28-2A46-407C-AB2D-370780F2F86F}" dateTime="2018-10-05T08:30:51" maxSheetId="22" userName="morgau_fin7" r:id="rId42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4F6616DE-82AA-4996-9546-8596C1BAEDCD}" dateTime="2019-05-10T12:57:40" maxSheetId="22" userName="1" r:id="rId422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E271257C_1B5C_4EEE_899F_E7A422E6A72D_.wvu.PrintArea" hidden="1" oldHidden="1">
    <formula>Консол!$A$1:$K$50</formula>
  </rdn>
  <rdn rId="0" localSheetId="1" customView="1" name="Z_E271257C_1B5C_4EEE_899F_E7A422E6A72D_.wvu.Rows" hidden="1" oldHidden="1">
    <formula>Консол!$22:$22,Консол!$43:$45,Консол!$82:$84</formula>
  </rdn>
  <rdn rId="0" localSheetId="2" customView="1" name="Z_E271257C_1B5C_4EEE_899F_E7A422E6A72D_.wvu.PrintArea" hidden="1" oldHidden="1">
    <formula>Справка!$A$1:$EY$31</formula>
  </rdn>
  <rdn rId="0" localSheetId="2" customView="1" name="Z_E271257C_1B5C_4EEE_899F_E7A422E6A72D_.wvu.Rows" hidden="1" oldHidden="1">
    <formula>Справка!$33:$33</formula>
  </rdn>
  <rdn rId="0" localSheetId="2" customView="1" name="Z_E271257C_1B5C_4EEE_899F_E7A422E6A72D_.wvu.Cols" hidden="1" oldHidden="1">
    <formula>Справка!$AV:$AX,Справка!$BB:$BD,Справка!$BH:$BM,Справка!$BT:$BY,Справка!$CX:$DF</formula>
  </rdn>
  <rdn rId="0" localSheetId="3" customView="1" name="Z_E271257C_1B5C_4EEE_899F_E7A422E6A72D_.wvu.Rows" hidden="1" oldHidden="1">
    <formula>район!$17:$18,район!$20:$20,район!$28:$30,район!$49:$50,район!$74:$74,район!$81:$81,район!$98:$98,район!$104:$104,район!$131:$133</formula>
  </rdn>
  <rdn rId="0" localSheetId="4" customView="1" name="Z_E271257C_1B5C_4EEE_899F_E7A422E6A72D_.wvu.Rows" hidden="1" oldHidden="1">
    <formula>Але!$19:$24,Але!$44:$44,Але!$46:$46,Але!$53:$53,Але!$55:$56,Але!$63:$64,Але!$73:$74,Але!$78:$92</formula>
  </rdn>
  <rdn rId="0" localSheetId="5" customView="1" name="Z_E271257C_1B5C_4EEE_899F_E7A422E6A72D_.wvu.Rows" hidden="1" oldHidden="1">
    <formula>Сун!$19:$24,Сун!$49:$51,Сун!$58:$58,Сун!$60:$61,Сун!$68:$69,Сун!$78:$79,Сун!$81:$84,Сун!$87:$88,Сун!$92:$96</formula>
  </rdn>
  <rdn rId="0" localSheetId="6" customView="1" name="Z_E271257C_1B5C_4EEE_899F_E7A422E6A72D_.wvu.PrintArea" hidden="1" oldHidden="1">
    <formula>Иль!$A$1:$F$103</formula>
  </rdn>
  <rdn rId="0" localSheetId="6" customView="1" name="Z_E271257C_1B5C_4EEE_899F_E7A422E6A72D_.wvu.Rows" hidden="1" oldHidden="1">
    <formula>Иль!$19:$24,Иль!$30:$31,Иль!$33:$33,Иль!$45:$45,Иль!$50:$50,Иль!$60:$61,Иль!$68:$69,Иль!$77:$78,Иль!$80:$80,Иль!$82:$89,Иль!$92:$96</formula>
  </rdn>
  <rdn rId="0" localSheetId="7" customView="1" name="Z_E271257C_1B5C_4EEE_899F_E7A422E6A72D_.wvu.Rows" hidden="1" oldHidden="1">
    <formula>Кад!$19:$24,Кад!$44:$44,Кад!$56:$56,Кад!$58:$59,Кад!$66:$67,Кад!$82:$84,Кад!$88:$95</formula>
  </rdn>
  <rdn rId="0" localSheetId="8" customView="1" name="Z_E271257C_1B5C_4EEE_899F_E7A422E6A72D_.wvu.PrintArea" hidden="1" oldHidden="1">
    <formula>Мор!$A$1:$F$100</formula>
  </rdn>
  <rdn rId="0" localSheetId="8" customView="1" name="Z_E271257C_1B5C_4EEE_899F_E7A422E6A72D_.wvu.Rows" hidden="1" oldHidden="1">
    <formula>Мор!$21:$21,Мор!$23:$23,Мор!$37:$37,Мор!$44:$44,Мор!$47:$47,Мор!$49:$50,Мор!$57:$57,Мор!$59:$60,Мор!$67:$68,Мор!$82:$87,Мор!$90:$96</formula>
  </rdn>
  <rdn rId="0" localSheetId="9" customView="1" name="Z_E271257C_1B5C_4EEE_899F_E7A422E6A72D_.wvu.Rows" hidden="1" oldHidden="1">
    <formula>Мос!$19:$24,Мос!$44:$44,Мос!$57:$57,Мос!$59:$60,Мос!$67:$68,Мос!$80:$80,Мос!$82:$88,Мос!$93:$98</formula>
  </rdn>
  <rdn rId="0" localSheetId="10" customView="1" name="Z_E271257C_1B5C_4EEE_899F_E7A422E6A72D_.wvu.Rows" hidden="1" oldHidden="1">
    <formula>Ори!$19:$24,Ори!$32:$32,Ори!$44:$44,Ори!$48:$50,Ори!$57:$57,Ори!$59:$60,Ори!$67:$68,Ори!$77:$78,Ори!$80:$80,Ори!$82:$86,Ори!$90:$97</formula>
  </rdn>
  <rdn rId="0" localSheetId="11" customView="1" name="Z_E271257C_1B5C_4EEE_899F_E7A422E6A72D_.wvu.Rows" hidden="1" oldHidden="1">
    <formula>Сят!$19:$19,Сят!$45:$47,Сят!$57:$57,Сят!$59:$60,Сят!$67:$68,Сят!$82:$85,Сят!$89:$96</formula>
  </rdn>
  <rdn rId="0" localSheetId="12" customView="1" name="Z_E271257C_1B5C_4EEE_899F_E7A422E6A72D_.wvu.PrintArea" hidden="1" oldHidden="1">
    <formula>Тор!$A$1:$F$101</formula>
  </rdn>
  <rdn rId="0" localSheetId="12" customView="1" name="Z_E271257C_1B5C_4EEE_899F_E7A422E6A72D_.wvu.Rows" hidden="1" oldHidden="1">
    <formula>Тор!$19:$19,Тор!$50:$50,Тор!$57:$57,Тор!$59:$60,Тор!$67:$68,Тор!$74:$74,Тор!$78:$79,Тор!$82:$93</formula>
  </rdn>
  <rdn rId="0" localSheetId="13" customView="1" name="Z_E271257C_1B5C_4EEE_899F_E7A422E6A72D_.wvu.Rows" hidden="1" oldHidden="1">
    <formula>Хор!$19:$24,Хор!$32:$32,Хор!$40:$40,Хор!$44:$44,Хор!$55:$55,Хор!$57:$58,Хор!$65:$66,Хор!$80:$84,Хор!$87:$94</formula>
  </rdn>
  <rdn rId="0" localSheetId="14" customView="1" name="Z_E271257C_1B5C_4EEE_899F_E7A422E6A72D_.wvu.Rows" hidden="1" oldHidden="1">
    <formula>Чум!$19:$19,Чум!$21:$21,Чум!$23:$24,Чум!$47:$49,Чум!$57:$57,Чум!$59:$60,Чум!$67:$68,Чум!$82:$86,Чум!$89:$96</formula>
  </rdn>
  <rdn rId="0" localSheetId="15" customView="1" name="Z_E271257C_1B5C_4EEE_899F_E7A422E6A72D_.wvu.Rows" hidden="1" oldHidden="1">
    <formula>Шать!$19:$24,Шать!$47:$49,Шать!$57:$57,Шать!$59:$60,Шать!$67:$68,Шать!$77:$78,Шать!$82:$86,Шать!$89:$96</formula>
  </rdn>
  <rdn rId="0" localSheetId="16" customView="1" name="Z_E271257C_1B5C_4EEE_899F_E7A422E6A72D_.wvu.PrintArea" hidden="1" oldHidden="1">
    <formula>Юнг!$A$1:$F$99</formula>
  </rdn>
  <rdn rId="0" localSheetId="16" customView="1" name="Z_E271257C_1B5C_4EEE_899F_E7A422E6A72D_.wvu.Rows" hidden="1" oldHidden="1">
    <formula>Юнг!$19:$24,Юнг!$32:$32,Юнг!$46:$46,Юнг!$49:$49,Юнг!$56:$56,Юнг!$58:$59,Юнг!$66:$67,Юнг!$81:$85,Юнг!$88:$95</formula>
  </rdn>
  <rdn rId="0" localSheetId="17" customView="1" name="Z_E271257C_1B5C_4EEE_899F_E7A422E6A72D_.wvu.Rows" hidden="1" oldHidden="1">
    <formula>Юсь!$20:$24,Юсь!$40:$40,Юсь!$44:$49,Юсь!$58:$58,Юсь!$60:$61,Юсь!$68:$69,Юсь!$78:$79,Юсь!$82:$87,Юсь!$90:$97</formula>
  </rdn>
  <rdn rId="0" localSheetId="18" customView="1" name="Z_E271257C_1B5C_4EEE_899F_E7A422E6A72D_.wvu.PrintArea" hidden="1" oldHidden="1">
    <formula>Яра!$A$1:$F$102</formula>
  </rdn>
  <rdn rId="0" localSheetId="18" customView="1" name="Z_E271257C_1B5C_4EEE_899F_E7A422E6A72D_.wvu.Rows" hidden="1" oldHidden="1">
    <formula>Яра!$19:$24,Яра!$46:$50,Яра!$58:$58,Яра!$60:$61,Яра!$68:$69,Яра!$79:$79,Яра!$82:$88,Яра!$91:$98</formula>
  </rdn>
  <rdn rId="0" localSheetId="19" customView="1" name="Z_E271257C_1B5C_4EEE_899F_E7A422E6A72D_.wvu.Rows" hidden="1" oldHidden="1">
    <formula>Яро!$19:$24,Яро!$29:$30,Яро!$32:$32,Яро!$43:$43,Яро!$54:$54,Яро!$56:$57,Яро!$64:$65,Яро!$74:$75,Яро!$79:$84,Яро!$86:$93</formula>
  </rdn>
  <rdn rId="0" localSheetId="20" customView="1" name="Z_E271257C_1B5C_4EEE_899F_E7A422E6A72D_.wvu.Rows" hidden="1" oldHidden="1">
    <formula>Лист1!$82:$84</formula>
  </rdn>
  <rcv guid="{E271257C-1B5C-4EEE-899F-E7A422E6A72D}" action="add"/>
</revisions>
</file>

<file path=xl/revisions/revisionLog148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Мос!$19:$24,Мос!$44:$44,Мос!$57:$57,Мос!$59:$60,Мос!$67:$68,Мос!$80:$80,Мос!$82:$88,Мос!$93:$98</formula>
    <oldFormula>Мос!$19:$24,Мос!$44:$44,Мос!$57:$57,Мос!$59:$60,Мос!$67:$68,Мос!$80:$80,Мос!$82:$88,Мос!$93:$98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Хор!$19:$24,Хор!$32:$32,Хор!$40:$40,Хор!$44:$44,Хор!$55:$55,Хор!$57:$58,Хор!$65:$66,Хор!$80:$84,Хор!$87:$94</formula>
    <oldFormula>Хор!$19:$24,Хор!$32:$32,Хор!$40:$40,Хор!$44:$44,Хор!$55:$55,Хор!$57:$58,Хор!$65:$66,Хор!$80:$84,Хор!$87:$94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2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topLeftCell="A23" zoomScaleNormal="100" zoomScaleSheetLayoutView="80" workbookViewId="0">
      <selection activeCell="D29" sqref="D29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61" t="s">
        <v>417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123"/>
      <c r="M1" s="123"/>
      <c r="N1" s="123"/>
      <c r="O1" s="123"/>
    </row>
    <row r="2" spans="1:15" ht="33.75" customHeight="1">
      <c r="A2" s="459" t="s">
        <v>181</v>
      </c>
      <c r="B2" s="460" t="s">
        <v>182</v>
      </c>
      <c r="C2" s="456" t="s">
        <v>183</v>
      </c>
      <c r="D2" s="457"/>
      <c r="E2" s="457"/>
      <c r="F2" s="456" t="s">
        <v>184</v>
      </c>
      <c r="G2" s="457"/>
      <c r="H2" s="457"/>
      <c r="I2" s="456" t="s">
        <v>185</v>
      </c>
      <c r="J2" s="457"/>
      <c r="K2" s="462"/>
    </row>
    <row r="3" spans="1:15" ht="53.25" customHeight="1">
      <c r="A3" s="459"/>
      <c r="B3" s="460"/>
      <c r="C3" s="78" t="s">
        <v>347</v>
      </c>
      <c r="D3" s="78" t="s">
        <v>413</v>
      </c>
      <c r="E3" s="138" t="s">
        <v>332</v>
      </c>
      <c r="F3" s="78" t="s">
        <v>347</v>
      </c>
      <c r="G3" s="78" t="s">
        <v>413</v>
      </c>
      <c r="H3" s="138" t="s">
        <v>332</v>
      </c>
      <c r="I3" s="78" t="s">
        <v>347</v>
      </c>
      <c r="J3" s="78" t="s">
        <v>413</v>
      </c>
      <c r="K3" s="78" t="s">
        <v>332</v>
      </c>
    </row>
    <row r="4" spans="1:15" s="80" customFormat="1" ht="30.75" customHeight="1">
      <c r="A4" s="79" t="s">
        <v>5</v>
      </c>
      <c r="B4" s="76"/>
      <c r="C4" s="305">
        <f>SUM(C5:C13)</f>
        <v>160141.87200000003</v>
      </c>
      <c r="D4" s="305">
        <f>SUM(D5:D13)</f>
        <v>111293.62467</v>
      </c>
      <c r="E4" s="305">
        <f>D4/C4*100</f>
        <v>69.496892524148819</v>
      </c>
      <c r="F4" s="305">
        <f>SUM(F5:F13)</f>
        <v>125474</v>
      </c>
      <c r="G4" s="305">
        <f>SUM(G5:G13)</f>
        <v>90250.484299999996</v>
      </c>
      <c r="H4" s="305">
        <f>G4/F4*100</f>
        <v>71.927637837320873</v>
      </c>
      <c r="I4" s="305">
        <f>I5+I7+I6+I8+I10+I11+I12+I13</f>
        <v>34667.872000000003</v>
      </c>
      <c r="J4" s="305">
        <f>J5+J6+J7+J8+J10+J11+J12+J13</f>
        <v>21043.140369999997</v>
      </c>
      <c r="K4" s="305">
        <f>J4/I4*100</f>
        <v>60.699255985484179</v>
      </c>
    </row>
    <row r="5" spans="1:15" ht="27" customHeight="1">
      <c r="A5" s="81" t="s">
        <v>186</v>
      </c>
      <c r="B5" s="77">
        <v>10102</v>
      </c>
      <c r="C5" s="306">
        <f t="shared" ref="C5:D8" si="0">F5+I5</f>
        <v>109891.9</v>
      </c>
      <c r="D5" s="306">
        <f t="shared" si="0"/>
        <v>77814.597680000006</v>
      </c>
      <c r="E5" s="307">
        <f t="shared" ref="E5:E12" si="1">D5/C5*100</f>
        <v>70.810130391775928</v>
      </c>
      <c r="F5" s="306">
        <f>район!C5</f>
        <v>104690</v>
      </c>
      <c r="G5" s="306">
        <f>район!D5</f>
        <v>74200.214930000002</v>
      </c>
      <c r="H5" s="307">
        <f t="shared" ref="H5:H41" si="2">G5/F5*100</f>
        <v>70.876124682395641</v>
      </c>
      <c r="I5" s="306">
        <f>Справка!I31</f>
        <v>5201.9000000000005</v>
      </c>
      <c r="J5" s="306">
        <f>Справка!J31</f>
        <v>3614.3827499999998</v>
      </c>
      <c r="K5" s="307">
        <f t="shared" ref="K5:K12" si="3">J5/I5*100</f>
        <v>69.481972932966784</v>
      </c>
    </row>
    <row r="6" spans="1:15" ht="41.25" customHeight="1">
      <c r="A6" s="81" t="s">
        <v>284</v>
      </c>
      <c r="B6" s="77">
        <v>10300</v>
      </c>
      <c r="C6" s="306">
        <f t="shared" si="0"/>
        <v>12481.230000000001</v>
      </c>
      <c r="D6" s="306">
        <f t="shared" si="0"/>
        <v>9677.2214999999997</v>
      </c>
      <c r="E6" s="307">
        <f t="shared" si="1"/>
        <v>77.534197350741863</v>
      </c>
      <c r="F6" s="306">
        <f>район!C7</f>
        <v>4417.8600000000006</v>
      </c>
      <c r="G6" s="306">
        <f>район!D7</f>
        <v>3401.9923099999996</v>
      </c>
      <c r="H6" s="307">
        <f t="shared" si="2"/>
        <v>77.005434984358928</v>
      </c>
      <c r="I6" s="306">
        <f>Справка!L31+Справка!R31+Справка!O31</f>
        <v>8063.3700000000008</v>
      </c>
      <c r="J6" s="306">
        <f>Справка!M31+Справка!S31+Справка!P31+Справка!V31</f>
        <v>6275.2291899999991</v>
      </c>
      <c r="K6" s="307">
        <f t="shared" si="3"/>
        <v>77.823902288993295</v>
      </c>
    </row>
    <row r="7" spans="1:15" ht="19.5" customHeight="1">
      <c r="A7" s="81" t="s">
        <v>187</v>
      </c>
      <c r="B7" s="77">
        <v>10500</v>
      </c>
      <c r="C7" s="306">
        <f t="shared" si="0"/>
        <v>12322</v>
      </c>
      <c r="D7" s="306">
        <f t="shared" si="0"/>
        <v>10013.082219999998</v>
      </c>
      <c r="E7" s="307">
        <f t="shared" si="1"/>
        <v>81.261826164583667</v>
      </c>
      <c r="F7" s="306">
        <f>район!C12</f>
        <v>11852</v>
      </c>
      <c r="G7" s="306">
        <f>район!D12</f>
        <v>9602.7625799999987</v>
      </c>
      <c r="H7" s="307">
        <f t="shared" si="2"/>
        <v>81.022296490043871</v>
      </c>
      <c r="I7" s="306">
        <f>Справка!X31</f>
        <v>470</v>
      </c>
      <c r="J7" s="306">
        <f>Справка!Y31</f>
        <v>410.31963999999999</v>
      </c>
      <c r="K7" s="307">
        <f t="shared" si="3"/>
        <v>87.302051063829794</v>
      </c>
    </row>
    <row r="8" spans="1:15" ht="19.5" customHeight="1">
      <c r="A8" s="81" t="s">
        <v>188</v>
      </c>
      <c r="B8" s="77">
        <v>10601</v>
      </c>
      <c r="C8" s="306">
        <f t="shared" si="0"/>
        <v>2821.4</v>
      </c>
      <c r="D8" s="306">
        <f t="shared" si="0"/>
        <v>1108.9307999999999</v>
      </c>
      <c r="E8" s="307">
        <f t="shared" si="1"/>
        <v>39.304274473665551</v>
      </c>
      <c r="F8" s="306"/>
      <c r="G8" s="306"/>
      <c r="H8" s="307"/>
      <c r="I8" s="306">
        <f>Справка!AA31</f>
        <v>2821.4</v>
      </c>
      <c r="J8" s="306">
        <f>Справка!AB31</f>
        <v>1108.9307999999999</v>
      </c>
      <c r="K8" s="307">
        <f t="shared" si="3"/>
        <v>39.304274473665551</v>
      </c>
    </row>
    <row r="9" spans="1:15" ht="19.5" customHeight="1">
      <c r="A9" s="81" t="s">
        <v>285</v>
      </c>
      <c r="B9" s="77">
        <v>10604</v>
      </c>
      <c r="C9" s="306">
        <f>F9</f>
        <v>1915</v>
      </c>
      <c r="D9" s="306">
        <f>G9</f>
        <v>883.94755999999995</v>
      </c>
      <c r="E9" s="307">
        <f t="shared" si="1"/>
        <v>46.159141514360314</v>
      </c>
      <c r="F9" s="306">
        <f>район!C16</f>
        <v>1915</v>
      </c>
      <c r="G9" s="306">
        <f>район!D19</f>
        <v>883.94755999999995</v>
      </c>
      <c r="H9" s="307">
        <f t="shared" si="2"/>
        <v>46.159141514360314</v>
      </c>
      <c r="I9" s="306"/>
      <c r="J9" s="306"/>
      <c r="K9" s="307"/>
    </row>
    <row r="10" spans="1:15" ht="19.5" customHeight="1">
      <c r="A10" s="81" t="s">
        <v>189</v>
      </c>
      <c r="B10" s="77">
        <v>10606</v>
      </c>
      <c r="C10" s="306">
        <f t="shared" ref="C10:D13" si="4">F10+I10</f>
        <v>17949.2</v>
      </c>
      <c r="D10" s="306">
        <f t="shared" si="4"/>
        <v>9521.6747799999976</v>
      </c>
      <c r="E10" s="307">
        <f t="shared" si="1"/>
        <v>53.047906201947704</v>
      </c>
      <c r="F10" s="306"/>
      <c r="G10" s="306"/>
      <c r="H10" s="307">
        <v>0</v>
      </c>
      <c r="I10" s="306">
        <f>Справка!AD31</f>
        <v>17949.2</v>
      </c>
      <c r="J10" s="306">
        <f>Справка!AE31</f>
        <v>9521.6747799999976</v>
      </c>
      <c r="K10" s="307">
        <f t="shared" si="3"/>
        <v>53.047906201947704</v>
      </c>
    </row>
    <row r="11" spans="1:15" ht="33.75" customHeight="1">
      <c r="A11" s="81" t="s">
        <v>190</v>
      </c>
      <c r="B11" s="77">
        <v>10701</v>
      </c>
      <c r="C11" s="306">
        <f t="shared" si="4"/>
        <v>399.14</v>
      </c>
      <c r="D11" s="306">
        <f t="shared" si="4"/>
        <v>136.06823</v>
      </c>
      <c r="E11" s="307">
        <f t="shared" si="1"/>
        <v>34.090351756275993</v>
      </c>
      <c r="F11" s="306">
        <f>район!C21</f>
        <v>399.14</v>
      </c>
      <c r="G11" s="306">
        <f>район!D21</f>
        <v>136.06823</v>
      </c>
      <c r="H11" s="307">
        <f t="shared" si="2"/>
        <v>34.090351756275993</v>
      </c>
      <c r="I11" s="306"/>
      <c r="J11" s="306"/>
      <c r="K11" s="307">
        <v>0</v>
      </c>
    </row>
    <row r="12" spans="1:15" ht="19.5" customHeight="1">
      <c r="A12" s="81" t="s">
        <v>191</v>
      </c>
      <c r="B12" s="77">
        <v>10800</v>
      </c>
      <c r="C12" s="306">
        <f t="shared" si="4"/>
        <v>2362.002</v>
      </c>
      <c r="D12" s="306">
        <f t="shared" si="4"/>
        <v>2138.1018999999997</v>
      </c>
      <c r="E12" s="307">
        <f t="shared" si="1"/>
        <v>90.520748924005972</v>
      </c>
      <c r="F12" s="306">
        <f>район!C23</f>
        <v>2200</v>
      </c>
      <c r="G12" s="306">
        <f>район!D23</f>
        <v>2025.4986899999999</v>
      </c>
      <c r="H12" s="307">
        <f t="shared" si="2"/>
        <v>92.068122272727265</v>
      </c>
      <c r="I12" s="306">
        <f>Справка!AG31</f>
        <v>162.00200000000001</v>
      </c>
      <c r="J12" s="306">
        <f>Справка!AH31</f>
        <v>112.60320999999999</v>
      </c>
      <c r="K12" s="307">
        <f t="shared" si="3"/>
        <v>69.507296206219678</v>
      </c>
    </row>
    <row r="13" spans="1:15" ht="19.5" customHeight="1">
      <c r="A13" s="81" t="s">
        <v>192</v>
      </c>
      <c r="B13" s="77">
        <v>10900</v>
      </c>
      <c r="C13" s="306">
        <f t="shared" si="4"/>
        <v>0</v>
      </c>
      <c r="D13" s="306">
        <f t="shared" si="4"/>
        <v>0</v>
      </c>
      <c r="E13" s="307"/>
      <c r="F13" s="306">
        <f>район!C27</f>
        <v>0</v>
      </c>
      <c r="G13" s="306">
        <f>район!D27</f>
        <v>0</v>
      </c>
      <c r="H13" s="307"/>
      <c r="I13" s="306">
        <f>Справка!AJ31</f>
        <v>0</v>
      </c>
      <c r="J13" s="306">
        <f>Справка!AK31</f>
        <v>0</v>
      </c>
      <c r="K13" s="307"/>
    </row>
    <row r="14" spans="1:15" s="80" customFormat="1" ht="27" customHeight="1">
      <c r="A14" s="79" t="s">
        <v>13</v>
      </c>
      <c r="B14" s="76"/>
      <c r="C14" s="305">
        <f>SUM(C15:C21)</f>
        <v>37192.576999999997</v>
      </c>
      <c r="D14" s="305">
        <f>SUM(D15:D21)</f>
        <v>20757.60902</v>
      </c>
      <c r="E14" s="305">
        <f t="shared" ref="E14:E39" si="5">D14/C14*100</f>
        <v>55.81116097440627</v>
      </c>
      <c r="F14" s="305">
        <f>F15+F16+F17+F18+F20+F21+F19</f>
        <v>33910.277000000002</v>
      </c>
      <c r="G14" s="305">
        <f>G15+G16+G17+G18+G20+G21+G19</f>
        <v>19008.97421</v>
      </c>
      <c r="H14" s="305">
        <f t="shared" si="2"/>
        <v>56.056676299046451</v>
      </c>
      <c r="I14" s="308">
        <f>I15+I16+I17+I18+I20+I21+I26</f>
        <v>3282.3</v>
      </c>
      <c r="J14" s="308">
        <f>J15+J16+J17+J18+J20+J21+J26</f>
        <v>1748.6348100000002</v>
      </c>
      <c r="K14" s="305">
        <f>J14/I14*100</f>
        <v>53.274679645370625</v>
      </c>
    </row>
    <row r="15" spans="1:15" ht="52.5" customHeight="1">
      <c r="A15" s="81" t="s">
        <v>193</v>
      </c>
      <c r="B15" s="77">
        <v>11100</v>
      </c>
      <c r="C15" s="306">
        <f t="shared" ref="C15:D22" si="6">F15+I15</f>
        <v>12367.599999999999</v>
      </c>
      <c r="D15" s="306">
        <f t="shared" si="6"/>
        <v>8380.676660000001</v>
      </c>
      <c r="E15" s="306">
        <f t="shared" si="5"/>
        <v>67.763160677900331</v>
      </c>
      <c r="F15" s="306">
        <f>район!C33</f>
        <v>10436.299999999999</v>
      </c>
      <c r="G15" s="306">
        <f>район!D33</f>
        <v>7802.38202</v>
      </c>
      <c r="H15" s="306">
        <f t="shared" si="2"/>
        <v>74.761956057223358</v>
      </c>
      <c r="I15" s="306">
        <f>Справка!AP31+Справка!AS31+Справка!AM31</f>
        <v>1931.3</v>
      </c>
      <c r="J15" s="306">
        <f>Справка!AQ31+Справка!AT31+Справка!AN31</f>
        <v>578.29464000000007</v>
      </c>
      <c r="K15" s="307">
        <f>J15/I15*100</f>
        <v>29.943283798477715</v>
      </c>
    </row>
    <row r="16" spans="1:15" ht="33" customHeight="1">
      <c r="A16" s="81" t="s">
        <v>194</v>
      </c>
      <c r="B16" s="77">
        <v>11200</v>
      </c>
      <c r="C16" s="306">
        <f t="shared" si="6"/>
        <v>490</v>
      </c>
      <c r="D16" s="306">
        <f t="shared" si="6"/>
        <v>588.74239</v>
      </c>
      <c r="E16" s="306">
        <f t="shared" si="5"/>
        <v>120.15150816326529</v>
      </c>
      <c r="F16" s="306">
        <f>район!C41</f>
        <v>490</v>
      </c>
      <c r="G16" s="306">
        <f>район!D41</f>
        <v>588.74239</v>
      </c>
      <c r="H16" s="306">
        <f t="shared" si="2"/>
        <v>120.15150816326529</v>
      </c>
      <c r="I16" s="306">
        <v>0</v>
      </c>
      <c r="J16" s="306">
        <v>0</v>
      </c>
      <c r="K16" s="307">
        <v>0</v>
      </c>
    </row>
    <row r="17" spans="1:13" ht="33" customHeight="1">
      <c r="A17" s="81" t="s">
        <v>195</v>
      </c>
      <c r="B17" s="77">
        <v>11300</v>
      </c>
      <c r="C17" s="306">
        <f t="shared" si="6"/>
        <v>1224</v>
      </c>
      <c r="D17" s="306">
        <f t="shared" si="6"/>
        <v>784.66541000000007</v>
      </c>
      <c r="E17" s="306">
        <f>D17/C17*100</f>
        <v>64.106651143790856</v>
      </c>
      <c r="F17" s="306">
        <f>район!C43</f>
        <v>459</v>
      </c>
      <c r="G17" s="306">
        <f>район!D43</f>
        <v>113.39815</v>
      </c>
      <c r="H17" s="306">
        <f t="shared" si="2"/>
        <v>24.705479302832245</v>
      </c>
      <c r="I17" s="306">
        <f>Справка!AY31</f>
        <v>765</v>
      </c>
      <c r="J17" s="306">
        <f>Справка!AZ31</f>
        <v>671.26726000000008</v>
      </c>
      <c r="K17" s="307">
        <f>J17/I17*100</f>
        <v>87.747354248366022</v>
      </c>
    </row>
    <row r="18" spans="1:13" ht="33" customHeight="1">
      <c r="A18" s="81" t="s">
        <v>196</v>
      </c>
      <c r="B18" s="77">
        <v>11400</v>
      </c>
      <c r="C18" s="306">
        <f t="shared" si="6"/>
        <v>13514.977000000001</v>
      </c>
      <c r="D18" s="306">
        <f t="shared" si="6"/>
        <v>2320.6181999999999</v>
      </c>
      <c r="E18" s="306">
        <f t="shared" si="5"/>
        <v>17.170715125893292</v>
      </c>
      <c r="F18" s="306">
        <f>район!C46</f>
        <v>12928.977000000001</v>
      </c>
      <c r="G18" s="306">
        <f>район!D46</f>
        <v>1729.4181999999998</v>
      </c>
      <c r="H18" s="306">
        <f t="shared" si="2"/>
        <v>13.376295742501512</v>
      </c>
      <c r="I18" s="306">
        <f>Справка!BE31</f>
        <v>586</v>
      </c>
      <c r="J18" s="306">
        <f>Справка!BF31</f>
        <v>591.20000000000005</v>
      </c>
      <c r="K18" s="307">
        <f>J18/I18*100</f>
        <v>100.88737201365188</v>
      </c>
    </row>
    <row r="19" spans="1:13" ht="23.25" customHeight="1">
      <c r="A19" s="81" t="s">
        <v>251</v>
      </c>
      <c r="B19" s="77">
        <v>11500</v>
      </c>
      <c r="C19" s="306">
        <f t="shared" si="6"/>
        <v>0</v>
      </c>
      <c r="D19" s="306">
        <f t="shared" si="6"/>
        <v>0</v>
      </c>
      <c r="E19" s="306"/>
      <c r="F19" s="306">
        <f>район!C49</f>
        <v>0</v>
      </c>
      <c r="G19" s="306">
        <f>район!D49</f>
        <v>0</v>
      </c>
      <c r="H19" s="306"/>
      <c r="I19" s="306"/>
      <c r="J19" s="306"/>
      <c r="K19" s="307"/>
    </row>
    <row r="20" spans="1:13" ht="22.5" customHeight="1">
      <c r="A20" s="81" t="s">
        <v>197</v>
      </c>
      <c r="B20" s="77">
        <v>11600</v>
      </c>
      <c r="C20" s="306">
        <f t="shared" si="6"/>
        <v>9596</v>
      </c>
      <c r="D20" s="306">
        <f t="shared" si="6"/>
        <v>8789.2093400000012</v>
      </c>
      <c r="E20" s="306">
        <f t="shared" si="5"/>
        <v>91.592427469779096</v>
      </c>
      <c r="F20" s="306">
        <f>район!C51</f>
        <v>9596</v>
      </c>
      <c r="G20" s="306">
        <f>район!D51</f>
        <v>8775.0334500000008</v>
      </c>
      <c r="H20" s="306">
        <f t="shared" si="2"/>
        <v>91.444700395998353</v>
      </c>
      <c r="I20" s="306">
        <f>Справка!BN31</f>
        <v>0</v>
      </c>
      <c r="J20" s="306">
        <f>Справка!BO31</f>
        <v>14.175890000000001</v>
      </c>
      <c r="K20" s="307">
        <v>0</v>
      </c>
    </row>
    <row r="21" spans="1:13" ht="31.5" customHeight="1">
      <c r="A21" s="81" t="s">
        <v>198</v>
      </c>
      <c r="B21" s="77">
        <v>11700</v>
      </c>
      <c r="C21" s="306">
        <f t="shared" si="6"/>
        <v>0</v>
      </c>
      <c r="D21" s="306">
        <f t="shared" si="6"/>
        <v>-106.30297999999999</v>
      </c>
      <c r="E21" s="306"/>
      <c r="F21" s="306">
        <f>район!C68</f>
        <v>0</v>
      </c>
      <c r="G21" s="306">
        <f>район!D68</f>
        <v>0</v>
      </c>
      <c r="H21" s="306"/>
      <c r="I21" s="306">
        <f>Справка!BQ31</f>
        <v>0</v>
      </c>
      <c r="J21" s="306">
        <f>Справка!BR31</f>
        <v>-106.30297999999999</v>
      </c>
      <c r="K21" s="307">
        <v>0</v>
      </c>
    </row>
    <row r="22" spans="1:13" ht="45.75" hidden="1" customHeight="1">
      <c r="A22" s="79" t="s">
        <v>199</v>
      </c>
      <c r="B22" s="76">
        <v>30000</v>
      </c>
      <c r="C22" s="305">
        <f t="shared" si="6"/>
        <v>0</v>
      </c>
      <c r="D22" s="305">
        <f t="shared" si="6"/>
        <v>0</v>
      </c>
      <c r="E22" s="305"/>
      <c r="F22" s="305">
        <v>0</v>
      </c>
      <c r="G22" s="305">
        <v>0</v>
      </c>
      <c r="H22" s="305"/>
      <c r="I22" s="305">
        <v>0</v>
      </c>
      <c r="J22" s="305">
        <v>0</v>
      </c>
      <c r="K22" s="305"/>
    </row>
    <row r="23" spans="1:13" ht="36.75" customHeight="1">
      <c r="A23" s="79" t="s">
        <v>19</v>
      </c>
      <c r="B23" s="76">
        <v>10000</v>
      </c>
      <c r="C23" s="308">
        <f>SUM(C4,C14,C22,)</f>
        <v>197334.44900000002</v>
      </c>
      <c r="D23" s="308">
        <f>SUM(D4,D14,)</f>
        <v>132051.23368999999</v>
      </c>
      <c r="E23" s="305">
        <f t="shared" si="5"/>
        <v>66.917476578050483</v>
      </c>
      <c r="F23" s="308">
        <f>SUM(F4,F14,)</f>
        <v>159384.277</v>
      </c>
      <c r="G23" s="309">
        <f>SUM(G4,G14,G22)</f>
        <v>109259.45851</v>
      </c>
      <c r="H23" s="305">
        <f t="shared" si="2"/>
        <v>68.550964101684883</v>
      </c>
      <c r="I23" s="308">
        <f>I4+I14</f>
        <v>37950.172000000006</v>
      </c>
      <c r="J23" s="308">
        <f>J4+J14</f>
        <v>22791.775179999997</v>
      </c>
      <c r="K23" s="305">
        <f>J23/I23*100</f>
        <v>60.057106407844465</v>
      </c>
    </row>
    <row r="24" spans="1:13" ht="33" customHeight="1">
      <c r="A24" s="79" t="s">
        <v>200</v>
      </c>
      <c r="B24" s="76">
        <v>20200</v>
      </c>
      <c r="C24" s="310">
        <v>571283.59115999995</v>
      </c>
      <c r="D24" s="310">
        <v>410389.59714999999</v>
      </c>
      <c r="E24" s="308">
        <f t="shared" si="5"/>
        <v>71.83640550863673</v>
      </c>
      <c r="F24" s="308">
        <f>район!C72</f>
        <v>591622.02116</v>
      </c>
      <c r="G24" s="308">
        <f>район!D72</f>
        <v>424535.25674000004</v>
      </c>
      <c r="H24" s="305">
        <f t="shared" si="2"/>
        <v>71.757852405089466</v>
      </c>
      <c r="I24" s="308">
        <f>Справка!BZ31</f>
        <v>68813.711329999991</v>
      </c>
      <c r="J24" s="308">
        <f>Справка!CA31</f>
        <v>45025.462299999999</v>
      </c>
      <c r="K24" s="305">
        <f t="shared" ref="K24:K38" si="7">J24/I24*100</f>
        <v>65.430945998651183</v>
      </c>
    </row>
    <row r="25" spans="1:13" ht="33" customHeight="1">
      <c r="A25" s="79" t="s">
        <v>303</v>
      </c>
      <c r="B25" s="76">
        <v>20700</v>
      </c>
      <c r="C25" s="311">
        <f>F25+I25</f>
        <v>3214.2710000000002</v>
      </c>
      <c r="D25" s="311">
        <f>G25+J25</f>
        <v>3172.3895799999996</v>
      </c>
      <c r="E25" s="308">
        <f t="shared" si="5"/>
        <v>98.697016524120073</v>
      </c>
      <c r="F25" s="308"/>
      <c r="G25" s="308"/>
      <c r="H25" s="305"/>
      <c r="I25" s="308">
        <f>Справка!CR31</f>
        <v>3214.2710000000002</v>
      </c>
      <c r="J25" s="308">
        <f>Справка!CS31</f>
        <v>3172.3895799999996</v>
      </c>
      <c r="K25" s="305">
        <f t="shared" si="7"/>
        <v>98.697016524120073</v>
      </c>
    </row>
    <row r="26" spans="1:13" ht="33" customHeight="1">
      <c r="A26" s="79" t="s">
        <v>263</v>
      </c>
      <c r="B26" s="77">
        <v>21900</v>
      </c>
      <c r="C26" s="311">
        <f>F26+I26</f>
        <v>-4.22</v>
      </c>
      <c r="D26" s="311">
        <f>G26+J26</f>
        <v>-369.02165000000002</v>
      </c>
      <c r="E26" s="308"/>
      <c r="F26" s="307">
        <f>район!C80</f>
        <v>-4.22</v>
      </c>
      <c r="G26" s="307">
        <f>район!D80</f>
        <v>-369.02165000000002</v>
      </c>
      <c r="H26" s="305"/>
      <c r="I26" s="307">
        <v>0</v>
      </c>
      <c r="J26" s="307">
        <v>0</v>
      </c>
      <c r="K26" s="307">
        <v>0</v>
      </c>
      <c r="L26" s="83"/>
    </row>
    <row r="27" spans="1:13" ht="29.25" customHeight="1">
      <c r="A27" s="76" t="s">
        <v>201</v>
      </c>
      <c r="B27" s="76"/>
      <c r="C27" s="313">
        <f>C24+C23+C26+C25</f>
        <v>771828.09115999995</v>
      </c>
      <c r="D27" s="313">
        <f>D24+D23+D26+D25</f>
        <v>545244.1987699999</v>
      </c>
      <c r="E27" s="313">
        <f t="shared" si="5"/>
        <v>70.643217708044105</v>
      </c>
      <c r="F27" s="313">
        <f>F24+F23</f>
        <v>751006.29816000001</v>
      </c>
      <c r="G27" s="313">
        <f>G24+G23</f>
        <v>533794.71525000001</v>
      </c>
      <c r="H27" s="313">
        <f t="shared" si="2"/>
        <v>71.077262142517526</v>
      </c>
      <c r="I27" s="313">
        <f>I24+I23</f>
        <v>106763.88333</v>
      </c>
      <c r="J27" s="313">
        <f>J24+J23</f>
        <v>67817.237479999996</v>
      </c>
      <c r="K27" s="312">
        <f t="shared" si="7"/>
        <v>63.520766915513427</v>
      </c>
      <c r="L27" s="95"/>
      <c r="M27" s="83"/>
    </row>
    <row r="28" spans="1:13" ht="29.25" customHeight="1">
      <c r="A28" s="76" t="s">
        <v>202</v>
      </c>
      <c r="B28" s="76"/>
      <c r="C28" s="313">
        <f>C29+C30+C31+C32+C33+C34+C35+C36+C37+C41+C38+C39+C40</f>
        <v>787520.83762999997</v>
      </c>
      <c r="D28" s="313">
        <f>SUM(D29:D41)</f>
        <v>541982.41723999998</v>
      </c>
      <c r="E28" s="313">
        <f t="shared" si="5"/>
        <v>68.821343048022172</v>
      </c>
      <c r="F28" s="313">
        <f>SUM(F29+F30+F31+F32+F33+F34+F35+F36+F37+F38+F39+F40+F41)</f>
        <v>760936.92816000001</v>
      </c>
      <c r="G28" s="313">
        <f>SUM(G29:G41)</f>
        <v>523353.77125000005</v>
      </c>
      <c r="H28" s="313">
        <f t="shared" si="2"/>
        <v>68.777549345056357</v>
      </c>
      <c r="I28" s="313">
        <f>I29+I30+I31+I32+I33+I34+I35+I36+I37+I38+I39+I40+I41</f>
        <v>112525.99979999999</v>
      </c>
      <c r="J28" s="313">
        <f>J29+J30+J31+J32+J33+J34+J35+J36+J37+J38+J39+J40+J41</f>
        <v>66474.139280000003</v>
      </c>
      <c r="K28" s="312">
        <f t="shared" si="7"/>
        <v>59.07447114280162</v>
      </c>
      <c r="L28" s="95"/>
    </row>
    <row r="29" spans="1:13" ht="30.75" customHeight="1">
      <c r="A29" s="81" t="s">
        <v>203</v>
      </c>
      <c r="B29" s="82" t="s">
        <v>30</v>
      </c>
      <c r="C29" s="314">
        <v>64006.061090000003</v>
      </c>
      <c r="D29" s="314">
        <v>41054.051050000002</v>
      </c>
      <c r="E29" s="315">
        <f t="shared" si="5"/>
        <v>64.140880333619037</v>
      </c>
      <c r="F29" s="306">
        <f>район!C87</f>
        <v>41696.35959</v>
      </c>
      <c r="G29" s="315">
        <f>район!D87</f>
        <v>25970.857169999999</v>
      </c>
      <c r="H29" s="316">
        <f t="shared" si="2"/>
        <v>62.285670560622677</v>
      </c>
      <c r="I29" s="316">
        <f>Справка!DJ31</f>
        <v>22309.701500000003</v>
      </c>
      <c r="J29" s="316">
        <f>Справка!DK31</f>
        <v>15083.193880000003</v>
      </c>
      <c r="K29" s="316">
        <f t="shared" si="7"/>
        <v>67.608228106503361</v>
      </c>
    </row>
    <row r="30" spans="1:13" ht="30.75" customHeight="1">
      <c r="A30" s="81" t="s">
        <v>204</v>
      </c>
      <c r="B30" s="82" t="s">
        <v>46</v>
      </c>
      <c r="C30" s="311">
        <f>I30</f>
        <v>1781.5</v>
      </c>
      <c r="D30" s="311">
        <f>J30</f>
        <v>1433.1994099999999</v>
      </c>
      <c r="E30" s="315">
        <f t="shared" si="5"/>
        <v>80.449026662924496</v>
      </c>
      <c r="F30" s="306">
        <f>район!C95</f>
        <v>1781.5</v>
      </c>
      <c r="G30" s="315">
        <f>район!D95</f>
        <v>1781.5</v>
      </c>
      <c r="H30" s="316">
        <f t="shared" si="2"/>
        <v>100</v>
      </c>
      <c r="I30" s="316">
        <f>Справка!DY31</f>
        <v>1781.5</v>
      </c>
      <c r="J30" s="316">
        <f>Справка!DZ31</f>
        <v>1433.1994099999999</v>
      </c>
      <c r="K30" s="316">
        <f t="shared" si="7"/>
        <v>80.449026662924496</v>
      </c>
    </row>
    <row r="31" spans="1:13" ht="33" customHeight="1">
      <c r="A31" s="81" t="s">
        <v>205</v>
      </c>
      <c r="B31" s="82" t="s">
        <v>50</v>
      </c>
      <c r="C31" s="314">
        <v>5061.8317100000004</v>
      </c>
      <c r="D31" s="314">
        <v>3525.1579299999999</v>
      </c>
      <c r="E31" s="315">
        <f t="shared" si="5"/>
        <v>69.641942521238022</v>
      </c>
      <c r="F31" s="306">
        <f>район!C97</f>
        <v>4702.1330000000007</v>
      </c>
      <c r="G31" s="315">
        <f>район!D97</f>
        <v>3425.8024700000001</v>
      </c>
      <c r="H31" s="316">
        <f t="shared" si="2"/>
        <v>72.856349873557363</v>
      </c>
      <c r="I31" s="316">
        <f>Справка!EB31</f>
        <v>409.02954999999997</v>
      </c>
      <c r="J31" s="316">
        <f>Справка!EC31</f>
        <v>55.349609999999998</v>
      </c>
      <c r="K31" s="316">
        <f t="shared" si="7"/>
        <v>13.53193430645781</v>
      </c>
    </row>
    <row r="32" spans="1:13" ht="30" customHeight="1">
      <c r="A32" s="81" t="s">
        <v>206</v>
      </c>
      <c r="B32" s="82" t="s">
        <v>58</v>
      </c>
      <c r="C32" s="314">
        <v>183983.93984000001</v>
      </c>
      <c r="D32" s="314">
        <v>136245.39494</v>
      </c>
      <c r="E32" s="315">
        <f t="shared" si="5"/>
        <v>74.052873885886228</v>
      </c>
      <c r="F32" s="306">
        <f>район!C103</f>
        <v>164079.899</v>
      </c>
      <c r="G32" s="315">
        <f>район!D103</f>
        <v>117056.35748000001</v>
      </c>
      <c r="H32" s="316">
        <f t="shared" si="2"/>
        <v>71.34107114485731</v>
      </c>
      <c r="I32" s="316">
        <f>Справка!EE31</f>
        <v>36254.901839999991</v>
      </c>
      <c r="J32" s="316">
        <f>Справка!EF31</f>
        <v>19199.408459999999</v>
      </c>
      <c r="K32" s="316">
        <f t="shared" si="7"/>
        <v>52.956724430618408</v>
      </c>
    </row>
    <row r="33" spans="1:12" ht="30" customHeight="1">
      <c r="A33" s="81" t="s">
        <v>207</v>
      </c>
      <c r="B33" s="82" t="s">
        <v>68</v>
      </c>
      <c r="C33" s="314">
        <v>22750.077570000001</v>
      </c>
      <c r="D33" s="314">
        <v>13117.25531</v>
      </c>
      <c r="E33" s="315">
        <f t="shared" si="5"/>
        <v>57.658068503895656</v>
      </c>
      <c r="F33" s="306">
        <f>район!C108</f>
        <v>9408.2691699999996</v>
      </c>
      <c r="G33" s="315">
        <f>район!D108</f>
        <v>5552.4372199999998</v>
      </c>
      <c r="H33" s="316">
        <f t="shared" si="2"/>
        <v>59.016564255038205</v>
      </c>
      <c r="I33" s="316">
        <f>Справка!EH31</f>
        <v>19072.975810000004</v>
      </c>
      <c r="J33" s="316">
        <f>Справка!EI31</f>
        <v>12693.825480000001</v>
      </c>
      <c r="K33" s="316">
        <f t="shared" si="7"/>
        <v>66.553985106742502</v>
      </c>
    </row>
    <row r="34" spans="1:12" ht="30" customHeight="1">
      <c r="A34" s="81" t="s">
        <v>208</v>
      </c>
      <c r="B34" s="82" t="s">
        <v>76</v>
      </c>
      <c r="C34" s="311">
        <f>F34</f>
        <v>51</v>
      </c>
      <c r="D34" s="311">
        <f>G34</f>
        <v>51</v>
      </c>
      <c r="E34" s="315">
        <f t="shared" si="5"/>
        <v>100</v>
      </c>
      <c r="F34" s="306">
        <f>район!C112</f>
        <v>51</v>
      </c>
      <c r="G34" s="315">
        <f>район!D112</f>
        <v>51</v>
      </c>
      <c r="H34" s="316">
        <f t="shared" si="2"/>
        <v>100</v>
      </c>
      <c r="I34" s="315"/>
      <c r="J34" s="315"/>
      <c r="K34" s="316">
        <v>0</v>
      </c>
    </row>
    <row r="35" spans="1:12" ht="30" customHeight="1">
      <c r="A35" s="81" t="s">
        <v>209</v>
      </c>
      <c r="B35" s="82" t="s">
        <v>80</v>
      </c>
      <c r="C35" s="311">
        <f>F35</f>
        <v>416422.12072000001</v>
      </c>
      <c r="D35" s="311">
        <f>G35</f>
        <v>294955.66486000002</v>
      </c>
      <c r="E35" s="315">
        <f t="shared" si="5"/>
        <v>70.830930967360075</v>
      </c>
      <c r="F35" s="306">
        <f>район!C114</f>
        <v>416422.12072000001</v>
      </c>
      <c r="G35" s="315">
        <f>район!D114</f>
        <v>294955.66486000002</v>
      </c>
      <c r="H35" s="316">
        <f t="shared" si="2"/>
        <v>70.830930967360075</v>
      </c>
      <c r="I35" s="315"/>
      <c r="J35" s="315"/>
      <c r="K35" s="316">
        <v>0</v>
      </c>
    </row>
    <row r="36" spans="1:12" ht="30" customHeight="1">
      <c r="A36" s="81" t="s">
        <v>210</v>
      </c>
      <c r="B36" s="82" t="s">
        <v>86</v>
      </c>
      <c r="C36" s="314">
        <v>55829.699430000001</v>
      </c>
      <c r="D36" s="314">
        <v>35541.547229999996</v>
      </c>
      <c r="E36" s="315">
        <f t="shared" si="5"/>
        <v>63.660645844175548</v>
      </c>
      <c r="F36" s="306">
        <f>район!C120</f>
        <v>49256.203419999998</v>
      </c>
      <c r="G36" s="315">
        <f>район!D120</f>
        <v>32637.976790000001</v>
      </c>
      <c r="H36" s="316">
        <f t="shared" si="2"/>
        <v>66.261657464139162</v>
      </c>
      <c r="I36" s="316">
        <f>Справка!EK31</f>
        <v>32471.449099999998</v>
      </c>
      <c r="J36" s="316">
        <f>Справка!EL31</f>
        <v>17876.172439999998</v>
      </c>
      <c r="K36" s="316">
        <f t="shared" si="7"/>
        <v>55.051970070531894</v>
      </c>
      <c r="L36" s="83"/>
    </row>
    <row r="37" spans="1:12" ht="30" customHeight="1">
      <c r="A37" s="81" t="s">
        <v>211</v>
      </c>
      <c r="B37" s="82" t="s">
        <v>212</v>
      </c>
      <c r="C37" s="314">
        <v>31664.602459999998</v>
      </c>
      <c r="D37" s="314">
        <v>11440.57611</v>
      </c>
      <c r="E37" s="315">
        <f t="shared" si="5"/>
        <v>36.130490267333052</v>
      </c>
      <c r="F37" s="306">
        <f>район!C123</f>
        <v>31654.602459999998</v>
      </c>
      <c r="G37" s="315">
        <f>район!D123</f>
        <v>11356.99286</v>
      </c>
      <c r="H37" s="316">
        <f t="shared" si="2"/>
        <v>35.877856543455707</v>
      </c>
      <c r="I37" s="316">
        <f>Справка!EN31</f>
        <v>10</v>
      </c>
      <c r="J37" s="316">
        <f>Справка!EO31</f>
        <v>10</v>
      </c>
      <c r="K37" s="316"/>
    </row>
    <row r="38" spans="1:12" ht="30" customHeight="1">
      <c r="A38" s="81" t="s">
        <v>213</v>
      </c>
      <c r="B38" s="82" t="s">
        <v>95</v>
      </c>
      <c r="C38" s="314">
        <v>5890.0048100000004</v>
      </c>
      <c r="D38" s="314">
        <v>4617.9204</v>
      </c>
      <c r="E38" s="315">
        <f t="shared" si="5"/>
        <v>78.402659233142458</v>
      </c>
      <c r="F38" s="306">
        <f>район!C128</f>
        <v>5673.5628100000004</v>
      </c>
      <c r="G38" s="315">
        <f>район!D128</f>
        <v>4494.9304000000002</v>
      </c>
      <c r="H38" s="316">
        <f t="shared" si="2"/>
        <v>79.225885929691515</v>
      </c>
      <c r="I38" s="316">
        <f>Справка!EQ31</f>
        <v>216.44200000000001</v>
      </c>
      <c r="J38" s="316">
        <f>Справка!ER31</f>
        <v>122.99000000000002</v>
      </c>
      <c r="K38" s="316">
        <f t="shared" si="7"/>
        <v>56.823537021465341</v>
      </c>
    </row>
    <row r="39" spans="1:12" ht="30" customHeight="1">
      <c r="A39" s="81" t="s">
        <v>214</v>
      </c>
      <c r="B39" s="82" t="s">
        <v>107</v>
      </c>
      <c r="C39" s="306">
        <f>F39</f>
        <v>80</v>
      </c>
      <c r="D39" s="317">
        <f>G39</f>
        <v>0.65</v>
      </c>
      <c r="E39" s="315">
        <f t="shared" si="5"/>
        <v>0.8125</v>
      </c>
      <c r="F39" s="306">
        <f>район!C134</f>
        <v>80</v>
      </c>
      <c r="G39" s="315">
        <f>район!D134</f>
        <v>0.65</v>
      </c>
      <c r="H39" s="316">
        <f t="shared" si="2"/>
        <v>0.8125</v>
      </c>
      <c r="I39" s="316"/>
      <c r="J39" s="316"/>
      <c r="K39" s="316">
        <v>0</v>
      </c>
    </row>
    <row r="40" spans="1:12" ht="34.5" customHeight="1">
      <c r="A40" s="81" t="s">
        <v>215</v>
      </c>
      <c r="B40" s="82" t="s">
        <v>111</v>
      </c>
      <c r="C40" s="306">
        <f>F40</f>
        <v>0</v>
      </c>
      <c r="D40" s="317">
        <f>G40</f>
        <v>0</v>
      </c>
      <c r="E40" s="315"/>
      <c r="F40" s="306">
        <f>район!C136</f>
        <v>0</v>
      </c>
      <c r="G40" s="315">
        <f>район!D136</f>
        <v>0</v>
      </c>
      <c r="H40" s="316">
        <v>0</v>
      </c>
      <c r="I40" s="316"/>
      <c r="J40" s="318"/>
      <c r="K40" s="316">
        <v>0</v>
      </c>
    </row>
    <row r="41" spans="1:12" ht="30" customHeight="1">
      <c r="A41" s="81" t="s">
        <v>216</v>
      </c>
      <c r="B41" s="82" t="s">
        <v>217</v>
      </c>
      <c r="C41" s="306">
        <v>0</v>
      </c>
      <c r="D41" s="317"/>
      <c r="E41" s="315">
        <v>0</v>
      </c>
      <c r="F41" s="306">
        <f>район!C138</f>
        <v>36131.277990000002</v>
      </c>
      <c r="G41" s="315">
        <f>район!D138</f>
        <v>26069.601999999999</v>
      </c>
      <c r="H41" s="316">
        <f t="shared" si="2"/>
        <v>72.152449208177032</v>
      </c>
      <c r="I41" s="316">
        <f>Справка!ET31</f>
        <v>0</v>
      </c>
      <c r="J41" s="318">
        <f>Справка!EU31</f>
        <v>0</v>
      </c>
      <c r="K41" s="316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-15692.746470000013</v>
      </c>
      <c r="D43" s="139">
        <f>D27-D28</f>
        <v>3261.7815299999202</v>
      </c>
      <c r="E43" s="139"/>
      <c r="F43" s="139">
        <f>F27-F28</f>
        <v>-9930.6300000000047</v>
      </c>
      <c r="G43" s="139">
        <f>G27-G28</f>
        <v>10440.943999999959</v>
      </c>
      <c r="H43" s="139"/>
      <c r="I43" s="139">
        <f>I27-I28</f>
        <v>-5762.1164699999936</v>
      </c>
      <c r="J43" s="139">
        <f>J27-J28</f>
        <v>1343.0981999999931</v>
      </c>
      <c r="K43" s="139"/>
    </row>
    <row r="44" spans="1:12" hidden="1">
      <c r="A44" s="140"/>
      <c r="B44" s="141"/>
      <c r="C44" s="139">
        <f>C43-F44</f>
        <v>-1.4551915228366852E-11</v>
      </c>
      <c r="D44" s="139">
        <f>D43-G44</f>
        <v>-8522.2606700000324</v>
      </c>
      <c r="E44" s="139"/>
      <c r="F44" s="139">
        <f>F43+I43</f>
        <v>-15692.746469999998</v>
      </c>
      <c r="G44" s="139">
        <f>G43+J43</f>
        <v>11784.042199999953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574497.8621599999</v>
      </c>
      <c r="G45" s="143">
        <f>D28+G44-D23-D26</f>
        <v>422084.24739999988</v>
      </c>
      <c r="H45" s="137"/>
      <c r="I45" s="137"/>
      <c r="J45" s="137"/>
      <c r="K45" s="139"/>
    </row>
    <row r="46" spans="1:12">
      <c r="A46" s="140"/>
      <c r="B46" s="141"/>
      <c r="C46" s="326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58"/>
      <c r="E50" s="458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E271257C-1B5C-4EEE-899F-E7A422E6A72D}" hiddenRows="1" topLeftCell="A23">
      <selection activeCell="D29" sqref="D29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B30CE22D-C12F-4E12-8BB9-3AAE0A6991CC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2"/>
    </customSheetView>
    <customSheetView guid="{A54C432C-6C68-4B53-A75C-446EB3A61B2B}" scale="80" showPageBreaks="1" printArea="1" hiddenRows="1" view="pageBreakPreview" topLeftCell="A8">
      <selection activeCell="J28" sqref="J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5"/>
    </customSheetView>
    <customSheetView guid="{5BFCA170-DEAE-4D2C-98A0-1E68B427AC01}" showPageBreaks="1" printArea="1" hiddenRows="1" topLeftCell="A23">
      <selection activeCell="D29" sqref="D29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7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topLeftCell="A43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425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1294.7218499999999</v>
      </c>
      <c r="E4" s="5">
        <f>SUM(D4/C4*100)</f>
        <v>51.479994035785282</v>
      </c>
      <c r="F4" s="5">
        <f>SUM(D4-C4)</f>
        <v>-1220.2781500000001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160.74467999999999</v>
      </c>
      <c r="E5" s="5">
        <f t="shared" ref="E5:E51" si="0">SUM(D5/C5*100)</f>
        <v>61.28276019824628</v>
      </c>
      <c r="F5" s="5">
        <f t="shared" ref="F5:F51" si="1">SUM(D5-C5)</f>
        <v>-101.55532000000002</v>
      </c>
    </row>
    <row r="6" spans="1:6">
      <c r="A6" s="7">
        <v>1010200001</v>
      </c>
      <c r="B6" s="8" t="s">
        <v>229</v>
      </c>
      <c r="C6" s="9">
        <v>262.3</v>
      </c>
      <c r="D6" s="10">
        <v>160.74467999999999</v>
      </c>
      <c r="E6" s="9">
        <f t="shared" ref="E6:E11" si="2">SUM(D6/C6*100)</f>
        <v>61.28276019824628</v>
      </c>
      <c r="F6" s="9">
        <f t="shared" si="1"/>
        <v>-101.55532000000002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329.2251</v>
      </c>
      <c r="E7" s="9">
        <f t="shared" si="2"/>
        <v>77.886231369765795</v>
      </c>
      <c r="F7" s="9">
        <f t="shared" si="1"/>
        <v>-93.474899999999991</v>
      </c>
    </row>
    <row r="8" spans="1:6">
      <c r="A8" s="7">
        <v>1030223001</v>
      </c>
      <c r="B8" s="8" t="s">
        <v>283</v>
      </c>
      <c r="C8" s="9">
        <v>157.66999999999999</v>
      </c>
      <c r="D8" s="10">
        <v>143.37099000000001</v>
      </c>
      <c r="E8" s="9">
        <f t="shared" si="2"/>
        <v>90.931052197627977</v>
      </c>
      <c r="F8" s="9">
        <f t="shared" si="1"/>
        <v>-14.299009999999981</v>
      </c>
    </row>
    <row r="9" spans="1:6">
      <c r="A9" s="7">
        <v>1030224001</v>
      </c>
      <c r="B9" s="8" t="s">
        <v>289</v>
      </c>
      <c r="C9" s="9">
        <v>1.7</v>
      </c>
      <c r="D9" s="10">
        <v>1.3004100000000001</v>
      </c>
      <c r="E9" s="9">
        <f t="shared" si="2"/>
        <v>76.494705882352946</v>
      </c>
      <c r="F9" s="9">
        <f t="shared" si="1"/>
        <v>-0.39958999999999989</v>
      </c>
    </row>
    <row r="10" spans="1:6">
      <c r="A10" s="7">
        <v>1030225001</v>
      </c>
      <c r="B10" s="8" t="s">
        <v>282</v>
      </c>
      <c r="C10" s="9">
        <v>263.33</v>
      </c>
      <c r="D10" s="10">
        <v>216.66821999999999</v>
      </c>
      <c r="E10" s="9">
        <f t="shared" si="2"/>
        <v>82.280112406486154</v>
      </c>
      <c r="F10" s="9">
        <f t="shared" si="1"/>
        <v>-46.661779999999993</v>
      </c>
    </row>
    <row r="11" spans="1:6">
      <c r="A11" s="7">
        <v>1030265001</v>
      </c>
      <c r="B11" s="8" t="s">
        <v>291</v>
      </c>
      <c r="C11" s="9">
        <v>0</v>
      </c>
      <c r="D11" s="10">
        <v>-32.114519999999999</v>
      </c>
      <c r="E11" s="9" t="e">
        <f t="shared" si="2"/>
        <v>#DIV/0!</v>
      </c>
      <c r="F11" s="9">
        <f t="shared" si="1"/>
        <v>-32.114519999999999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763.65102999999999</v>
      </c>
      <c r="E14" s="5">
        <f t="shared" si="0"/>
        <v>42.901743258426968</v>
      </c>
      <c r="F14" s="5">
        <f t="shared" si="1"/>
        <v>-1016.34897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69.331829999999997</v>
      </c>
      <c r="E15" s="9">
        <f t="shared" si="0"/>
        <v>43.332393749999994</v>
      </c>
      <c r="F15" s="9">
        <f>SUM(D15-C15)</f>
        <v>-90.668170000000003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694.31920000000002</v>
      </c>
      <c r="E16" s="9">
        <f t="shared" si="0"/>
        <v>42.859209876543211</v>
      </c>
      <c r="F16" s="9">
        <f t="shared" si="1"/>
        <v>-925.68079999999998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5.3849999999999998</v>
      </c>
      <c r="E17" s="5">
        <f t="shared" si="0"/>
        <v>53.849999999999994</v>
      </c>
      <c r="F17" s="5">
        <f t="shared" si="1"/>
        <v>-4.6150000000000002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5.3849999999999998</v>
      </c>
      <c r="E18" s="9">
        <f t="shared" si="0"/>
        <v>53.849999999999994</v>
      </c>
      <c r="F18" s="9">
        <f t="shared" si="1"/>
        <v>-4.6150000000000002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79.189739999999986</v>
      </c>
      <c r="E25" s="5">
        <f t="shared" si="0"/>
        <v>42.279626268019207</v>
      </c>
      <c r="F25" s="5">
        <f t="shared" si="1"/>
        <v>-108.11026000000003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79.291519999999991</v>
      </c>
      <c r="E26" s="5">
        <f t="shared" si="0"/>
        <v>57.750560815731966</v>
      </c>
      <c r="F26" s="5">
        <f t="shared" si="1"/>
        <v>-58.00848000000002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38.791519999999998</v>
      </c>
      <c r="E27" s="9">
        <f t="shared" si="0"/>
        <v>36.152395153774464</v>
      </c>
      <c r="F27" s="9">
        <f t="shared" si="1"/>
        <v>-68.508479999999992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40.5</v>
      </c>
      <c r="E28" s="9">
        <f t="shared" si="0"/>
        <v>135</v>
      </c>
      <c r="F28" s="9">
        <f t="shared" si="1"/>
        <v>10.5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1373.9115899999999</v>
      </c>
      <c r="E39" s="5">
        <f t="shared" si="0"/>
        <v>50.842304333345666</v>
      </c>
      <c r="F39" s="5">
        <f t="shared" si="1"/>
        <v>-1328.3884100000002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3290.6099999999997</v>
      </c>
      <c r="D40" s="5">
        <f>D41+D43+D45+D46+D48+D49+D42+D47</f>
        <v>2683.0553500000001</v>
      </c>
      <c r="E40" s="5">
        <f t="shared" si="0"/>
        <v>81.536716596618874</v>
      </c>
      <c r="F40" s="5">
        <f t="shared" si="1"/>
        <v>-607.55464999999958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1070.2460000000001</v>
      </c>
      <c r="E41" s="9">
        <f t="shared" si="0"/>
        <v>78.824735555925457</v>
      </c>
      <c r="F41" s="9">
        <f t="shared" si="1"/>
        <v>-287.50799999999981</v>
      </c>
    </row>
    <row r="42" spans="1:7" ht="17.25" customHeight="1">
      <c r="A42" s="16">
        <v>2021500200</v>
      </c>
      <c r="B42" s="17" t="s">
        <v>232</v>
      </c>
      <c r="C42" s="12">
        <v>420</v>
      </c>
      <c r="D42" s="20">
        <v>240</v>
      </c>
      <c r="E42" s="9">
        <f>SUM(D42/C42*100)</f>
        <v>57.142857142857139</v>
      </c>
      <c r="F42" s="9">
        <f>SUM(D42-C42)</f>
        <v>-180</v>
      </c>
    </row>
    <row r="43" spans="1:7" ht="19.5" customHeight="1">
      <c r="A43" s="16">
        <v>2022000000</v>
      </c>
      <c r="B43" s="17" t="s">
        <v>22</v>
      </c>
      <c r="C43" s="12">
        <v>1047.7360000000001</v>
      </c>
      <c r="D43" s="10">
        <v>912.74599999999998</v>
      </c>
      <c r="E43" s="9">
        <f t="shared" si="0"/>
        <v>87.116029228737005</v>
      </c>
      <c r="F43" s="9">
        <f t="shared" si="1"/>
        <v>-134.99000000000012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155.91999999999999</v>
      </c>
      <c r="D45" s="252">
        <v>150.881</v>
      </c>
      <c r="E45" s="9">
        <f t="shared" si="0"/>
        <v>96.768214468958448</v>
      </c>
      <c r="F45" s="9">
        <f t="shared" si="1"/>
        <v>-5.0389999999999873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3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413">
        <f>C39+C40</f>
        <v>5992.91</v>
      </c>
      <c r="D51" s="414">
        <f>D39+D40</f>
        <v>4056.9669400000002</v>
      </c>
      <c r="E51" s="5">
        <f t="shared" si="0"/>
        <v>67.696109903202299</v>
      </c>
      <c r="F51" s="5">
        <f t="shared" si="1"/>
        <v>-1935.9430599999996</v>
      </c>
      <c r="G51" s="295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109.78945000000067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413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1330.0975000000001</v>
      </c>
      <c r="D56" s="33">
        <f>D57+D58+D59+D60+D61+D63+D62</f>
        <v>851.28859</v>
      </c>
      <c r="E56" s="34">
        <f>SUM(D56/C56*100)</f>
        <v>64.001969028586245</v>
      </c>
      <c r="F56" s="34">
        <f>SUM(D56-C56)</f>
        <v>-478.80891000000008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847.18508999999995</v>
      </c>
      <c r="E58" s="38">
        <f t="shared" ref="E58:E98" si="3">SUM(D58/C58*100)</f>
        <v>64.515288382017644</v>
      </c>
      <c r="F58" s="38">
        <f t="shared" ref="F58:F98" si="4">SUM(D58-C58)</f>
        <v>-465.96891000000005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11.9435</v>
      </c>
      <c r="D63" s="37">
        <v>4.1035000000000004</v>
      </c>
      <c r="E63" s="38">
        <f t="shared" si="3"/>
        <v>34.357600368401222</v>
      </c>
      <c r="F63" s="38">
        <f t="shared" si="4"/>
        <v>-7.84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113.2955</v>
      </c>
      <c r="E64" s="34">
        <f t="shared" si="3"/>
        <v>75.089308793022312</v>
      </c>
      <c r="F64" s="34">
        <f t="shared" si="4"/>
        <v>-37.585499999999996</v>
      </c>
    </row>
    <row r="65" spans="1:7">
      <c r="A65" s="43" t="s">
        <v>48</v>
      </c>
      <c r="B65" s="44" t="s">
        <v>49</v>
      </c>
      <c r="C65" s="37">
        <v>150.881</v>
      </c>
      <c r="D65" s="37">
        <v>113.2955</v>
      </c>
      <c r="E65" s="38">
        <f t="shared" si="3"/>
        <v>75.089308793022312</v>
      </c>
      <c r="F65" s="38">
        <f t="shared" si="4"/>
        <v>-37.585499999999996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9.4405000000000001</v>
      </c>
      <c r="D66" s="32">
        <f>D70+D69+D68+D67</f>
        <v>6.9649999999999999</v>
      </c>
      <c r="E66" s="34">
        <f t="shared" si="3"/>
        <v>73.777871934749214</v>
      </c>
      <c r="F66" s="34">
        <f t="shared" si="4"/>
        <v>-2.4755000000000003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2.7905000000000002</v>
      </c>
      <c r="D69" s="37">
        <v>1.9650000000000001</v>
      </c>
      <c r="E69" s="38">
        <f t="shared" si="3"/>
        <v>70.417487905393301</v>
      </c>
      <c r="F69" s="38">
        <f t="shared" si="4"/>
        <v>-0.82550000000000012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5</v>
      </c>
      <c r="E70" s="38">
        <f>SUM(D70/C70*100)</f>
        <v>75.187969924812023</v>
      </c>
      <c r="F70" s="38">
        <f>SUM(D70-C70)</f>
        <v>-1.6500000000000004</v>
      </c>
    </row>
    <row r="71" spans="1:7" s="6" customFormat="1">
      <c r="A71" s="30" t="s">
        <v>58</v>
      </c>
      <c r="B71" s="31" t="s">
        <v>59</v>
      </c>
      <c r="C71" s="48">
        <f>SUM(C72:C75)</f>
        <v>2173.4105099999997</v>
      </c>
      <c r="D71" s="48">
        <f>SUM(D72:D75)</f>
        <v>1674.9011999999998</v>
      </c>
      <c r="E71" s="34">
        <f t="shared" si="3"/>
        <v>77.063269561533502</v>
      </c>
      <c r="F71" s="34">
        <f t="shared" si="4"/>
        <v>-498.50930999999991</v>
      </c>
    </row>
    <row r="72" spans="1:7" ht="17.25" customHeight="1">
      <c r="A72" s="35" t="s">
        <v>60</v>
      </c>
      <c r="B72" s="39" t="s">
        <v>61</v>
      </c>
      <c r="C72" s="49">
        <v>11.25</v>
      </c>
      <c r="D72" s="37">
        <v>0</v>
      </c>
      <c r="E72" s="38">
        <f t="shared" si="3"/>
        <v>0</v>
      </c>
      <c r="F72" s="38">
        <f t="shared" si="4"/>
        <v>-11.25</v>
      </c>
    </row>
    <row r="73" spans="1:7" s="6" customFormat="1" ht="17.25" customHeight="1">
      <c r="A73" s="35" t="s">
        <v>62</v>
      </c>
      <c r="B73" s="39" t="s">
        <v>63</v>
      </c>
      <c r="C73" s="49">
        <v>152.941</v>
      </c>
      <c r="D73" s="37">
        <v>78.856200000000001</v>
      </c>
      <c r="E73" s="38">
        <f t="shared" si="3"/>
        <v>51.559882569095272</v>
      </c>
      <c r="F73" s="38">
        <f t="shared" si="4"/>
        <v>-74.084800000000001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1586.1949999999999</v>
      </c>
      <c r="E74" s="38">
        <f t="shared" si="3"/>
        <v>86.714305818878998</v>
      </c>
      <c r="F74" s="38">
        <f t="shared" si="4"/>
        <v>-243.02450999999996</v>
      </c>
    </row>
    <row r="75" spans="1:7">
      <c r="A75" s="35" t="s">
        <v>66</v>
      </c>
      <c r="B75" s="39" t="s">
        <v>67</v>
      </c>
      <c r="C75" s="49">
        <v>180</v>
      </c>
      <c r="D75" s="37">
        <v>9.85</v>
      </c>
      <c r="E75" s="38">
        <f t="shared" si="3"/>
        <v>5.4722222222222223</v>
      </c>
      <c r="F75" s="38">
        <f t="shared" si="4"/>
        <v>-170.15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908.81399999999996</v>
      </c>
      <c r="D76" s="32">
        <f>SUM(D77:D80)</f>
        <v>738.38620000000003</v>
      </c>
      <c r="E76" s="34">
        <f t="shared" si="3"/>
        <v>81.24722990622945</v>
      </c>
      <c r="F76" s="34">
        <f t="shared" si="4"/>
        <v>-170.42779999999993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908.81399999999996</v>
      </c>
      <c r="D79" s="37">
        <v>738.38620000000003</v>
      </c>
      <c r="E79" s="38">
        <f t="shared" si="3"/>
        <v>81.24722990622945</v>
      </c>
      <c r="F79" s="38">
        <f t="shared" si="4"/>
        <v>-170.42779999999993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1530</v>
      </c>
      <c r="D81" s="32">
        <f>SUM(D82)</f>
        <v>562.34100000000001</v>
      </c>
      <c r="E81" s="34">
        <f t="shared" si="3"/>
        <v>36.754313725490192</v>
      </c>
      <c r="F81" s="34">
        <f t="shared" si="4"/>
        <v>-967.65899999999999</v>
      </c>
    </row>
    <row r="82" spans="1:6" ht="16.5" hidden="1" customHeight="1">
      <c r="A82" s="35" t="s">
        <v>88</v>
      </c>
      <c r="B82" s="39" t="s">
        <v>234</v>
      </c>
      <c r="C82" s="37">
        <v>1530</v>
      </c>
      <c r="D82" s="37">
        <v>562.34100000000001</v>
      </c>
      <c r="E82" s="38">
        <f t="shared" si="3"/>
        <v>36.754313725490192</v>
      </c>
      <c r="F82" s="38">
        <f t="shared" si="4"/>
        <v>-967.65899999999999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400">
        <f>C56+C64+C66+C71+C76+C81+C83+C88+C94</f>
        <v>6104.6435099999999</v>
      </c>
      <c r="D98" s="400">
        <f>D56+D64+D66+D71+D76+D81+D83+D88+D94</f>
        <v>3947.1774899999996</v>
      </c>
      <c r="E98" s="34">
        <f t="shared" si="3"/>
        <v>64.658607558887567</v>
      </c>
      <c r="F98" s="34">
        <f t="shared" si="4"/>
        <v>-2157.4660200000003</v>
      </c>
    </row>
    <row r="99" spans="1:6" ht="20.25" customHeight="1">
      <c r="C99" s="346"/>
      <c r="D99" s="347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E271257C-1B5C-4EEE-899F-E7A422E6A72D}" hiddenRows="1" topLeftCell="A43">
      <selection activeCell="B100" sqref="B100"/>
      <pageMargins left="0.7" right="0.7" top="0.75" bottom="0.75" header="0.3" footer="0.3"/>
      <pageSetup paperSize="9" scale="57" orientation="portrait" r:id="rId1"/>
    </customSheetView>
    <customSheetView guid="{B30CE22D-C12F-4E12-8BB9-3AAE0A6991CC}" scale="70" showPageBreaks="1" hiddenRows="1" view="pageBreakPreview" topLeftCell="A25">
      <selection activeCell="C64" sqref="C6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1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3" orientation="portrait" r:id="rId3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5"/>
    </customSheetView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7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topLeftCell="A38" zoomScaleNormal="100" zoomScaleSheetLayoutView="70" workbookViewId="0">
      <selection activeCell="B100" sqref="B100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426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1204.99334</v>
      </c>
      <c r="E4" s="5">
        <f>SUM(D4/C4*100)</f>
        <v>69.292313973548019</v>
      </c>
      <c r="F4" s="5">
        <f>SUM(D4-C4)</f>
        <v>-534.00666000000001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89.491929999999996</v>
      </c>
      <c r="E5" s="5">
        <f t="shared" ref="E5:E51" si="0">SUM(D5/C5*100)</f>
        <v>82.786244218316369</v>
      </c>
      <c r="F5" s="5">
        <f t="shared" ref="F5:F51" si="1">SUM(D5-C5)</f>
        <v>-18.608069999999998</v>
      </c>
    </row>
    <row r="6" spans="1:6">
      <c r="A6" s="7">
        <v>1010200001</v>
      </c>
      <c r="B6" s="8" t="s">
        <v>229</v>
      </c>
      <c r="C6" s="9">
        <v>108.1</v>
      </c>
      <c r="D6" s="10">
        <v>89.491929999999996</v>
      </c>
      <c r="E6" s="9">
        <f t="shared" ref="E6:E11" si="2">SUM(D6/C6*100)</f>
        <v>82.786244218316369</v>
      </c>
      <c r="F6" s="9">
        <f t="shared" si="1"/>
        <v>-18.608069999999998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405.71169000000003</v>
      </c>
      <c r="E7" s="9">
        <f t="shared" si="2"/>
        <v>77.886674985601857</v>
      </c>
      <c r="F7" s="9">
        <f t="shared" si="1"/>
        <v>-115.18830999999994</v>
      </c>
    </row>
    <row r="8" spans="1:6">
      <c r="A8" s="7">
        <v>1030223001</v>
      </c>
      <c r="B8" s="8" t="s">
        <v>283</v>
      </c>
      <c r="C8" s="9">
        <v>194.3</v>
      </c>
      <c r="D8" s="10">
        <v>176.67939999999999</v>
      </c>
      <c r="E8" s="9">
        <f t="shared" si="2"/>
        <v>90.931240349974246</v>
      </c>
      <c r="F8" s="9">
        <f t="shared" si="1"/>
        <v>-17.620600000000024</v>
      </c>
    </row>
    <row r="9" spans="1:6">
      <c r="A9" s="7">
        <v>1030224001</v>
      </c>
      <c r="B9" s="8" t="s">
        <v>289</v>
      </c>
      <c r="C9" s="9">
        <v>2.1</v>
      </c>
      <c r="D9" s="10">
        <v>1.6025199999999999</v>
      </c>
      <c r="E9" s="9">
        <f t="shared" si="2"/>
        <v>76.31047619047618</v>
      </c>
      <c r="F9" s="9">
        <f t="shared" si="1"/>
        <v>-0.49748000000000014</v>
      </c>
    </row>
    <row r="10" spans="1:6">
      <c r="A10" s="7">
        <v>1030225001</v>
      </c>
      <c r="B10" s="8" t="s">
        <v>282</v>
      </c>
      <c r="C10" s="9">
        <v>324.5</v>
      </c>
      <c r="D10" s="10">
        <v>267.00528000000003</v>
      </c>
      <c r="E10" s="9">
        <f t="shared" si="2"/>
        <v>82.282058551617894</v>
      </c>
      <c r="F10" s="9">
        <f t="shared" si="1"/>
        <v>-57.494719999999973</v>
      </c>
    </row>
    <row r="11" spans="1:6">
      <c r="A11" s="7">
        <v>1030226001</v>
      </c>
      <c r="B11" s="8" t="s">
        <v>291</v>
      </c>
      <c r="C11" s="9">
        <v>0</v>
      </c>
      <c r="D11" s="10">
        <v>-39.575510000000001</v>
      </c>
      <c r="E11" s="9" t="e">
        <f t="shared" si="2"/>
        <v>#DIV/0!</v>
      </c>
      <c r="F11" s="9">
        <f t="shared" si="1"/>
        <v>-39.575510000000001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664.01227999999992</v>
      </c>
      <c r="E14" s="5">
        <f t="shared" si="0"/>
        <v>62.642667924528297</v>
      </c>
      <c r="F14" s="5">
        <f t="shared" si="1"/>
        <v>-395.98772000000008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66.693240000000003</v>
      </c>
      <c r="E15" s="9">
        <f t="shared" si="0"/>
        <v>51.302492307692305</v>
      </c>
      <c r="F15" s="9">
        <f>SUM(D15-C15)</f>
        <v>-63.306759999999997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597.31903999999997</v>
      </c>
      <c r="E16" s="9">
        <f t="shared" si="0"/>
        <v>64.227853763440862</v>
      </c>
      <c r="F16" s="9">
        <f t="shared" si="1"/>
        <v>-332.68096000000003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2.7749999999999999</v>
      </c>
      <c r="E17" s="5">
        <f t="shared" si="0"/>
        <v>27.749999999999996</v>
      </c>
      <c r="F17" s="5">
        <f t="shared" si="1"/>
        <v>-7.2249999999999996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2.7749999999999999</v>
      </c>
      <c r="E18" s="9">
        <f t="shared" si="0"/>
        <v>27.749999999999996</v>
      </c>
      <c r="F18" s="9">
        <f t="shared" si="1"/>
        <v>-7.2249999999999996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-89.070390000000003</v>
      </c>
      <c r="E25" s="5">
        <f t="shared" si="0"/>
        <v>-53.656861445783136</v>
      </c>
      <c r="F25" s="5">
        <f t="shared" si="1"/>
        <v>-255.07039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5.0803200000000004</v>
      </c>
      <c r="E26" s="5">
        <f t="shared" si="0"/>
        <v>3.0604337349397595</v>
      </c>
      <c r="F26" s="5">
        <f t="shared" si="1"/>
        <v>-160.91968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5.0803200000000004</v>
      </c>
      <c r="E28" s="9">
        <f t="shared" si="0"/>
        <v>84.671999999999997</v>
      </c>
      <c r="F28" s="9">
        <f t="shared" si="1"/>
        <v>-0.91967999999999961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0.84928999999999999</v>
      </c>
      <c r="E29" s="5" t="e">
        <f t="shared" si="0"/>
        <v>#DIV/0!</v>
      </c>
      <c r="F29" s="5">
        <f t="shared" si="1"/>
        <v>0.84928999999999999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0.84928999999999999</v>
      </c>
      <c r="E30" s="9" t="e">
        <f t="shared" si="0"/>
        <v>#DIV/0!</v>
      </c>
      <c r="F30" s="9">
        <f t="shared" si="1"/>
        <v>0.84928999999999999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1115.9229499999999</v>
      </c>
      <c r="E39" s="5">
        <f t="shared" si="0"/>
        <v>58.578632545931754</v>
      </c>
      <c r="F39" s="5">
        <f t="shared" si="1"/>
        <v>-789.0770500000001</v>
      </c>
    </row>
    <row r="40" spans="1:7" s="6" customFormat="1">
      <c r="A40" s="3">
        <v>2000000000</v>
      </c>
      <c r="B40" s="4" t="s">
        <v>20</v>
      </c>
      <c r="C40" s="345">
        <f>C41+C42+C43+C44+C48+C49</f>
        <v>4534.1469999999999</v>
      </c>
      <c r="D40" s="345">
        <f>D41+D42+D43+D44+D48+D49+D50</f>
        <v>2789.21117</v>
      </c>
      <c r="E40" s="5">
        <f t="shared" si="0"/>
        <v>61.51567582612563</v>
      </c>
      <c r="F40" s="5">
        <f t="shared" si="1"/>
        <v>-1744.9358299999999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2161.3049999999998</v>
      </c>
      <c r="E41" s="9">
        <f t="shared" si="0"/>
        <v>78.057745189887228</v>
      </c>
      <c r="F41" s="9">
        <f t="shared" si="1"/>
        <v>-607.54899999999998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1320.69</v>
      </c>
      <c r="D43" s="10">
        <v>268.69499999999999</v>
      </c>
      <c r="E43" s="9">
        <f t="shared" si="0"/>
        <v>20.345046907298457</v>
      </c>
      <c r="F43" s="9">
        <f t="shared" si="1"/>
        <v>-1051.9950000000001</v>
      </c>
    </row>
    <row r="44" spans="1:7" ht="18" customHeight="1">
      <c r="A44" s="16">
        <v>2023000000</v>
      </c>
      <c r="B44" s="17" t="s">
        <v>23</v>
      </c>
      <c r="C44" s="12">
        <v>157.59899999999999</v>
      </c>
      <c r="D44" s="252">
        <v>151.91810000000001</v>
      </c>
      <c r="E44" s="9">
        <f t="shared" si="0"/>
        <v>96.395345148129124</v>
      </c>
      <c r="F44" s="9">
        <f t="shared" si="1"/>
        <v>-5.6808999999999799</v>
      </c>
    </row>
    <row r="45" spans="1:7" ht="0.75" hidden="1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6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6" s="6" customFormat="1" ht="19.5" customHeight="1">
      <c r="A51" s="3"/>
      <c r="B51" s="4" t="s">
        <v>28</v>
      </c>
      <c r="C51" s="396">
        <f>C39+C40</f>
        <v>6439.1469999999999</v>
      </c>
      <c r="D51" s="396">
        <f>SUM(D39,D40,)</f>
        <v>3905.1341199999997</v>
      </c>
      <c r="E51" s="5">
        <f t="shared" si="0"/>
        <v>60.646761442159956</v>
      </c>
      <c r="F51" s="5">
        <f t="shared" si="1"/>
        <v>-2534.0128800000002</v>
      </c>
    </row>
    <row r="52" spans="1:6" s="6" customFormat="1">
      <c r="A52" s="3"/>
      <c r="B52" s="21" t="s">
        <v>321</v>
      </c>
      <c r="C52" s="93">
        <f>C51-C97</f>
        <v>-449.50601999999981</v>
      </c>
      <c r="D52" s="93">
        <f>D51-D97</f>
        <v>56.979060000000118</v>
      </c>
      <c r="E52" s="22"/>
      <c r="F52" s="22"/>
    </row>
    <row r="53" spans="1:6">
      <c r="A53" s="23"/>
      <c r="B53" s="24"/>
      <c r="C53" s="251"/>
      <c r="D53" s="251"/>
      <c r="E53" s="26"/>
      <c r="F53" s="92"/>
    </row>
    <row r="54" spans="1:6" ht="60" customHeight="1">
      <c r="A54" s="28" t="s">
        <v>1</v>
      </c>
      <c r="B54" s="28" t="s">
        <v>29</v>
      </c>
      <c r="C54" s="244" t="s">
        <v>346</v>
      </c>
      <c r="D54" s="245" t="s">
        <v>413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29.25" customHeight="1">
      <c r="A56" s="30" t="s">
        <v>30</v>
      </c>
      <c r="B56" s="31" t="s">
        <v>31</v>
      </c>
      <c r="C56" s="32">
        <f>C57+C58+C59+C60+C61+C63+C62</f>
        <v>1470.8029999999999</v>
      </c>
      <c r="D56" s="32">
        <f>D57+D58+D59+D60+D61+D63+D62</f>
        <v>972.36361999999986</v>
      </c>
      <c r="E56" s="34">
        <f>SUM(D56/C56*100)</f>
        <v>66.111071299147468</v>
      </c>
      <c r="F56" s="34">
        <f>SUM(D56-C56)</f>
        <v>-498.43938000000003</v>
      </c>
    </row>
    <row r="57" spans="1:6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6">
      <c r="A58" s="35" t="s">
        <v>34</v>
      </c>
      <c r="B58" s="39" t="s">
        <v>35</v>
      </c>
      <c r="C58" s="37">
        <v>1410.7539999999999</v>
      </c>
      <c r="D58" s="37">
        <v>940.86461999999995</v>
      </c>
      <c r="E58" s="38">
        <f t="shared" ref="E58:E97" si="3">SUM(D58/C58*100)</f>
        <v>66.692323395857827</v>
      </c>
      <c r="F58" s="38">
        <f t="shared" ref="F58:F97" si="4">SUM(D58-C58)</f>
        <v>-469.88937999999996</v>
      </c>
    </row>
    <row r="59" spans="1:6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>
      <c r="A61" s="35" t="s">
        <v>40</v>
      </c>
      <c r="B61" s="39" t="s">
        <v>41</v>
      </c>
      <c r="C61" s="37">
        <v>19.635999999999999</v>
      </c>
      <c r="D61" s="37">
        <v>19.635999999999999</v>
      </c>
      <c r="E61" s="38">
        <f t="shared" si="3"/>
        <v>100</v>
      </c>
      <c r="F61" s="38">
        <f t="shared" si="4"/>
        <v>0</v>
      </c>
    </row>
    <row r="62" spans="1:6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6" ht="18.75" customHeight="1">
      <c r="A63" s="35" t="s">
        <v>44</v>
      </c>
      <c r="B63" s="39" t="s">
        <v>45</v>
      </c>
      <c r="C63" s="37">
        <v>20.402999999999999</v>
      </c>
      <c r="D63" s="37">
        <v>11.863</v>
      </c>
      <c r="E63" s="38">
        <f t="shared" si="3"/>
        <v>58.143410282801554</v>
      </c>
      <c r="F63" s="38">
        <f t="shared" si="4"/>
        <v>-8.5399999999999991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119.65807</v>
      </c>
      <c r="E64" s="34">
        <f t="shared" si="3"/>
        <v>79.306254597994439</v>
      </c>
      <c r="F64" s="34">
        <f t="shared" si="4"/>
        <v>-31.222930000000005</v>
      </c>
    </row>
    <row r="65" spans="1:7">
      <c r="A65" s="43" t="s">
        <v>48</v>
      </c>
      <c r="B65" s="44" t="s">
        <v>49</v>
      </c>
      <c r="C65" s="37">
        <v>150.881</v>
      </c>
      <c r="D65" s="37">
        <v>119.65807</v>
      </c>
      <c r="E65" s="38">
        <f t="shared" si="3"/>
        <v>79.306254597994439</v>
      </c>
      <c r="F65" s="38">
        <f t="shared" si="4"/>
        <v>-31.222930000000005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1.46</v>
      </c>
      <c r="D66" s="32">
        <f>D69+D70</f>
        <v>0</v>
      </c>
      <c r="E66" s="34">
        <f t="shared" si="3"/>
        <v>0</v>
      </c>
      <c r="F66" s="34">
        <f t="shared" si="4"/>
        <v>-1.46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1.46</v>
      </c>
      <c r="D70" s="37">
        <v>0</v>
      </c>
      <c r="E70" s="34">
        <f t="shared" si="3"/>
        <v>0</v>
      </c>
      <c r="F70" s="34">
        <f t="shared" si="4"/>
        <v>-1.46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2316.2266</v>
      </c>
      <c r="D71" s="48">
        <f>SUM(D72:D75)</f>
        <v>509.62067999999999</v>
      </c>
      <c r="E71" s="34">
        <f t="shared" si="3"/>
        <v>22.002194431235701</v>
      </c>
      <c r="F71" s="34">
        <f t="shared" si="4"/>
        <v>-1806.60592</v>
      </c>
    </row>
    <row r="72" spans="1:7" ht="15" customHeight="1">
      <c r="A72" s="35" t="s">
        <v>60</v>
      </c>
      <c r="B72" s="39" t="s">
        <v>61</v>
      </c>
      <c r="C72" s="49">
        <v>16.25</v>
      </c>
      <c r="D72" s="37">
        <v>3.75</v>
      </c>
      <c r="E72" s="38">
        <f t="shared" si="3"/>
        <v>23.076923076923077</v>
      </c>
      <c r="F72" s="38">
        <f t="shared" si="4"/>
        <v>-12.5</v>
      </c>
    </row>
    <row r="73" spans="1:7" s="6" customFormat="1" ht="15" customHeight="1">
      <c r="A73" s="35" t="s">
        <v>62</v>
      </c>
      <c r="B73" s="39" t="s">
        <v>63</v>
      </c>
      <c r="C73" s="49">
        <v>151.84793999999999</v>
      </c>
      <c r="D73" s="37">
        <v>18.5</v>
      </c>
      <c r="E73" s="38">
        <f t="shared" si="3"/>
        <v>12.183240681434334</v>
      </c>
      <c r="F73" s="38">
        <f t="shared" si="4"/>
        <v>-133.34793999999999</v>
      </c>
      <c r="G73" s="50"/>
    </row>
    <row r="74" spans="1:7">
      <c r="A74" s="35" t="s">
        <v>64</v>
      </c>
      <c r="B74" s="39" t="s">
        <v>65</v>
      </c>
      <c r="C74" s="49">
        <v>1910.0300199999999</v>
      </c>
      <c r="D74" s="37">
        <v>446.52668</v>
      </c>
      <c r="E74" s="38">
        <f t="shared" si="3"/>
        <v>23.377992771024616</v>
      </c>
      <c r="F74" s="38">
        <f t="shared" si="4"/>
        <v>-1463.50334</v>
      </c>
    </row>
    <row r="75" spans="1:7">
      <c r="A75" s="35" t="s">
        <v>66</v>
      </c>
      <c r="B75" s="39" t="s">
        <v>67</v>
      </c>
      <c r="C75" s="49">
        <v>238.09863999999999</v>
      </c>
      <c r="D75" s="37">
        <v>40.844000000000001</v>
      </c>
      <c r="E75" s="38">
        <f t="shared" si="3"/>
        <v>17.154234900291744</v>
      </c>
      <c r="F75" s="38">
        <f t="shared" si="4"/>
        <v>-197.25463999999999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812.43241999999998</v>
      </c>
      <c r="D76" s="32">
        <f>SUM(D77:D79)</f>
        <v>532.25977</v>
      </c>
      <c r="E76" s="34">
        <f t="shared" si="3"/>
        <v>65.514343949986625</v>
      </c>
      <c r="F76" s="34">
        <f t="shared" si="4"/>
        <v>-280.17264999999998</v>
      </c>
    </row>
    <row r="77" spans="1:7" ht="14.25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812.43241999999998</v>
      </c>
      <c r="D79" s="37">
        <v>532.25977</v>
      </c>
      <c r="E79" s="38">
        <f t="shared" si="3"/>
        <v>65.514343949986625</v>
      </c>
      <c r="F79" s="38">
        <f t="shared" si="4"/>
        <v>-280.17264999999998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1687.9379200000001</v>
      </c>
      <c r="E80" s="34">
        <f>SUM(D80/C80*100)</f>
        <v>80.383737886039484</v>
      </c>
      <c r="F80" s="34">
        <f t="shared" si="4"/>
        <v>-411.91207999999983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1687.9379200000001</v>
      </c>
      <c r="E81" s="38">
        <f>SUM(D81/C81*100)</f>
        <v>80.383737886039484</v>
      </c>
      <c r="F81" s="38">
        <f t="shared" si="4"/>
        <v>-411.91207999999983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26.315000000000001</v>
      </c>
      <c r="E87" s="38">
        <f t="shared" si="3"/>
        <v>71.121621621621628</v>
      </c>
      <c r="F87" s="22">
        <f>F88+F89+F90+F91+F92</f>
        <v>-10.684999999999999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26.315000000000001</v>
      </c>
      <c r="E88" s="38">
        <f t="shared" si="3"/>
        <v>71.121621621621628</v>
      </c>
      <c r="F88" s="38">
        <f>SUM(D88-C88)</f>
        <v>-10.684999999999999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400">
        <f>C56+C64+C66+C71+C76+C80+C82+C87+C93</f>
        <v>6888.6530199999997</v>
      </c>
      <c r="D97" s="400">
        <f>D56+D64+D66+D71+D76+D80+D82+D87+D93</f>
        <v>3848.1550599999996</v>
      </c>
      <c r="E97" s="34">
        <f t="shared" si="3"/>
        <v>55.862228055725183</v>
      </c>
      <c r="F97" s="34">
        <f t="shared" si="4"/>
        <v>-3040.4979600000001</v>
      </c>
      <c r="G97" s="295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50"/>
      <c r="D99" s="250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</sheetData>
  <customSheetViews>
    <customSheetView guid="{E271257C-1B5C-4EEE-899F-E7A422E6A72D}" hiddenRows="1" topLeftCell="A38">
      <selection activeCell="B100" sqref="B100"/>
      <pageMargins left="0.7" right="0.7" top="0.75" bottom="0.75" header="0.3" footer="0.3"/>
      <pageSetup paperSize="9" scale="49" orientation="portrait" r:id="rId1"/>
    </customSheetView>
    <customSheetView guid="{B30CE22D-C12F-4E12-8BB9-3AAE0A6991CC}" scale="70" showPageBreaks="1" hiddenRows="1" view="pageBreakPreview" topLeftCell="A36">
      <selection activeCell="D62" sqref="D6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64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5"/>
    </customSheetView>
    <customSheetView guid="{5BFCA170-DEAE-4D2C-98A0-1E68B427AC01}" showPageBreaks="1" hiddenRows="1" topLeftCell="A38">
      <selection activeCell="B100" sqref="B100"/>
      <pageMargins left="0.7" right="0.7" top="0.75" bottom="0.75" header="0.3" footer="0.3"/>
      <pageSetup paperSize="9" scale="49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7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3"/>
  <sheetViews>
    <sheetView topLeftCell="A20" zoomScaleNormal="100" zoomScaleSheetLayoutView="70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00" t="s">
        <v>427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977.74173999999994</v>
      </c>
      <c r="E4" s="5">
        <f>SUM(D4/C4*100)</f>
        <v>65.907768115942019</v>
      </c>
      <c r="F4" s="5">
        <f>SUM(D4-C4)</f>
        <v>-505.75826000000006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73.750969999999995</v>
      </c>
      <c r="E5" s="5">
        <f t="shared" ref="E5:E51" si="0">SUM(D5/C5*100)</f>
        <v>70.373062977099238</v>
      </c>
      <c r="F5" s="5">
        <f t="shared" ref="F5:F51" si="1">SUM(D5-C5)</f>
        <v>-31.049030000000002</v>
      </c>
    </row>
    <row r="6" spans="1:6">
      <c r="A6" s="7">
        <v>1010200001</v>
      </c>
      <c r="B6" s="8" t="s">
        <v>229</v>
      </c>
      <c r="C6" s="9">
        <v>104.8</v>
      </c>
      <c r="D6" s="10">
        <v>73.750969999999995</v>
      </c>
      <c r="E6" s="9">
        <f t="shared" ref="E6:E11" si="2">SUM(D6/C6*100)</f>
        <v>70.373062977099238</v>
      </c>
      <c r="F6" s="9">
        <f t="shared" si="1"/>
        <v>-31.049030000000002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563.67319999999995</v>
      </c>
      <c r="E7" s="5">
        <f t="shared" si="2"/>
        <v>77.887688268619598</v>
      </c>
      <c r="F7" s="5">
        <f t="shared" si="1"/>
        <v>-160.02679999999998</v>
      </c>
    </row>
    <row r="8" spans="1:6">
      <c r="A8" s="7">
        <v>1030223001</v>
      </c>
      <c r="B8" s="8" t="s">
        <v>283</v>
      </c>
      <c r="C8" s="9">
        <v>269.94</v>
      </c>
      <c r="D8" s="10">
        <v>245.46850000000001</v>
      </c>
      <c r="E8" s="9">
        <f t="shared" si="2"/>
        <v>90.9344669185745</v>
      </c>
      <c r="F8" s="9">
        <f t="shared" si="1"/>
        <v>-24.471499999999992</v>
      </c>
    </row>
    <row r="9" spans="1:6">
      <c r="A9" s="7">
        <v>1030224001</v>
      </c>
      <c r="B9" s="8" t="s">
        <v>289</v>
      </c>
      <c r="C9" s="9">
        <v>2.9</v>
      </c>
      <c r="D9" s="10">
        <v>2.2264499999999998</v>
      </c>
      <c r="E9" s="9">
        <f>SUM(D9/C9*100)</f>
        <v>76.774137931034474</v>
      </c>
      <c r="F9" s="9">
        <f t="shared" si="1"/>
        <v>-0.67355000000000009</v>
      </c>
    </row>
    <row r="10" spans="1:6">
      <c r="A10" s="7">
        <v>1030225001</v>
      </c>
      <c r="B10" s="8" t="s">
        <v>282</v>
      </c>
      <c r="C10" s="9">
        <v>450.86</v>
      </c>
      <c r="D10" s="10">
        <v>370.96226000000001</v>
      </c>
      <c r="E10" s="9">
        <f t="shared" si="2"/>
        <v>82.278813822472614</v>
      </c>
      <c r="F10" s="9">
        <f t="shared" si="1"/>
        <v>-79.897739999999999</v>
      </c>
    </row>
    <row r="11" spans="1:6">
      <c r="A11" s="7">
        <v>1030226001</v>
      </c>
      <c r="B11" s="8" t="s">
        <v>291</v>
      </c>
      <c r="C11" s="9">
        <v>0</v>
      </c>
      <c r="D11" s="10">
        <v>-54.984009999999998</v>
      </c>
      <c r="E11" s="9" t="e">
        <f t="shared" si="2"/>
        <v>#DIV/0!</v>
      </c>
      <c r="F11" s="9">
        <f t="shared" si="1"/>
        <v>-54.984009999999998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309.19826999999998</v>
      </c>
      <c r="E14" s="5">
        <f t="shared" si="0"/>
        <v>49.079090476190473</v>
      </c>
      <c r="F14" s="5">
        <f t="shared" si="1"/>
        <v>-320.80173000000002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38.391080000000002</v>
      </c>
      <c r="E15" s="9">
        <f t="shared" si="0"/>
        <v>23.994425000000003</v>
      </c>
      <c r="F15" s="9">
        <f>SUM(D15-C15)</f>
        <v>-121.60892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270.80718999999999</v>
      </c>
      <c r="E16" s="9">
        <f t="shared" si="0"/>
        <v>57.618551063829784</v>
      </c>
      <c r="F16" s="9">
        <f t="shared" si="1"/>
        <v>-199.19281000000001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5.0999999999999996</v>
      </c>
      <c r="E17" s="5">
        <f t="shared" si="0"/>
        <v>51</v>
      </c>
      <c r="F17" s="5">
        <f t="shared" si="1"/>
        <v>-4.9000000000000004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5.0999999999999996</v>
      </c>
      <c r="E18" s="9">
        <f t="shared" si="0"/>
        <v>51</v>
      </c>
      <c r="F18" s="9">
        <f t="shared" si="1"/>
        <v>-4.9000000000000004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390</v>
      </c>
      <c r="D25" s="5">
        <f>D26+D29+D32+D37+D35</f>
        <v>394.75960000000003</v>
      </c>
      <c r="E25" s="5">
        <f t="shared" si="0"/>
        <v>101.22041025641026</v>
      </c>
      <c r="F25" s="5">
        <f t="shared" si="1"/>
        <v>4.7596000000000345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340</v>
      </c>
      <c r="D26" s="5">
        <f>D27+D28</f>
        <v>363.28822000000002</v>
      </c>
      <c r="E26" s="5">
        <f t="shared" si="0"/>
        <v>106.84947647058824</v>
      </c>
      <c r="F26" s="5">
        <f t="shared" si="1"/>
        <v>23.288220000000024</v>
      </c>
    </row>
    <row r="27" spans="1:6">
      <c r="A27" s="16">
        <v>1110502510</v>
      </c>
      <c r="B27" s="17" t="s">
        <v>226</v>
      </c>
      <c r="C27" s="12">
        <v>300</v>
      </c>
      <c r="D27" s="10">
        <v>305.50894</v>
      </c>
      <c r="E27" s="9">
        <f t="shared" si="0"/>
        <v>101.83631333333334</v>
      </c>
      <c r="F27" s="9">
        <f t="shared" si="1"/>
        <v>5.5089399999999955</v>
      </c>
    </row>
    <row r="28" spans="1:6" ht="18" customHeight="1">
      <c r="A28" s="7">
        <v>1110503505</v>
      </c>
      <c r="B28" s="11" t="s">
        <v>225</v>
      </c>
      <c r="C28" s="12">
        <v>40</v>
      </c>
      <c r="D28" s="10">
        <v>57.77928</v>
      </c>
      <c r="E28" s="9">
        <f t="shared" si="0"/>
        <v>144.44820000000001</v>
      </c>
      <c r="F28" s="9">
        <f t="shared" si="1"/>
        <v>17.77928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50</v>
      </c>
      <c r="D29" s="5">
        <f>D30+D31</f>
        <v>31.729009999999999</v>
      </c>
      <c r="E29" s="5">
        <f t="shared" si="0"/>
        <v>63.458019999999991</v>
      </c>
      <c r="F29" s="5">
        <f t="shared" si="1"/>
        <v>-18.270990000000001</v>
      </c>
    </row>
    <row r="30" spans="1:6" ht="15.75" customHeight="1">
      <c r="A30" s="7">
        <v>1130206510</v>
      </c>
      <c r="B30" s="8" t="s">
        <v>338</v>
      </c>
      <c r="C30" s="9">
        <v>40</v>
      </c>
      <c r="D30" s="323">
        <v>21.702069999999999</v>
      </c>
      <c r="E30" s="9">
        <f t="shared" si="0"/>
        <v>54.255175000000001</v>
      </c>
      <c r="F30" s="9">
        <f t="shared" si="1"/>
        <v>-18.297930000000001</v>
      </c>
    </row>
    <row r="31" spans="1:6" ht="17.25" customHeight="1">
      <c r="A31" s="7">
        <v>1130299510</v>
      </c>
      <c r="B31" s="8" t="s">
        <v>357</v>
      </c>
      <c r="C31" s="9">
        <v>10</v>
      </c>
      <c r="D31" s="323">
        <v>10.02694</v>
      </c>
      <c r="E31" s="9">
        <f>SUM(D31/C31*100)</f>
        <v>100.26939999999999</v>
      </c>
      <c r="F31" s="9">
        <f>SUM(D31-C31)</f>
        <v>2.6939999999999742E-2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1873.5</v>
      </c>
      <c r="D40" s="127">
        <f>D4+D25</f>
        <v>1372.50134</v>
      </c>
      <c r="E40" s="5">
        <f t="shared" si="0"/>
        <v>73.258678409394179</v>
      </c>
      <c r="F40" s="5">
        <f t="shared" si="1"/>
        <v>-500.99865999999997</v>
      </c>
    </row>
    <row r="41" spans="1:7" s="6" customFormat="1">
      <c r="A41" s="3">
        <v>2000000000</v>
      </c>
      <c r="B41" s="4" t="s">
        <v>20</v>
      </c>
      <c r="C41" s="5">
        <f>C42+C43+C44+C45+C46+C48</f>
        <v>3075.2370000000001</v>
      </c>
      <c r="D41" s="5">
        <f>D42+D43+D44+D45+D46+D48+D49</f>
        <v>1854.1445999999996</v>
      </c>
      <c r="E41" s="5">
        <f t="shared" si="0"/>
        <v>60.292738413332039</v>
      </c>
      <c r="F41" s="5">
        <f t="shared" si="1"/>
        <v>-1221.0924000000005</v>
      </c>
      <c r="G41" s="19"/>
    </row>
    <row r="42" spans="1:7">
      <c r="A42" s="16">
        <v>2021000000</v>
      </c>
      <c r="B42" s="17" t="s">
        <v>21</v>
      </c>
      <c r="C42" s="99">
        <v>1351.8630000000001</v>
      </c>
      <c r="D42" s="410">
        <v>1095.4549999999999</v>
      </c>
      <c r="E42" s="9">
        <f t="shared" si="0"/>
        <v>81.032989289595164</v>
      </c>
      <c r="F42" s="9">
        <f t="shared" si="1"/>
        <v>-256.40800000000013</v>
      </c>
    </row>
    <row r="43" spans="1:7" ht="15.75" customHeight="1">
      <c r="A43" s="16">
        <v>2021500200</v>
      </c>
      <c r="B43" s="17" t="s">
        <v>232</v>
      </c>
      <c r="C43" s="99">
        <v>714</v>
      </c>
      <c r="D43" s="20">
        <v>340.5</v>
      </c>
      <c r="E43" s="9">
        <f>SUM(D43/C43*100)</f>
        <v>47.689075630252105</v>
      </c>
      <c r="F43" s="9">
        <f>SUM(D43-C43)</f>
        <v>-373.5</v>
      </c>
    </row>
    <row r="44" spans="1:7">
      <c r="A44" s="16">
        <v>2022000000</v>
      </c>
      <c r="B44" s="17" t="s">
        <v>22</v>
      </c>
      <c r="C44" s="99">
        <v>682.53499999999997</v>
      </c>
      <c r="D44" s="10">
        <v>237.059</v>
      </c>
      <c r="E44" s="9">
        <f t="shared" si="0"/>
        <v>34.732138278623076</v>
      </c>
      <c r="F44" s="9">
        <f t="shared" si="1"/>
        <v>-445.476</v>
      </c>
    </row>
    <row r="45" spans="1:7">
      <c r="A45" s="16">
        <v>2023000000</v>
      </c>
      <c r="B45" s="17" t="s">
        <v>23</v>
      </c>
      <c r="C45" s="12">
        <f>3.359+150.88</f>
        <v>154.239</v>
      </c>
      <c r="D45" s="252">
        <v>150.88</v>
      </c>
      <c r="E45" s="9">
        <f t="shared" si="0"/>
        <v>97.822210984251711</v>
      </c>
      <c r="F45" s="9">
        <f t="shared" si="1"/>
        <v>-3.3590000000000089</v>
      </c>
    </row>
    <row r="46" spans="1:7">
      <c r="A46" s="16">
        <v>2020400000</v>
      </c>
      <c r="B46" s="17" t="s">
        <v>24</v>
      </c>
      <c r="C46" s="12">
        <v>120</v>
      </c>
      <c r="D46" s="253">
        <v>0</v>
      </c>
      <c r="E46" s="9">
        <f t="shared" si="0"/>
        <v>0</v>
      </c>
      <c r="F46" s="9">
        <f t="shared" si="1"/>
        <v>-120</v>
      </c>
    </row>
    <row r="47" spans="1:7" ht="47.25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3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8" s="6" customFormat="1" ht="0.75" hidden="1" customHeight="1">
      <c r="A50" s="3">
        <v>3000000000</v>
      </c>
      <c r="B50" s="13" t="s">
        <v>27</v>
      </c>
      <c r="C50" s="278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96">
        <f>C40+C41</f>
        <v>4948.7370000000001</v>
      </c>
      <c r="D51" s="396">
        <f>D40+D41</f>
        <v>3226.6459399999994</v>
      </c>
      <c r="E51" s="93">
        <f t="shared" si="0"/>
        <v>65.201402701335695</v>
      </c>
      <c r="F51" s="93">
        <f t="shared" si="1"/>
        <v>-1722.0910600000007</v>
      </c>
      <c r="G51" s="295"/>
      <c r="H51" s="295"/>
    </row>
    <row r="52" spans="1:8" s="6" customFormat="1">
      <c r="A52" s="3"/>
      <c r="B52" s="21" t="s">
        <v>321</v>
      </c>
      <c r="C52" s="93">
        <f>C51-C98</f>
        <v>-307.037229999999</v>
      </c>
      <c r="D52" s="93">
        <f>D51-D98</f>
        <v>236.57174999999916</v>
      </c>
      <c r="E52" s="282"/>
      <c r="F52" s="282"/>
    </row>
    <row r="53" spans="1:8">
      <c r="A53" s="23"/>
      <c r="B53" s="24"/>
      <c r="C53" s="251"/>
      <c r="D53" s="251"/>
      <c r="E53" s="26"/>
      <c r="F53" s="27"/>
    </row>
    <row r="54" spans="1:8" ht="45" customHeight="1">
      <c r="A54" s="28" t="s">
        <v>1</v>
      </c>
      <c r="B54" s="28" t="s">
        <v>29</v>
      </c>
      <c r="C54" s="244" t="s">
        <v>346</v>
      </c>
      <c r="D54" s="245" t="s">
        <v>413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1127.5119999999999</v>
      </c>
      <c r="D56" s="33">
        <f>D57+D58+D59+D60+D61+D63+D62</f>
        <v>779.28110000000004</v>
      </c>
      <c r="E56" s="34">
        <f>SUM(D56/C56*100)</f>
        <v>69.11510476163447</v>
      </c>
      <c r="F56" s="34">
        <f>SUM(D56-C56)</f>
        <v>-348.23089999999991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759.22410000000002</v>
      </c>
      <c r="E58" s="38">
        <f t="shared" ref="E58:E98" si="3">SUM(D58/C58*100)</f>
        <v>69.243020512320072</v>
      </c>
      <c r="F58" s="38">
        <f t="shared" ref="F58:F98" si="4">SUM(D58-C58)</f>
        <v>-337.23889999999994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>
        <v>16.561</v>
      </c>
      <c r="E61" s="38">
        <f t="shared" si="3"/>
        <v>100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9.4879999999999995</v>
      </c>
      <c r="D63" s="37">
        <v>3.496</v>
      </c>
      <c r="E63" s="38">
        <f t="shared" si="3"/>
        <v>36.846543001686342</v>
      </c>
      <c r="F63" s="38">
        <f t="shared" si="4"/>
        <v>-5.9919999999999991</v>
      </c>
    </row>
    <row r="64" spans="1:8" s="6" customFormat="1">
      <c r="A64" s="41" t="s">
        <v>46</v>
      </c>
      <c r="B64" s="42" t="s">
        <v>47</v>
      </c>
      <c r="C64" s="32">
        <f>C65</f>
        <v>150.88</v>
      </c>
      <c r="D64" s="32">
        <v>120.32999</v>
      </c>
      <c r="E64" s="34">
        <f t="shared" si="3"/>
        <v>79.75211426299046</v>
      </c>
      <c r="F64" s="34">
        <f t="shared" si="4"/>
        <v>-30.55001</v>
      </c>
    </row>
    <row r="65" spans="1:7">
      <c r="A65" s="43" t="s">
        <v>48</v>
      </c>
      <c r="B65" s="44" t="s">
        <v>49</v>
      </c>
      <c r="C65" s="37">
        <v>150.88</v>
      </c>
      <c r="D65" s="37">
        <v>120.32999</v>
      </c>
      <c r="E65" s="38">
        <f t="shared" si="3"/>
        <v>79.75211426299046</v>
      </c>
      <c r="F65" s="38">
        <f t="shared" si="4"/>
        <v>-30.55001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2387.02223</v>
      </c>
      <c r="D71" s="48">
        <f>SUM(D72:D76)</f>
        <v>982.50531999999998</v>
      </c>
      <c r="E71" s="34">
        <f t="shared" si="3"/>
        <v>41.16029200113482</v>
      </c>
      <c r="F71" s="34">
        <f t="shared" si="4"/>
        <v>-1404.5169100000001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0</v>
      </c>
      <c r="E72" s="38">
        <f t="shared" si="3"/>
        <v>0</v>
      </c>
      <c r="F72" s="38">
        <f t="shared" si="4"/>
        <v>-7.5</v>
      </c>
    </row>
    <row r="73" spans="1:7" s="6" customFormat="1" ht="17.25" customHeight="1">
      <c r="A73" s="35" t="s">
        <v>62</v>
      </c>
      <c r="B73" s="39" t="s">
        <v>63</v>
      </c>
      <c r="C73" s="49">
        <v>373.59100000000001</v>
      </c>
      <c r="D73" s="37">
        <v>218.94194999999999</v>
      </c>
      <c r="E73" s="38">
        <f t="shared" si="3"/>
        <v>58.604717458397019</v>
      </c>
      <c r="F73" s="38">
        <f t="shared" si="4"/>
        <v>-154.64905000000002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639.69236999999998</v>
      </c>
      <c r="E75" s="38">
        <f t="shared" si="3"/>
        <v>35.254038744953817</v>
      </c>
      <c r="F75" s="38">
        <f t="shared" si="4"/>
        <v>-1174.8298600000001</v>
      </c>
    </row>
    <row r="76" spans="1:7">
      <c r="A76" s="35" t="s">
        <v>66</v>
      </c>
      <c r="B76" s="39" t="s">
        <v>67</v>
      </c>
      <c r="C76" s="49">
        <v>191.40899999999999</v>
      </c>
      <c r="D76" s="37">
        <v>123.871</v>
      </c>
      <c r="E76" s="38">
        <f t="shared" si="3"/>
        <v>64.715347763166832</v>
      </c>
      <c r="F76" s="38">
        <f t="shared" si="4"/>
        <v>-67.537999999999997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341.76</v>
      </c>
      <c r="D77" s="32">
        <f>SUM(D78:D80)</f>
        <v>216.49778000000001</v>
      </c>
      <c r="E77" s="34">
        <f t="shared" si="3"/>
        <v>63.347899110486892</v>
      </c>
      <c r="F77" s="34">
        <f t="shared" si="4"/>
        <v>-125.26221999999999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341.76</v>
      </c>
      <c r="D80" s="37">
        <v>216.49778000000001</v>
      </c>
      <c r="E80" s="38">
        <f t="shared" si="3"/>
        <v>63.347899110486892</v>
      </c>
      <c r="F80" s="38">
        <f t="shared" si="4"/>
        <v>-125.26221999999999</v>
      </c>
    </row>
    <row r="81" spans="1:6" s="6" customFormat="1">
      <c r="A81" s="30" t="s">
        <v>86</v>
      </c>
      <c r="B81" s="31" t="s">
        <v>87</v>
      </c>
      <c r="C81" s="32">
        <v>1231.5999999999999</v>
      </c>
      <c r="D81" s="32">
        <v>881.46</v>
      </c>
      <c r="E81" s="34">
        <f t="shared" si="3"/>
        <v>71.5703150373498</v>
      </c>
      <c r="F81" s="34">
        <f t="shared" si="4"/>
        <v>-350.13999999999987</v>
      </c>
    </row>
    <row r="82" spans="1:6" ht="15.75" hidden="1" customHeight="1">
      <c r="A82" s="35" t="s">
        <v>88</v>
      </c>
      <c r="B82" s="39" t="s">
        <v>234</v>
      </c>
      <c r="C82" s="37">
        <v>1221.5999999999999</v>
      </c>
      <c r="D82" s="37">
        <v>791.46</v>
      </c>
      <c r="E82" s="38">
        <f t="shared" si="3"/>
        <v>64.788801571709243</v>
      </c>
      <c r="F82" s="38">
        <f t="shared" si="4"/>
        <v>-430.13999999999987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6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6" s="6" customFormat="1">
      <c r="A98" s="52"/>
      <c r="B98" s="57" t="s">
        <v>119</v>
      </c>
      <c r="C98" s="400">
        <f>C56+C64+C66+C71+C77+C81+C96</f>
        <v>5255.7742299999991</v>
      </c>
      <c r="D98" s="400">
        <f>D56+D64+D66+D71+D77+D81+D88+D83+D94+D96</f>
        <v>2990.0741900000003</v>
      </c>
      <c r="E98" s="34">
        <f t="shared" si="3"/>
        <v>56.89122209497954</v>
      </c>
      <c r="F98" s="34">
        <f t="shared" si="4"/>
        <v>-2265.7000399999988</v>
      </c>
    </row>
    <row r="99" spans="1:6" ht="16.5" customHeight="1">
      <c r="C99" s="126"/>
      <c r="D99" s="101"/>
    </row>
    <row r="100" spans="1:6" s="65" customFormat="1" ht="20.25" customHeight="1">
      <c r="A100" s="63" t="s">
        <v>120</v>
      </c>
      <c r="B100" s="63"/>
      <c r="C100" s="116"/>
      <c r="D100" s="64" t="s">
        <v>275</v>
      </c>
    </row>
    <row r="101" spans="1:6" s="65" customFormat="1" ht="13.5" customHeight="1">
      <c r="A101" s="66" t="s">
        <v>121</v>
      </c>
      <c r="B101" s="66"/>
      <c r="C101" s="65" t="s">
        <v>122</v>
      </c>
    </row>
    <row r="103" spans="1:6" ht="5.25" customHeight="1"/>
  </sheetData>
  <customSheetViews>
    <customSheetView guid="{E271257C-1B5C-4EEE-899F-E7A422E6A72D}" hiddenRows="1" topLeftCell="A20">
      <selection activeCell="C42" sqref="C42"/>
      <pageMargins left="0.7" right="0.7" top="0.75" bottom="0.75" header="0.3" footer="0.3"/>
      <pageSetup paperSize="9" scale="48" orientation="portrait" r:id="rId1"/>
    </customSheetView>
    <customSheetView guid="{B30CE22D-C12F-4E12-8BB9-3AAE0A6991CC}" scale="70" showPageBreaks="1" printArea="1" hiddenRows="1" view="pageBreakPreview">
      <selection activeCell="A3" sqref="A3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2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5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7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99"/>
  <sheetViews>
    <sheetView topLeftCell="A18" zoomScaleNormal="100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428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419">
        <f>D5+D12+D14+D17+D7</f>
        <v>536.75219000000004</v>
      </c>
      <c r="E4" s="5">
        <f>SUM(D4/C4*100)</f>
        <v>57.425076495132132</v>
      </c>
      <c r="F4" s="5">
        <f>SUM(D4-C4)</f>
        <v>-397.94781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419">
        <f>D6</f>
        <v>50.069600000000001</v>
      </c>
      <c r="E5" s="5">
        <f t="shared" ref="E5:E49" si="0">SUM(D5/C5*100)</f>
        <v>58.356177156177161</v>
      </c>
      <c r="F5" s="5">
        <f t="shared" ref="F5:F49" si="1">SUM(D5-C5)</f>
        <v>-35.730399999999996</v>
      </c>
    </row>
    <row r="6" spans="1:6">
      <c r="A6" s="7">
        <v>1010200001</v>
      </c>
      <c r="B6" s="8" t="s">
        <v>229</v>
      </c>
      <c r="C6" s="9">
        <v>85.8</v>
      </c>
      <c r="D6" s="411">
        <v>50.069600000000001</v>
      </c>
      <c r="E6" s="9">
        <f t="shared" ref="E6:E11" si="2">SUM(D6/C6*100)</f>
        <v>58.356177156177161</v>
      </c>
      <c r="F6" s="9">
        <f t="shared" si="1"/>
        <v>-35.730399999999996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419">
        <f>D8+D10+D9+D11</f>
        <v>257.72674000000001</v>
      </c>
      <c r="E7" s="5">
        <f t="shared" si="2"/>
        <v>77.88659413720157</v>
      </c>
      <c r="F7" s="5">
        <f t="shared" si="1"/>
        <v>-73.173260000000028</v>
      </c>
    </row>
    <row r="8" spans="1:6">
      <c r="A8" s="7">
        <v>1030223001</v>
      </c>
      <c r="B8" s="8" t="s">
        <v>283</v>
      </c>
      <c r="C8" s="9">
        <v>123.43</v>
      </c>
      <c r="D8" s="411">
        <v>112.23487</v>
      </c>
      <c r="E8" s="9">
        <f t="shared" si="2"/>
        <v>90.92997650490156</v>
      </c>
      <c r="F8" s="9">
        <f t="shared" si="1"/>
        <v>-11.195130000000006</v>
      </c>
    </row>
    <row r="9" spans="1:6">
      <c r="A9" s="7">
        <v>1030224001</v>
      </c>
      <c r="B9" s="8" t="s">
        <v>289</v>
      </c>
      <c r="C9" s="9">
        <v>1.32</v>
      </c>
      <c r="D9" s="411">
        <v>1.0180400000000001</v>
      </c>
      <c r="E9" s="9">
        <f t="shared" si="2"/>
        <v>77.124242424242425</v>
      </c>
      <c r="F9" s="9">
        <f t="shared" si="1"/>
        <v>-0.30196000000000001</v>
      </c>
    </row>
    <row r="10" spans="1:6">
      <c r="A10" s="7">
        <v>1030225001</v>
      </c>
      <c r="B10" s="8" t="s">
        <v>282</v>
      </c>
      <c r="C10" s="9">
        <v>206.15</v>
      </c>
      <c r="D10" s="411">
        <v>169.61401000000001</v>
      </c>
      <c r="E10" s="9">
        <f t="shared" si="2"/>
        <v>82.276987630366236</v>
      </c>
      <c r="F10" s="9">
        <f t="shared" si="1"/>
        <v>-36.535989999999998</v>
      </c>
    </row>
    <row r="11" spans="1:6">
      <c r="A11" s="7">
        <v>1030226001</v>
      </c>
      <c r="B11" s="8" t="s">
        <v>291</v>
      </c>
      <c r="C11" s="9">
        <v>0</v>
      </c>
      <c r="D11" s="411">
        <v>-25.140180000000001</v>
      </c>
      <c r="E11" s="9" t="e">
        <f t="shared" si="2"/>
        <v>#DIV/0!</v>
      </c>
      <c r="F11" s="9">
        <f t="shared" si="1"/>
        <v>-25.140180000000001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419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411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488</v>
      </c>
      <c r="D14" s="419">
        <f>D15+D16</f>
        <v>206.42385000000002</v>
      </c>
      <c r="E14" s="5">
        <f t="shared" si="0"/>
        <v>42.299969262295086</v>
      </c>
      <c r="F14" s="5">
        <f t="shared" si="1"/>
        <v>-281.57614999999998</v>
      </c>
    </row>
    <row r="15" spans="1:6" s="6" customFormat="1" ht="15.75" customHeight="1">
      <c r="A15" s="7">
        <v>1060100000</v>
      </c>
      <c r="B15" s="11" t="s">
        <v>9</v>
      </c>
      <c r="C15" s="9">
        <v>98</v>
      </c>
      <c r="D15" s="411">
        <v>15.044600000000001</v>
      </c>
      <c r="E15" s="9">
        <f t="shared" si="0"/>
        <v>15.351632653061225</v>
      </c>
      <c r="F15" s="9">
        <f>SUM(D15-C15)</f>
        <v>-82.955399999999997</v>
      </c>
    </row>
    <row r="16" spans="1:6" ht="15.75" customHeight="1">
      <c r="A16" s="7">
        <v>1060600000</v>
      </c>
      <c r="B16" s="11" t="s">
        <v>8</v>
      </c>
      <c r="C16" s="9">
        <v>390</v>
      </c>
      <c r="D16" s="411">
        <v>191.37925000000001</v>
      </c>
      <c r="E16" s="9">
        <f t="shared" si="0"/>
        <v>49.071602564102569</v>
      </c>
      <c r="F16" s="9">
        <f t="shared" si="1"/>
        <v>-198.62074999999999</v>
      </c>
    </row>
    <row r="17" spans="1:6" s="6" customFormat="1">
      <c r="A17" s="3">
        <v>1080000000</v>
      </c>
      <c r="B17" s="4" t="s">
        <v>11</v>
      </c>
      <c r="C17" s="5">
        <f>C18</f>
        <v>20</v>
      </c>
      <c r="D17" s="419">
        <f>D18</f>
        <v>20</v>
      </c>
      <c r="E17" s="5">
        <f t="shared" si="0"/>
        <v>100</v>
      </c>
      <c r="F17" s="5">
        <f t="shared" si="1"/>
        <v>0</v>
      </c>
    </row>
    <row r="18" spans="1:6" ht="18" customHeight="1">
      <c r="A18" s="7">
        <v>1080400001</v>
      </c>
      <c r="B18" s="8" t="s">
        <v>228</v>
      </c>
      <c r="C18" s="9">
        <v>20</v>
      </c>
      <c r="D18" s="411">
        <v>20</v>
      </c>
      <c r="E18" s="9">
        <f t="shared" si="0"/>
        <v>100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/>
      <c r="D19" s="411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41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420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420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20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420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419">
        <f>D27+D29+D34</f>
        <v>5.1762000000000006</v>
      </c>
      <c r="E25" s="5">
        <f t="shared" si="0"/>
        <v>15.685454545454547</v>
      </c>
      <c r="F25" s="5">
        <f t="shared" si="1"/>
        <v>-27.823799999999999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419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8" customHeight="1">
      <c r="A27" s="16">
        <v>1110502510</v>
      </c>
      <c r="B27" s="17" t="s">
        <v>226</v>
      </c>
      <c r="C27" s="12">
        <v>33</v>
      </c>
      <c r="D27" s="411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customHeight="1">
      <c r="A28" s="7">
        <v>1110503505</v>
      </c>
      <c r="B28" s="11" t="s">
        <v>225</v>
      </c>
      <c r="C28" s="12">
        <v>0</v>
      </c>
      <c r="D28" s="411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419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411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419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411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411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1170000000</v>
      </c>
      <c r="B34" s="13" t="s">
        <v>135</v>
      </c>
      <c r="C34" s="5">
        <f>C35+C36</f>
        <v>0</v>
      </c>
      <c r="D34" s="419">
        <f>D35+D36</f>
        <v>0.13930000000000001</v>
      </c>
      <c r="E34" s="5" t="e">
        <f t="shared" si="0"/>
        <v>#DIV/0!</v>
      </c>
      <c r="F34" s="5">
        <f t="shared" si="1"/>
        <v>0.13930000000000001</v>
      </c>
    </row>
    <row r="35" spans="1:7" ht="15.75" customHeight="1">
      <c r="A35" s="7">
        <v>1170105005</v>
      </c>
      <c r="B35" s="8" t="s">
        <v>18</v>
      </c>
      <c r="C35" s="9">
        <v>0</v>
      </c>
      <c r="D35" s="412">
        <v>0.13930000000000001</v>
      </c>
      <c r="E35" s="9" t="e">
        <f t="shared" si="0"/>
        <v>#DIV/0!</v>
      </c>
      <c r="F35" s="9">
        <f t="shared" si="1"/>
        <v>0.13930000000000001</v>
      </c>
    </row>
    <row r="36" spans="1:7" ht="22.5" customHeight="1">
      <c r="A36" s="7">
        <v>1170505005</v>
      </c>
      <c r="B36" s="11" t="s">
        <v>221</v>
      </c>
      <c r="C36" s="9">
        <v>0</v>
      </c>
      <c r="D36" s="411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421">
        <f>D4+D25</f>
        <v>541.92839000000004</v>
      </c>
      <c r="E37" s="5">
        <f t="shared" si="0"/>
        <v>56.001693706727295</v>
      </c>
      <c r="F37" s="5">
        <f t="shared" si="1"/>
        <v>-425.77161000000001</v>
      </c>
    </row>
    <row r="38" spans="1:7" s="6" customFormat="1">
      <c r="A38" s="3">
        <v>2000000000</v>
      </c>
      <c r="B38" s="4" t="s">
        <v>20</v>
      </c>
      <c r="C38" s="418">
        <f>C39+C41+C42+C43+C44+C45</f>
        <v>2833.8540000000003</v>
      </c>
      <c r="D38" s="391">
        <f>D39+D41+D42+D43+D45</f>
        <v>1911.8310000000001</v>
      </c>
      <c r="E38" s="5">
        <f t="shared" si="0"/>
        <v>67.463990734879076</v>
      </c>
      <c r="F38" s="5">
        <f t="shared" si="1"/>
        <v>-922.02300000000014</v>
      </c>
      <c r="G38" s="19"/>
    </row>
    <row r="39" spans="1:7" ht="14.25" customHeight="1">
      <c r="A39" s="16">
        <v>2021000000</v>
      </c>
      <c r="B39" s="17" t="s">
        <v>21</v>
      </c>
      <c r="C39" s="99">
        <v>1258.9960000000001</v>
      </c>
      <c r="D39" s="20">
        <v>996.57399999999996</v>
      </c>
      <c r="E39" s="9">
        <f t="shared" si="0"/>
        <v>79.156248312147127</v>
      </c>
      <c r="F39" s="9">
        <f t="shared" si="1"/>
        <v>-262.42200000000014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930</v>
      </c>
      <c r="D41" s="20">
        <v>322.5</v>
      </c>
      <c r="E41" s="9">
        <f t="shared" si="0"/>
        <v>34.677419354838712</v>
      </c>
      <c r="F41" s="9">
        <f t="shared" si="1"/>
        <v>-607.5</v>
      </c>
    </row>
    <row r="42" spans="1:7">
      <c r="A42" s="16">
        <v>2022000000</v>
      </c>
      <c r="B42" s="17" t="s">
        <v>22</v>
      </c>
      <c r="C42" s="99">
        <v>480.904</v>
      </c>
      <c r="D42" s="10">
        <v>435.16199999999998</v>
      </c>
      <c r="E42" s="9"/>
      <c r="F42" s="9">
        <f t="shared" si="1"/>
        <v>-45.742000000000019</v>
      </c>
    </row>
    <row r="43" spans="1:7" ht="17.25" customHeight="1">
      <c r="A43" s="16">
        <v>2023000000</v>
      </c>
      <c r="B43" s="17" t="s">
        <v>23</v>
      </c>
      <c r="C43" s="12">
        <v>73.953999999999994</v>
      </c>
      <c r="D43" s="252">
        <v>70.594999999999999</v>
      </c>
      <c r="E43" s="9">
        <f t="shared" si="0"/>
        <v>95.457987397571472</v>
      </c>
      <c r="F43" s="9">
        <f t="shared" si="1"/>
        <v>-3.3589999999999947</v>
      </c>
    </row>
    <row r="44" spans="1:7" ht="0.75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2070500010</v>
      </c>
      <c r="B45" s="8" t="s">
        <v>355</v>
      </c>
      <c r="C45" s="12">
        <v>90</v>
      </c>
      <c r="D45" s="253">
        <v>87</v>
      </c>
      <c r="E45" s="9">
        <f t="shared" si="0"/>
        <v>96.666666666666671</v>
      </c>
      <c r="F45" s="9">
        <f t="shared" si="1"/>
        <v>-3</v>
      </c>
    </row>
    <row r="46" spans="1:7" ht="14.2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customHeight="1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customHeight="1">
      <c r="A48" s="3">
        <v>2190500010</v>
      </c>
      <c r="B48" s="13" t="s">
        <v>326</v>
      </c>
      <c r="C48" s="278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401">
        <f>C37+C38</f>
        <v>3801.5540000000001</v>
      </c>
      <c r="D49" s="401">
        <f>D37+D38</f>
        <v>2453.7593900000002</v>
      </c>
      <c r="E49" s="5">
        <f t="shared" si="0"/>
        <v>64.54621951970168</v>
      </c>
      <c r="F49" s="5">
        <f t="shared" si="1"/>
        <v>-1347.7946099999999</v>
      </c>
      <c r="G49" s="295"/>
      <c r="H49" s="393"/>
    </row>
    <row r="50" spans="1:8" s="6" customFormat="1" ht="15.75" customHeight="1">
      <c r="A50" s="3"/>
      <c r="B50" s="21" t="s">
        <v>321</v>
      </c>
      <c r="C50" s="281">
        <f>C49-C95</f>
        <v>16.760440000000017</v>
      </c>
      <c r="D50" s="281">
        <f>D49-D95</f>
        <v>295.35084000000006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9" t="s">
        <v>346</v>
      </c>
      <c r="D52" s="73" t="s">
        <v>413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635.54845</v>
      </c>
      <c r="E54" s="34">
        <f>SUM(D54/C54*100)</f>
        <v>55.955771457248382</v>
      </c>
      <c r="F54" s="34">
        <f>SUM(D54-C54)</f>
        <v>-500.25655000000006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1128.096</v>
      </c>
      <c r="D56" s="37">
        <v>632.83995000000004</v>
      </c>
      <c r="E56" s="38">
        <f>SUM(D56/C56*100)</f>
        <v>56.09805814398775</v>
      </c>
      <c r="F56" s="38">
        <f t="shared" ref="F56:F95" si="3">SUM(D56-C56)</f>
        <v>-495.25604999999996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53.506489999999999</v>
      </c>
      <c r="E62" s="34">
        <f t="shared" si="4"/>
        <v>75.793597280260641</v>
      </c>
      <c r="F62" s="34">
        <f t="shared" si="3"/>
        <v>-17.088509999999999</v>
      </c>
    </row>
    <row r="63" spans="1:8" ht="17.850000000000001" customHeight="1">
      <c r="A63" s="43" t="s">
        <v>48</v>
      </c>
      <c r="B63" s="44" t="s">
        <v>49</v>
      </c>
      <c r="C63" s="37">
        <v>70.594999999999999</v>
      </c>
      <c r="D63" s="37">
        <v>53.506489999999999</v>
      </c>
      <c r="E63" s="38">
        <f t="shared" si="4"/>
        <v>75.793597280260641</v>
      </c>
      <c r="F63" s="38">
        <f t="shared" si="3"/>
        <v>-17.088509999999999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4.8029999999999999</v>
      </c>
      <c r="D64" s="32">
        <f>SUM(D65:D67)</f>
        <v>2</v>
      </c>
      <c r="E64" s="34">
        <f t="shared" si="4"/>
        <v>41.640641265875495</v>
      </c>
      <c r="F64" s="34">
        <f t="shared" si="3"/>
        <v>-2.8029999999999999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2.8029999999999999</v>
      </c>
      <c r="D67" s="37">
        <v>2</v>
      </c>
      <c r="E67" s="34">
        <f t="shared" si="4"/>
        <v>71.352122725651085</v>
      </c>
      <c r="F67" s="34">
        <f t="shared" si="3"/>
        <v>-0.80299999999999994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906.68255999999997</v>
      </c>
      <c r="D69" s="48">
        <f>D70+D71+D72+D73</f>
        <v>758.28727000000003</v>
      </c>
      <c r="E69" s="34">
        <f t="shared" si="4"/>
        <v>83.633159327560023</v>
      </c>
      <c r="F69" s="34">
        <f t="shared" si="3"/>
        <v>-148.39528999999993</v>
      </c>
    </row>
    <row r="70" spans="1:7" ht="16.5" customHeight="1">
      <c r="A70" s="35" t="s">
        <v>60</v>
      </c>
      <c r="B70" s="39" t="s">
        <v>61</v>
      </c>
      <c r="C70" s="49">
        <v>7.5</v>
      </c>
      <c r="D70" s="37">
        <v>0</v>
      </c>
      <c r="E70" s="38">
        <f t="shared" si="4"/>
        <v>0</v>
      </c>
      <c r="F70" s="38">
        <f t="shared" si="3"/>
        <v>-7.5</v>
      </c>
    </row>
    <row r="71" spans="1:7" s="6" customFormat="1" ht="19.5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757.28727000000003</v>
      </c>
      <c r="E72" s="38">
        <f t="shared" si="4"/>
        <v>86.135383531720649</v>
      </c>
      <c r="F72" s="38">
        <f t="shared" si="3"/>
        <v>-121.89528999999993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186.208</v>
      </c>
      <c r="D74" s="32">
        <f>D77</f>
        <v>122.06634</v>
      </c>
      <c r="E74" s="34">
        <f t="shared" si="4"/>
        <v>65.553757088846879</v>
      </c>
      <c r="F74" s="34">
        <f t="shared" si="3"/>
        <v>-64.141660000000002</v>
      </c>
    </row>
    <row r="75" spans="1:7" ht="15.75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v>186.208</v>
      </c>
      <c r="D77" s="37">
        <v>122.06634</v>
      </c>
      <c r="E77" s="38">
        <f t="shared" si="4"/>
        <v>65.553757088846879</v>
      </c>
      <c r="F77" s="38">
        <f t="shared" si="3"/>
        <v>-64.141660000000002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1477.7</v>
      </c>
      <c r="D78" s="32">
        <f>D79</f>
        <v>585</v>
      </c>
      <c r="E78" s="34">
        <f t="shared" si="4"/>
        <v>39.588549773296336</v>
      </c>
      <c r="F78" s="34">
        <f t="shared" si="3"/>
        <v>-892.7</v>
      </c>
    </row>
    <row r="79" spans="1:7" ht="15" customHeight="1">
      <c r="A79" s="35" t="s">
        <v>88</v>
      </c>
      <c r="B79" s="39" t="s">
        <v>234</v>
      </c>
      <c r="C79" s="37">
        <v>1477.7</v>
      </c>
      <c r="D79" s="37">
        <v>585</v>
      </c>
      <c r="E79" s="38">
        <f t="shared" si="4"/>
        <v>39.588549773296336</v>
      </c>
      <c r="F79" s="38">
        <f t="shared" si="3"/>
        <v>-892.7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403">
        <f>C54+C62+C64+C69+C74+C78+C80+C85+C91</f>
        <v>3784.7935600000001</v>
      </c>
      <c r="D95" s="403">
        <f>D54+D62+D64+D69+D74+D78+D85</f>
        <v>2158.4085500000001</v>
      </c>
      <c r="E95" s="34">
        <f t="shared" si="4"/>
        <v>57.028435389749497</v>
      </c>
      <c r="F95" s="34">
        <f t="shared" si="3"/>
        <v>-1626.38501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E271257C-1B5C-4EEE-899F-E7A422E6A72D}" hiddenRows="1" topLeftCell="A18">
      <selection activeCell="C43" sqref="C43"/>
      <pageMargins left="0.7" right="0.7" top="0.75" bottom="0.75" header="0.3" footer="0.3"/>
      <pageSetup paperSize="9" scale="60" orientation="portrait" r:id="rId1"/>
    </customSheetView>
    <customSheetView guid="{B30CE22D-C12F-4E12-8BB9-3AAE0A6991CC}" scale="70" showPageBreaks="1" hiddenRows="1" view="pageBreakPreview" topLeftCell="A25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2">
      <selection activeCell="C95" activeCellId="1" sqref="C49:D50 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5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7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429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1019.12</v>
      </c>
      <c r="D4" s="5">
        <f>D5+D12+D14+D17+D20+D7</f>
        <v>680.73320999999987</v>
      </c>
      <c r="E4" s="5">
        <f>SUM(D4/C4*100)</f>
        <v>66.796178075202121</v>
      </c>
      <c r="F4" s="5">
        <f>SUM(D4-C4)</f>
        <v>-338.38679000000013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57.2515</v>
      </c>
      <c r="E5" s="5">
        <f t="shared" ref="E5:E51" si="0">SUM(D5/C5*100)</f>
        <v>60.075026232948581</v>
      </c>
      <c r="F5" s="5">
        <f t="shared" ref="F5:F51" si="1">SUM(D5-C5)</f>
        <v>-38.048499999999997</v>
      </c>
    </row>
    <row r="6" spans="1:6">
      <c r="A6" s="7">
        <v>1010200001</v>
      </c>
      <c r="B6" s="8" t="s">
        <v>229</v>
      </c>
      <c r="C6" s="9">
        <v>95.3</v>
      </c>
      <c r="D6" s="10">
        <v>57.2515</v>
      </c>
      <c r="E6" s="9">
        <f t="shared" ref="E6:E11" si="2">SUM(D6/C6*100)</f>
        <v>60.075026232948581</v>
      </c>
      <c r="F6" s="9">
        <f t="shared" si="1"/>
        <v>-38.048499999999997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244.42461999999995</v>
      </c>
      <c r="E7" s="9">
        <f t="shared" si="2"/>
        <v>77.886884201134393</v>
      </c>
      <c r="F7" s="9">
        <f t="shared" si="1"/>
        <v>-69.395380000000046</v>
      </c>
    </row>
    <row r="8" spans="1:6">
      <c r="A8" s="7">
        <v>1030223001</v>
      </c>
      <c r="B8" s="8" t="s">
        <v>283</v>
      </c>
      <c r="C8" s="9">
        <v>117.05</v>
      </c>
      <c r="D8" s="10">
        <v>106.44204999999999</v>
      </c>
      <c r="E8" s="9">
        <f t="shared" si="2"/>
        <v>90.937249038872267</v>
      </c>
      <c r="F8" s="9">
        <f t="shared" si="1"/>
        <v>-10.607950000000002</v>
      </c>
    </row>
    <row r="9" spans="1:6">
      <c r="A9" s="7">
        <v>1030224001</v>
      </c>
      <c r="B9" s="8" t="s">
        <v>289</v>
      </c>
      <c r="C9" s="9">
        <v>1.26</v>
      </c>
      <c r="D9" s="10">
        <v>0.96545000000000003</v>
      </c>
      <c r="E9" s="9">
        <f t="shared" si="2"/>
        <v>76.623015873015873</v>
      </c>
      <c r="F9" s="9">
        <f t="shared" si="1"/>
        <v>-0.29454999999999998</v>
      </c>
    </row>
    <row r="10" spans="1:6">
      <c r="A10" s="7">
        <v>1030225001</v>
      </c>
      <c r="B10" s="8" t="s">
        <v>282</v>
      </c>
      <c r="C10" s="9">
        <v>195.51</v>
      </c>
      <c r="D10" s="10">
        <v>160.85973999999999</v>
      </c>
      <c r="E10" s="9">
        <f t="shared" si="2"/>
        <v>82.276988389340701</v>
      </c>
      <c r="F10" s="9">
        <f t="shared" si="1"/>
        <v>-34.650260000000003</v>
      </c>
    </row>
    <row r="11" spans="1:6">
      <c r="A11" s="7">
        <v>1030226001</v>
      </c>
      <c r="B11" s="8" t="s">
        <v>291</v>
      </c>
      <c r="C11" s="9">
        <v>0</v>
      </c>
      <c r="D11" s="10">
        <v>-23.84262</v>
      </c>
      <c r="E11" s="9" t="e">
        <f t="shared" si="2"/>
        <v>#DIV/0!</v>
      </c>
      <c r="F11" s="9">
        <f t="shared" si="1"/>
        <v>-23.84262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69.827370000000002</v>
      </c>
      <c r="E12" s="5">
        <f t="shared" si="0"/>
        <v>107.42672307692307</v>
      </c>
      <c r="F12" s="5">
        <f t="shared" si="1"/>
        <v>4.8273700000000019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69.827370000000002</v>
      </c>
      <c r="E13" s="9">
        <f t="shared" si="0"/>
        <v>107.42672307692307</v>
      </c>
      <c r="F13" s="9">
        <f t="shared" si="1"/>
        <v>4.8273700000000019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300.72971999999999</v>
      </c>
      <c r="E14" s="9">
        <f t="shared" si="0"/>
        <v>56.211162616822428</v>
      </c>
      <c r="F14" s="9">
        <f t="shared" si="1"/>
        <v>-234.27028000000001</v>
      </c>
    </row>
    <row r="15" spans="1:6" s="6" customFormat="1" ht="15.75" customHeight="1">
      <c r="A15" s="7">
        <v>1060100000</v>
      </c>
      <c r="B15" s="11" t="s">
        <v>9</v>
      </c>
      <c r="C15" s="279">
        <v>75</v>
      </c>
      <c r="D15" s="10">
        <v>36.227330000000002</v>
      </c>
      <c r="E15" s="9">
        <f>SUM(D15/C15*100)</f>
        <v>48.303106666666665</v>
      </c>
      <c r="F15" s="9">
        <f>SUM(D15-C14)</f>
        <v>-498.77267000000001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264.50238999999999</v>
      </c>
      <c r="E16" s="9">
        <f t="shared" si="0"/>
        <v>57.500519565217388</v>
      </c>
      <c r="F16" s="9">
        <f t="shared" si="1"/>
        <v>-195.49761000000001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8.5</v>
      </c>
      <c r="E17" s="5">
        <f t="shared" si="0"/>
        <v>85</v>
      </c>
      <c r="F17" s="5">
        <f t="shared" si="1"/>
        <v>-1.5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8.5</v>
      </c>
      <c r="E18" s="9">
        <f t="shared" si="0"/>
        <v>85</v>
      </c>
      <c r="F18" s="9">
        <f t="shared" si="1"/>
        <v>-1.5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107</v>
      </c>
      <c r="D25" s="5">
        <f>D26+D29+D31+D37-D34</f>
        <v>40.64179</v>
      </c>
      <c r="E25" s="5">
        <f t="shared" si="0"/>
        <v>37.982981308411219</v>
      </c>
      <c r="F25" s="5">
        <f t="shared" si="1"/>
        <v>-66.35821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13.965</v>
      </c>
      <c r="E26" s="5">
        <f t="shared" si="0"/>
        <v>17.030487804878046</v>
      </c>
      <c r="F26" s="5">
        <f t="shared" si="1"/>
        <v>-68.034999999999997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13.965</v>
      </c>
      <c r="E27" s="9">
        <f t="shared" si="0"/>
        <v>17.456250000000001</v>
      </c>
      <c r="F27" s="9">
        <f t="shared" si="1"/>
        <v>-66.034999999999997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25</v>
      </c>
      <c r="D29" s="5">
        <f>D30</f>
        <v>26.677949999999999</v>
      </c>
      <c r="E29" s="5">
        <f t="shared" si="0"/>
        <v>106.7118</v>
      </c>
      <c r="F29" s="5">
        <f t="shared" si="1"/>
        <v>1.6779499999999992</v>
      </c>
    </row>
    <row r="30" spans="1:6" ht="17.25" customHeight="1">
      <c r="A30" s="7">
        <v>1130206005</v>
      </c>
      <c r="B30" s="8" t="s">
        <v>224</v>
      </c>
      <c r="C30" s="9">
        <v>25</v>
      </c>
      <c r="D30" s="10">
        <v>26.677949999999999</v>
      </c>
      <c r="E30" s="9">
        <f t="shared" si="0"/>
        <v>106.7118</v>
      </c>
      <c r="F30" s="9">
        <f t="shared" si="1"/>
        <v>1.6779499999999992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f>-1.16/1000</f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1126.1199999999999</v>
      </c>
      <c r="D40" s="127">
        <f>D4+D25</f>
        <v>721.37499999999989</v>
      </c>
      <c r="E40" s="5">
        <f t="shared" si="0"/>
        <v>64.058448477959715</v>
      </c>
      <c r="F40" s="5">
        <f t="shared" si="1"/>
        <v>-404.745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2587.5070000000001</v>
      </c>
      <c r="D41" s="345">
        <f>D42+D44+D45+D46+D47+D48+D43+D50</f>
        <v>1794.8251</v>
      </c>
      <c r="E41" s="5">
        <f t="shared" si="0"/>
        <v>69.365033601841461</v>
      </c>
      <c r="F41" s="5">
        <f t="shared" si="1"/>
        <v>-792.68190000000004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1548.095</v>
      </c>
      <c r="E42" s="9">
        <f t="shared" si="0"/>
        <v>81.193949848504957</v>
      </c>
      <c r="F42" s="9">
        <f t="shared" si="1"/>
        <v>-358.56799999999998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73.953999999999994</v>
      </c>
      <c r="D45" s="252">
        <v>71.632099999999994</v>
      </c>
      <c r="E45" s="9">
        <f t="shared" si="0"/>
        <v>96.860345620250428</v>
      </c>
      <c r="F45" s="9">
        <f t="shared" si="1"/>
        <v>-2.3218999999999994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396">
        <f>C40+C41</f>
        <v>3713.627</v>
      </c>
      <c r="D51" s="397">
        <f>D40+D41</f>
        <v>2516.2001</v>
      </c>
      <c r="E51" s="93">
        <f t="shared" si="0"/>
        <v>67.755865088227765</v>
      </c>
      <c r="F51" s="93">
        <f t="shared" si="1"/>
        <v>-1197.4268999999999</v>
      </c>
      <c r="G51" s="295"/>
    </row>
    <row r="52" spans="1:7" s="6" customFormat="1">
      <c r="A52" s="3"/>
      <c r="B52" s="21" t="s">
        <v>321</v>
      </c>
      <c r="C52" s="396">
        <f>C51-C97</f>
        <v>-73.666530000000876</v>
      </c>
      <c r="D52" s="396">
        <f>D51-D97</f>
        <v>267.38751000000002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1294.8660000000002</v>
      </c>
      <c r="D56" s="33">
        <f>D57+D58+D59+D60+D61+D63+D62</f>
        <v>864.69394999999997</v>
      </c>
      <c r="E56" s="34">
        <f>SUM(D56/C56*100)</f>
        <v>66.77864350442438</v>
      </c>
      <c r="F56" s="34">
        <f>SUM(D56-C56)</f>
        <v>-430.17205000000024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1274.5630000000001</v>
      </c>
      <c r="D58" s="37">
        <v>853.34645</v>
      </c>
      <c r="E58" s="38">
        <f t="shared" ref="E58:E97" si="3">SUM(D58/C58*100)</f>
        <v>66.952080830841624</v>
      </c>
      <c r="F58" s="38">
        <f t="shared" ref="F58:F97" si="4">SUM(D58-C58)</f>
        <v>-421.2165500000001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15.303000000000001</v>
      </c>
      <c r="D63" s="37">
        <v>11.3475</v>
      </c>
      <c r="E63" s="38">
        <f t="shared" si="3"/>
        <v>74.152127033914923</v>
      </c>
      <c r="F63" s="38">
        <f t="shared" si="4"/>
        <v>-3.9555000000000007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65.859790000000004</v>
      </c>
      <c r="E64" s="34">
        <f t="shared" si="3"/>
        <v>93.292428642255118</v>
      </c>
      <c r="F64" s="34">
        <f t="shared" si="4"/>
        <v>-4.735209999999995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65.859790000000004</v>
      </c>
      <c r="E65" s="38">
        <f t="shared" si="3"/>
        <v>93.292428642255118</v>
      </c>
      <c r="F65" s="38">
        <f t="shared" si="4"/>
        <v>-4.735209999999995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4.25</v>
      </c>
      <c r="D66" s="32">
        <f>D69+D70</f>
        <v>2.0499999999999998</v>
      </c>
      <c r="E66" s="34">
        <f t="shared" si="3"/>
        <v>48.235294117647051</v>
      </c>
      <c r="F66" s="34">
        <f t="shared" si="4"/>
        <v>-2.2000000000000002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0</v>
      </c>
      <c r="D69" s="37">
        <v>0</v>
      </c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2.0499999999999998</v>
      </c>
      <c r="E70" s="38">
        <f t="shared" si="3"/>
        <v>48.235294117647051</v>
      </c>
      <c r="F70" s="38">
        <f t="shared" si="4"/>
        <v>-2.2000000000000002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1016.83253</v>
      </c>
      <c r="D71" s="48">
        <f>SUM(D72:D75)</f>
        <v>319.66793000000001</v>
      </c>
      <c r="E71" s="34">
        <f t="shared" si="3"/>
        <v>31.437618346061374</v>
      </c>
      <c r="F71" s="34">
        <f t="shared" si="4"/>
        <v>-697.16460000000006</v>
      </c>
    </row>
    <row r="72" spans="1:7" ht="15.75" customHeight="1">
      <c r="A72" s="35" t="s">
        <v>60</v>
      </c>
      <c r="B72" s="39" t="s">
        <v>61</v>
      </c>
      <c r="C72" s="49">
        <v>8.75</v>
      </c>
      <c r="D72" s="37">
        <v>3.75</v>
      </c>
      <c r="E72" s="38">
        <f t="shared" si="3"/>
        <v>42.857142857142854</v>
      </c>
      <c r="F72" s="38">
        <f t="shared" si="4"/>
        <v>-5</v>
      </c>
    </row>
    <row r="73" spans="1:7" s="6" customFormat="1" ht="19.5" customHeight="1">
      <c r="A73" s="35" t="s">
        <v>62</v>
      </c>
      <c r="B73" s="39" t="s">
        <v>63</v>
      </c>
      <c r="C73" s="49">
        <v>101.26900000000001</v>
      </c>
      <c r="D73" s="37">
        <v>85.244730000000004</v>
      </c>
      <c r="E73" s="38">
        <f t="shared" si="3"/>
        <v>84.176529836376375</v>
      </c>
      <c r="F73" s="38">
        <f t="shared" si="4"/>
        <v>-16.024270000000001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180</v>
      </c>
      <c r="E74" s="38">
        <f t="shared" si="3"/>
        <v>21.302997108011628</v>
      </c>
      <c r="F74" s="38">
        <f t="shared" si="4"/>
        <v>-664.95153000000005</v>
      </c>
    </row>
    <row r="75" spans="1:7" ht="16.5" customHeight="1">
      <c r="A75" s="35" t="s">
        <v>66</v>
      </c>
      <c r="B75" s="39" t="s">
        <v>67</v>
      </c>
      <c r="C75" s="49">
        <v>61.862000000000002</v>
      </c>
      <c r="D75" s="37">
        <v>50.673200000000001</v>
      </c>
      <c r="E75" s="38">
        <f t="shared" si="3"/>
        <v>81.913290873233962</v>
      </c>
      <c r="F75" s="38">
        <f t="shared" si="4"/>
        <v>-11.188800000000001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525.95000000000005</v>
      </c>
      <c r="D76" s="32">
        <f>SUM(D77:D79)</f>
        <v>341.15392000000003</v>
      </c>
      <c r="E76" s="34">
        <f t="shared" si="3"/>
        <v>64.864325506226834</v>
      </c>
      <c r="F76" s="34">
        <f t="shared" si="4"/>
        <v>-184.79608000000002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525.95000000000005</v>
      </c>
      <c r="D79" s="37">
        <v>341.15392000000003</v>
      </c>
      <c r="E79" s="38">
        <f t="shared" si="3"/>
        <v>64.864325506226834</v>
      </c>
      <c r="F79" s="38">
        <f t="shared" si="4"/>
        <v>-184.79608000000002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654.67200000000003</v>
      </c>
      <c r="E80" s="34">
        <f t="shared" si="3"/>
        <v>75.008249312557297</v>
      </c>
      <c r="F80" s="34">
        <f t="shared" si="4"/>
        <v>-218.12799999999993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654.67200000000003</v>
      </c>
      <c r="E81" s="38">
        <f t="shared" si="3"/>
        <v>75.008249312557297</v>
      </c>
      <c r="F81" s="38">
        <f t="shared" si="4"/>
        <v>-218.12799999999993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400">
        <f>C56+C64+C66+C71+C76+C80+C82+C87+C93</f>
        <v>3787.2935300000008</v>
      </c>
      <c r="D97" s="400">
        <f>D56+D64+D66+D71+D76+D80+D82+D87+D93</f>
        <v>2248.81259</v>
      </c>
      <c r="E97" s="34">
        <f t="shared" si="3"/>
        <v>59.377826730002617</v>
      </c>
      <c r="F97" s="34">
        <f t="shared" si="4"/>
        <v>-1538.4809400000008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  <c r="E99" s="392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</sheetData>
  <customSheetViews>
    <customSheetView guid="{E271257C-1B5C-4EEE-899F-E7A422E6A72D}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B30CE22D-C12F-4E12-8BB9-3AAE0A6991CC}" scale="70" showPageBreaks="1" hiddenRows="1" view="pageBreakPreview" topLeftCell="A28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39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5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7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1" t="s">
        <v>430</v>
      </c>
      <c r="B1" s="501"/>
      <c r="C1" s="501"/>
      <c r="D1" s="501"/>
      <c r="E1" s="501"/>
      <c r="F1" s="501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449.74531000000013</v>
      </c>
      <c r="E4" s="5">
        <f>SUM(D4/C4*100)</f>
        <v>61.798575079696626</v>
      </c>
      <c r="F4" s="5">
        <f>SUM(D4-C4)</f>
        <v>-278.01468999999986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26.781230000000001</v>
      </c>
      <c r="E5" s="5">
        <f t="shared" ref="E5:E51" si="0">SUM(D5/C5*100)</f>
        <v>80.183323353293417</v>
      </c>
      <c r="F5" s="5">
        <f t="shared" ref="F5:F51" si="1">SUM(D5-C5)</f>
        <v>-6.6187699999999978</v>
      </c>
    </row>
    <row r="6" spans="1:6">
      <c r="A6" s="7">
        <v>1010200001</v>
      </c>
      <c r="B6" s="8" t="s">
        <v>229</v>
      </c>
      <c r="C6" s="9">
        <v>33.4</v>
      </c>
      <c r="D6" s="10">
        <v>26.781230000000001</v>
      </c>
      <c r="E6" s="9">
        <f t="shared" ref="E6:E11" si="2">SUM(D6/C6*100)</f>
        <v>80.183323353293417</v>
      </c>
      <c r="F6" s="9">
        <f t="shared" si="1"/>
        <v>-6.6187699999999978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251.07563000000007</v>
      </c>
      <c r="E7" s="5">
        <f t="shared" si="2"/>
        <v>77.886719816354415</v>
      </c>
      <c r="F7" s="5">
        <f t="shared" si="1"/>
        <v>-71.284369999999939</v>
      </c>
    </row>
    <row r="8" spans="1:6">
      <c r="A8" s="7">
        <v>1030223001</v>
      </c>
      <c r="B8" s="8" t="s">
        <v>283</v>
      </c>
      <c r="C8" s="9">
        <v>120.24</v>
      </c>
      <c r="D8" s="10">
        <v>109.33848</v>
      </c>
      <c r="E8" s="9">
        <f t="shared" si="2"/>
        <v>90.933532934131748</v>
      </c>
      <c r="F8" s="9">
        <f t="shared" si="1"/>
        <v>-10.901519999999991</v>
      </c>
    </row>
    <row r="9" spans="1:6">
      <c r="A9" s="7">
        <v>1030224001</v>
      </c>
      <c r="B9" s="8" t="s">
        <v>289</v>
      </c>
      <c r="C9" s="9">
        <v>1.29</v>
      </c>
      <c r="D9" s="10">
        <v>0.99173</v>
      </c>
      <c r="E9" s="9">
        <f t="shared" si="2"/>
        <v>76.878294573643416</v>
      </c>
      <c r="F9" s="9">
        <f t="shared" si="1"/>
        <v>-0.29827000000000004</v>
      </c>
    </row>
    <row r="10" spans="1:6">
      <c r="A10" s="7">
        <v>1030225001</v>
      </c>
      <c r="B10" s="8" t="s">
        <v>282</v>
      </c>
      <c r="C10" s="9">
        <v>200.83</v>
      </c>
      <c r="D10" s="10">
        <v>165.23688000000001</v>
      </c>
      <c r="E10" s="9">
        <f t="shared" si="2"/>
        <v>82.276990489468702</v>
      </c>
      <c r="F10" s="9">
        <f t="shared" si="1"/>
        <v>-35.593119999999999</v>
      </c>
    </row>
    <row r="11" spans="1:6">
      <c r="A11" s="7">
        <v>1030226001</v>
      </c>
      <c r="B11" s="8" t="s">
        <v>291</v>
      </c>
      <c r="C11" s="9">
        <v>0</v>
      </c>
      <c r="D11" s="10">
        <v>-24.49146</v>
      </c>
      <c r="E11" s="9" t="e">
        <f t="shared" si="2"/>
        <v>#DIV/0!</v>
      </c>
      <c r="F11" s="9">
        <f t="shared" si="1"/>
        <v>-24.49146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9.2697599999999998</v>
      </c>
      <c r="E12" s="5">
        <f t="shared" si="0"/>
        <v>92.697600000000008</v>
      </c>
      <c r="F12" s="5">
        <f t="shared" si="1"/>
        <v>-0.73024000000000022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9.2697599999999998</v>
      </c>
      <c r="E13" s="9">
        <f t="shared" si="0"/>
        <v>92.697600000000008</v>
      </c>
      <c r="F13" s="9">
        <f t="shared" si="1"/>
        <v>-0.73024000000000022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161.31869</v>
      </c>
      <c r="E14" s="5">
        <f t="shared" si="0"/>
        <v>45.441884507042261</v>
      </c>
      <c r="F14" s="5">
        <f t="shared" si="1"/>
        <v>-193.68131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16.473089999999999</v>
      </c>
      <c r="E15" s="9">
        <f t="shared" si="0"/>
        <v>41.182724999999998</v>
      </c>
      <c r="F15" s="9">
        <f>SUM(D15-C15)</f>
        <v>-23.526910000000001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144.84559999999999</v>
      </c>
      <c r="E16" s="9">
        <f t="shared" si="0"/>
        <v>45.982730158730156</v>
      </c>
      <c r="F16" s="9">
        <f t="shared" si="1"/>
        <v>-170.15440000000001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1.3</v>
      </c>
      <c r="E17" s="5">
        <f t="shared" si="0"/>
        <v>18.571428571428573</v>
      </c>
      <c r="F17" s="5">
        <f t="shared" si="1"/>
        <v>-5.7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1.3</v>
      </c>
      <c r="E18" s="9">
        <f t="shared" si="0"/>
        <v>18.571428571428573</v>
      </c>
      <c r="F18" s="9">
        <f t="shared" si="1"/>
        <v>-5.7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47.289499999999997</v>
      </c>
      <c r="E25" s="5">
        <f t="shared" si="0"/>
        <v>25.983241758241753</v>
      </c>
      <c r="F25" s="5">
        <f t="shared" si="1"/>
        <v>-134.7105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26.022400000000001</v>
      </c>
      <c r="E26" s="5">
        <f t="shared" si="0"/>
        <v>19.713939393939395</v>
      </c>
      <c r="F26" s="5">
        <f t="shared" si="1"/>
        <v>-105.9776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19.508400000000002</v>
      </c>
      <c r="E28" s="9">
        <f t="shared" si="0"/>
        <v>114.75529411764707</v>
      </c>
      <c r="F28" s="9">
        <f t="shared" si="1"/>
        <v>2.5084000000000017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 ht="18" customHeight="1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18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497.03481000000011</v>
      </c>
      <c r="E40" s="5">
        <f t="shared" si="0"/>
        <v>54.633618756595162</v>
      </c>
      <c r="F40" s="5">
        <f t="shared" si="1"/>
        <v>-412.72518999999988</v>
      </c>
    </row>
    <row r="41" spans="1:7" s="6" customFormat="1">
      <c r="A41" s="3">
        <v>2000000000</v>
      </c>
      <c r="B41" s="4" t="s">
        <v>20</v>
      </c>
      <c r="C41" s="5">
        <f>C42+C43+C44+C45+C46+C47+C50</f>
        <v>2818.3090000000002</v>
      </c>
      <c r="D41" s="5">
        <f>D42+D43+D44+D45+D46+D47+D50</f>
        <v>1829.2350999999999</v>
      </c>
      <c r="E41" s="5">
        <f t="shared" si="0"/>
        <v>64.905413139581199</v>
      </c>
      <c r="F41" s="5">
        <f t="shared" si="1"/>
        <v>-989.07390000000032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986.779</v>
      </c>
      <c r="E42" s="9">
        <f t="shared" si="0"/>
        <v>79.337994445900591</v>
      </c>
      <c r="F42" s="9">
        <f t="shared" si="1"/>
        <v>-256.98700000000008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300</v>
      </c>
      <c r="E43" s="9">
        <f t="shared" si="0"/>
        <v>75</v>
      </c>
      <c r="F43" s="9">
        <f t="shared" si="1"/>
        <v>-100</v>
      </c>
    </row>
    <row r="44" spans="1:7">
      <c r="A44" s="16">
        <v>2022000000</v>
      </c>
      <c r="B44" s="17" t="s">
        <v>22</v>
      </c>
      <c r="C44" s="12">
        <v>1004.188</v>
      </c>
      <c r="D44" s="10">
        <v>373.72300000000001</v>
      </c>
      <c r="E44" s="9">
        <f t="shared" si="0"/>
        <v>37.216437559500818</v>
      </c>
      <c r="F44" s="9">
        <f t="shared" si="1"/>
        <v>-630.46499999999992</v>
      </c>
    </row>
    <row r="45" spans="1:7" ht="15" customHeight="1">
      <c r="A45" s="16">
        <v>2023000000</v>
      </c>
      <c r="B45" s="17" t="s">
        <v>23</v>
      </c>
      <c r="C45" s="12">
        <v>73.254999999999995</v>
      </c>
      <c r="D45" s="252">
        <v>71.633099999999999</v>
      </c>
      <c r="E45" s="9">
        <f t="shared" si="0"/>
        <v>97.785953177257539</v>
      </c>
      <c r="F45" s="9">
        <f t="shared" si="1"/>
        <v>-1.6218999999999966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401">
        <f>C40+C41</f>
        <v>3728.0690000000004</v>
      </c>
      <c r="D51" s="402">
        <f>D40+D41</f>
        <v>2326.26991</v>
      </c>
      <c r="E51" s="93">
        <f t="shared" si="0"/>
        <v>62.398789024559356</v>
      </c>
      <c r="F51" s="93">
        <f t="shared" si="1"/>
        <v>-1401.7990900000004</v>
      </c>
      <c r="G51" s="94"/>
    </row>
    <row r="52" spans="1:7" s="6" customFormat="1" ht="16.5" customHeight="1">
      <c r="A52" s="3"/>
      <c r="B52" s="21" t="s">
        <v>322</v>
      </c>
      <c r="C52" s="401">
        <f>C51-C97</f>
        <v>53.393470000000889</v>
      </c>
      <c r="D52" s="401">
        <f>D51-D97</f>
        <v>180.90224999999964</v>
      </c>
      <c r="E52" s="282"/>
      <c r="F52" s="282"/>
    </row>
    <row r="53" spans="1:7">
      <c r="A53" s="23"/>
      <c r="B53" s="24"/>
      <c r="C53" s="328"/>
      <c r="D53" s="328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1139.7604999999999</v>
      </c>
      <c r="D56" s="33">
        <f>D57+D58+D59+D60+D61+D63+D62</f>
        <v>786.91849000000013</v>
      </c>
      <c r="E56" s="34">
        <f>SUM(D56/C56*100)</f>
        <v>69.042442688617498</v>
      </c>
      <c r="F56" s="34">
        <f>SUM(D56-C56)</f>
        <v>-352.84200999999973</v>
      </c>
    </row>
    <row r="57" spans="1:7" s="6" customFormat="1" ht="15.75" hidden="1" customHeight="1">
      <c r="A57" s="35" t="s">
        <v>32</v>
      </c>
      <c r="B57" s="36" t="s">
        <v>33</v>
      </c>
      <c r="C57" s="283"/>
      <c r="D57" s="283"/>
      <c r="E57" s="38"/>
      <c r="F57" s="38"/>
    </row>
    <row r="58" spans="1:7" ht="17.25" customHeight="1">
      <c r="A58" s="35" t="s">
        <v>34</v>
      </c>
      <c r="B58" s="39" t="s">
        <v>35</v>
      </c>
      <c r="C58" s="283">
        <v>1100.9659999999999</v>
      </c>
      <c r="D58" s="283">
        <v>749.12399000000005</v>
      </c>
      <c r="E58" s="38">
        <f t="shared" ref="E58:E97" si="3">SUM(D58/C58*100)</f>
        <v>68.042427286582878</v>
      </c>
      <c r="F58" s="38">
        <f t="shared" ref="F58:F97" si="4">SUM(D58-C58)</f>
        <v>-351.84200999999985</v>
      </c>
    </row>
    <row r="59" spans="1:7" ht="17.25" hidden="1" customHeight="1">
      <c r="A59" s="35" t="s">
        <v>36</v>
      </c>
      <c r="B59" s="39" t="s">
        <v>37</v>
      </c>
      <c r="C59" s="283"/>
      <c r="D59" s="283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3"/>
      <c r="D60" s="283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3">
        <v>32.152000000000001</v>
      </c>
      <c r="D61" s="283">
        <v>32.152000000000001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84">
        <v>1</v>
      </c>
      <c r="D62" s="284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3">
        <v>5.6425000000000001</v>
      </c>
      <c r="D63" s="283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61.286279999999998</v>
      </c>
      <c r="E64" s="34">
        <f t="shared" si="3"/>
        <v>86.812680605133437</v>
      </c>
      <c r="F64" s="34">
        <f t="shared" si="4"/>
        <v>-9.3097200000000058</v>
      </c>
    </row>
    <row r="65" spans="1:9">
      <c r="A65" s="43" t="s">
        <v>48</v>
      </c>
      <c r="B65" s="44" t="s">
        <v>49</v>
      </c>
      <c r="C65" s="283">
        <v>70.596000000000004</v>
      </c>
      <c r="D65" s="283">
        <v>61.286279999999998</v>
      </c>
      <c r="E65" s="38">
        <f t="shared" si="3"/>
        <v>86.812680605133437</v>
      </c>
      <c r="F65" s="38">
        <f t="shared" si="4"/>
        <v>-9.3097200000000058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8</v>
      </c>
      <c r="D66" s="33">
        <f>D69+D70</f>
        <v>0</v>
      </c>
      <c r="E66" s="34">
        <f t="shared" si="3"/>
        <v>0</v>
      </c>
      <c r="F66" s="34">
        <f t="shared" si="4"/>
        <v>-8</v>
      </c>
    </row>
    <row r="67" spans="1:9" ht="1.5" hidden="1" customHeight="1">
      <c r="A67" s="35" t="s">
        <v>52</v>
      </c>
      <c r="B67" s="39" t="s">
        <v>53</v>
      </c>
      <c r="C67" s="283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3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5">
        <v>0</v>
      </c>
      <c r="D69" s="33">
        <v>0</v>
      </c>
      <c r="E69" s="34" t="e">
        <f t="shared" si="3"/>
        <v>#DIV/0!</v>
      </c>
      <c r="F69" s="34">
        <f t="shared" si="4"/>
        <v>0</v>
      </c>
    </row>
    <row r="70" spans="1:9">
      <c r="A70" s="46" t="s">
        <v>219</v>
      </c>
      <c r="B70" s="47" t="s">
        <v>220</v>
      </c>
      <c r="C70" s="283">
        <v>8</v>
      </c>
      <c r="D70" s="283">
        <v>0</v>
      </c>
      <c r="E70" s="34">
        <f t="shared" si="3"/>
        <v>0</v>
      </c>
      <c r="F70" s="34">
        <f t="shared" si="4"/>
        <v>-8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1549.45453</v>
      </c>
      <c r="D71" s="33">
        <f>SUM(D72:D75)</f>
        <v>708.40427</v>
      </c>
      <c r="E71" s="34">
        <f t="shared" si="3"/>
        <v>45.719590751720865</v>
      </c>
      <c r="F71" s="34">
        <f t="shared" si="4"/>
        <v>-841.05025999999998</v>
      </c>
      <c r="I71" s="108"/>
    </row>
    <row r="72" spans="1:9" ht="15.75" customHeight="1">
      <c r="A72" s="35" t="s">
        <v>60</v>
      </c>
      <c r="B72" s="39" t="s">
        <v>61</v>
      </c>
      <c r="C72" s="283">
        <v>7.5</v>
      </c>
      <c r="D72" s="283">
        <v>3.75</v>
      </c>
      <c r="E72" s="38">
        <f t="shared" si="3"/>
        <v>50</v>
      </c>
      <c r="F72" s="38">
        <f t="shared" si="4"/>
        <v>-3.75</v>
      </c>
    </row>
    <row r="73" spans="1:9" s="6" customFormat="1" ht="19.5" customHeight="1">
      <c r="A73" s="35" t="s">
        <v>62</v>
      </c>
      <c r="B73" s="39" t="s">
        <v>63</v>
      </c>
      <c r="C73" s="283">
        <v>60</v>
      </c>
      <c r="D73" s="283">
        <v>23.57723</v>
      </c>
      <c r="E73" s="38">
        <f t="shared" si="3"/>
        <v>39.295383333333334</v>
      </c>
      <c r="F73" s="38">
        <f t="shared" si="4"/>
        <v>-36.42277</v>
      </c>
      <c r="G73" s="50"/>
    </row>
    <row r="74" spans="1:9">
      <c r="A74" s="35" t="s">
        <v>64</v>
      </c>
      <c r="B74" s="39" t="s">
        <v>65</v>
      </c>
      <c r="C74" s="283">
        <v>1409.15453</v>
      </c>
      <c r="D74" s="283">
        <v>675.07704000000001</v>
      </c>
      <c r="E74" s="38">
        <f t="shared" si="3"/>
        <v>47.906530165999605</v>
      </c>
      <c r="F74" s="38">
        <f t="shared" si="4"/>
        <v>-734.07749000000001</v>
      </c>
    </row>
    <row r="75" spans="1:9">
      <c r="A75" s="35" t="s">
        <v>66</v>
      </c>
      <c r="B75" s="39" t="s">
        <v>67</v>
      </c>
      <c r="C75" s="283">
        <v>72.8</v>
      </c>
      <c r="D75" s="283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208.36099999999999</v>
      </c>
      <c r="D76" s="33">
        <f>SUM(D77:D79)</f>
        <v>101.05762</v>
      </c>
      <c r="E76" s="34">
        <f t="shared" si="3"/>
        <v>48.501216638430414</v>
      </c>
      <c r="F76" s="34">
        <f t="shared" si="4"/>
        <v>-107.30337999999999</v>
      </c>
    </row>
    <row r="77" spans="1:9" ht="15" hidden="1" customHeight="1">
      <c r="A77" s="35" t="s">
        <v>70</v>
      </c>
      <c r="B77" s="51" t="s">
        <v>71</v>
      </c>
      <c r="C77" s="283"/>
      <c r="D77" s="283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3"/>
      <c r="D78" s="283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3">
        <v>208.36099999999999</v>
      </c>
      <c r="D79" s="283">
        <v>101.05762</v>
      </c>
      <c r="E79" s="38">
        <f t="shared" si="3"/>
        <v>48.501216638430414</v>
      </c>
      <c r="F79" s="38">
        <f t="shared" si="4"/>
        <v>-107.30337999999999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478.70299999999997</v>
      </c>
      <c r="E80" s="34">
        <f t="shared" si="3"/>
        <v>69.427203777790822</v>
      </c>
      <c r="F80" s="34">
        <f t="shared" si="4"/>
        <v>-210.80050000000006</v>
      </c>
    </row>
    <row r="81" spans="1:12" ht="15.75" customHeight="1">
      <c r="A81" s="35" t="s">
        <v>88</v>
      </c>
      <c r="B81" s="39" t="s">
        <v>234</v>
      </c>
      <c r="C81" s="283">
        <v>689.50350000000003</v>
      </c>
      <c r="D81" s="283">
        <v>478.70299999999997</v>
      </c>
      <c r="E81" s="38">
        <f t="shared" si="3"/>
        <v>69.427203777790822</v>
      </c>
      <c r="F81" s="38">
        <f t="shared" si="4"/>
        <v>-210.80050000000006</v>
      </c>
      <c r="L81" s="107"/>
    </row>
    <row r="82" spans="1:12" s="6" customFormat="1" hidden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3"/>
      <c r="D83" s="283"/>
      <c r="E83" s="355" t="e">
        <f>SUM(D83/C83*100)</f>
        <v>#DIV/0!</v>
      </c>
      <c r="F83" s="355">
        <f>SUM(D83-C83)</f>
        <v>0</v>
      </c>
    </row>
    <row r="84" spans="1:12" hidden="1">
      <c r="A84" s="53">
        <v>1003</v>
      </c>
      <c r="B84" s="54" t="s">
        <v>91</v>
      </c>
      <c r="C84" s="283"/>
      <c r="D84" s="283"/>
      <c r="E84" s="355" t="e">
        <f>SUM(D84/C84*100)</f>
        <v>#DIV/0!</v>
      </c>
      <c r="F84" s="355">
        <f>SUM(D84-C84)</f>
        <v>0</v>
      </c>
    </row>
    <row r="85" spans="1:12" hidden="1">
      <c r="A85" s="53">
        <v>1004</v>
      </c>
      <c r="B85" s="54" t="s">
        <v>92</v>
      </c>
      <c r="C85" s="283"/>
      <c r="D85" s="286"/>
      <c r="E85" s="355" t="e">
        <f>SUM(D85/C85*100)</f>
        <v>#DIV/0!</v>
      </c>
      <c r="F85" s="355">
        <f>SUM(D85-C85)</f>
        <v>0</v>
      </c>
    </row>
    <row r="86" spans="1:12" ht="15" hidden="1" customHeight="1">
      <c r="A86" s="35" t="s">
        <v>93</v>
      </c>
      <c r="B86" s="39" t="s">
        <v>94</v>
      </c>
      <c r="C86" s="283">
        <v>5</v>
      </c>
      <c r="D86" s="283">
        <v>5</v>
      </c>
      <c r="E86" s="355">
        <f>SUM(D86/C86*100)</f>
        <v>100</v>
      </c>
      <c r="F86" s="355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3">
        <v>4</v>
      </c>
      <c r="D88" s="283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3"/>
      <c r="D89" s="283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3"/>
      <c r="D90" s="283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3"/>
      <c r="D91" s="283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3"/>
      <c r="D92" s="283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3"/>
      <c r="D94" s="283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3"/>
      <c r="D95" s="283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3"/>
      <c r="D96" s="283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403">
        <f>C56+C64+C66+C71+C76+C80+C87+C82</f>
        <v>3674.6755299999995</v>
      </c>
      <c r="D97" s="403">
        <f>D56+D64+D66+D71+D76+D80+D87+D82</f>
        <v>2145.3676600000003</v>
      </c>
      <c r="E97" s="34">
        <f t="shared" si="3"/>
        <v>58.382505951484667</v>
      </c>
      <c r="F97" s="34">
        <f t="shared" si="4"/>
        <v>-1529.3078699999992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</sheetData>
  <customSheetViews>
    <customSheetView guid="{E271257C-1B5C-4EEE-899F-E7A422E6A72D}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0CE22D-C12F-4E12-8BB9-3AAE0A6991CC}" scale="70" showPageBreaks="1" hiddenRows="1" view="pageBreakPreview" topLeftCell="A37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A54C432C-6C68-4B53-A75C-446EB3A61B2B}" scale="70" showPageBreaks="1" hiddenRows="1" view="pageBreakPreview" topLeftCell="A53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5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7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431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2425.41</v>
      </c>
      <c r="D4" s="5">
        <f>D5+D12+D14+D17+D7</f>
        <v>1561.4745799999998</v>
      </c>
      <c r="E4" s="5">
        <f>SUM(D4/C4*100)</f>
        <v>64.379819494435992</v>
      </c>
      <c r="F4" s="5">
        <f>SUM(D4-C4)</f>
        <v>-863.93542000000002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88.813540000000003</v>
      </c>
      <c r="E5" s="5">
        <f t="shared" ref="E5:E50" si="0">SUM(D5/C5*100)</f>
        <v>77.566410480349347</v>
      </c>
      <c r="F5" s="5">
        <f t="shared" ref="F5:F50" si="1">SUM(D5-C5)</f>
        <v>-25.686459999999997</v>
      </c>
    </row>
    <row r="6" spans="1:6">
      <c r="A6" s="7">
        <v>1010200001</v>
      </c>
      <c r="B6" s="8" t="s">
        <v>229</v>
      </c>
      <c r="C6" s="9">
        <v>114.5</v>
      </c>
      <c r="D6" s="10">
        <v>88.813540000000003</v>
      </c>
      <c r="E6" s="9">
        <f t="shared" ref="E6:E11" si="2">SUM(D6/C6*100)</f>
        <v>77.566410480349347</v>
      </c>
      <c r="F6" s="9">
        <f t="shared" si="1"/>
        <v>-25.686459999999997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387.42138</v>
      </c>
      <c r="E7" s="5">
        <f t="shared" si="2"/>
        <v>77.887734464526247</v>
      </c>
      <c r="F7" s="5">
        <f t="shared" si="1"/>
        <v>-109.98861999999997</v>
      </c>
    </row>
    <row r="8" spans="1:6">
      <c r="A8" s="7">
        <v>1030223001</v>
      </c>
      <c r="B8" s="8" t="s">
        <v>283</v>
      </c>
      <c r="C8" s="9">
        <v>185.53</v>
      </c>
      <c r="D8" s="10">
        <v>168.71433999999999</v>
      </c>
      <c r="E8" s="9">
        <f t="shared" si="2"/>
        <v>90.936419985986092</v>
      </c>
      <c r="F8" s="9">
        <f t="shared" si="1"/>
        <v>-16.815660000000008</v>
      </c>
    </row>
    <row r="9" spans="1:6">
      <c r="A9" s="7">
        <v>1030224001</v>
      </c>
      <c r="B9" s="8" t="s">
        <v>289</v>
      </c>
      <c r="C9" s="9">
        <v>2</v>
      </c>
      <c r="D9" s="10">
        <v>1.53026</v>
      </c>
      <c r="E9" s="9">
        <f t="shared" si="2"/>
        <v>76.512999999999991</v>
      </c>
      <c r="F9" s="9">
        <f t="shared" si="1"/>
        <v>-0.46974000000000005</v>
      </c>
    </row>
    <row r="10" spans="1:6">
      <c r="A10" s="7">
        <v>1030225001</v>
      </c>
      <c r="B10" s="8" t="s">
        <v>282</v>
      </c>
      <c r="C10" s="9">
        <v>309.88</v>
      </c>
      <c r="D10" s="10">
        <v>254.96815000000001</v>
      </c>
      <c r="E10" s="9">
        <f t="shared" si="2"/>
        <v>82.279640506002323</v>
      </c>
      <c r="F10" s="9">
        <f t="shared" si="1"/>
        <v>-54.911849999999987</v>
      </c>
    </row>
    <row r="11" spans="1:6">
      <c r="A11" s="7">
        <v>1030226001</v>
      </c>
      <c r="B11" s="8" t="s">
        <v>291</v>
      </c>
      <c r="C11" s="9">
        <v>0</v>
      </c>
      <c r="D11" s="10">
        <v>-37.791370000000001</v>
      </c>
      <c r="E11" s="9" t="e">
        <f t="shared" si="2"/>
        <v>#DIV/0!</v>
      </c>
      <c r="F11" s="9">
        <f t="shared" si="1"/>
        <v>-37.791370000000001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42.170999999999999</v>
      </c>
      <c r="E12" s="5">
        <f t="shared" si="0"/>
        <v>105.42750000000001</v>
      </c>
      <c r="F12" s="5">
        <f t="shared" si="1"/>
        <v>2.1709999999999994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42.170999999999999</v>
      </c>
      <c r="E13" s="9">
        <f t="shared" si="0"/>
        <v>105.42750000000001</v>
      </c>
      <c r="F13" s="9">
        <f t="shared" si="1"/>
        <v>2.1709999999999994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1035.8186599999999</v>
      </c>
      <c r="E14" s="5">
        <f t="shared" si="0"/>
        <v>58.803216576781146</v>
      </c>
      <c r="F14" s="5">
        <f t="shared" si="1"/>
        <v>-725.68134000000009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122.94259</v>
      </c>
      <c r="E15" s="9">
        <f t="shared" si="0"/>
        <v>81.961726666666664</v>
      </c>
      <c r="F15" s="9">
        <f>SUM(D15-C15)</f>
        <v>-27.057410000000004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912.87607000000003</v>
      </c>
      <c r="E16" s="9">
        <f t="shared" si="0"/>
        <v>56.64759975178405</v>
      </c>
      <c r="F16" s="9">
        <f t="shared" si="1"/>
        <v>-698.62392999999997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7.25</v>
      </c>
      <c r="E17" s="5">
        <f t="shared" si="0"/>
        <v>60.416666666666664</v>
      </c>
      <c r="F17" s="5">
        <f t="shared" si="1"/>
        <v>-4.75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7.25</v>
      </c>
      <c r="E18" s="9">
        <f t="shared" si="0"/>
        <v>60.416666666666664</v>
      </c>
      <c r="F18" s="9">
        <f t="shared" si="1"/>
        <v>-4.75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300</v>
      </c>
      <c r="D25" s="5">
        <f>D26+D29+D31+D36+D34</f>
        <v>124.69491000000001</v>
      </c>
      <c r="E25" s="5">
        <f t="shared" si="0"/>
        <v>41.564970000000002</v>
      </c>
      <c r="F25" s="5">
        <f t="shared" si="1"/>
        <v>-175.30509000000001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73.185749999999999</v>
      </c>
      <c r="E26" s="5">
        <f t="shared" si="0"/>
        <v>29.274299999999997</v>
      </c>
      <c r="F26" s="5">
        <f t="shared" si="1"/>
        <v>-176.81425000000002</v>
      </c>
    </row>
    <row r="27" spans="1:6">
      <c r="A27" s="16">
        <v>1110502510</v>
      </c>
      <c r="B27" s="17" t="s">
        <v>226</v>
      </c>
      <c r="C27" s="12">
        <v>220</v>
      </c>
      <c r="D27" s="10">
        <v>46.853000000000002</v>
      </c>
      <c r="E27" s="9">
        <f t="shared" si="0"/>
        <v>21.296818181818182</v>
      </c>
      <c r="F27" s="9">
        <f t="shared" si="1"/>
        <v>-173.14699999999999</v>
      </c>
    </row>
    <row r="28" spans="1:6">
      <c r="A28" s="7">
        <v>1110503510</v>
      </c>
      <c r="B28" s="11" t="s">
        <v>225</v>
      </c>
      <c r="C28" s="12">
        <v>30</v>
      </c>
      <c r="D28" s="10">
        <v>26.332750000000001</v>
      </c>
      <c r="E28" s="9">
        <f t="shared" si="0"/>
        <v>87.775833333333324</v>
      </c>
      <c r="F28" s="9">
        <f t="shared" si="1"/>
        <v>-3.6672499999999992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50</v>
      </c>
      <c r="D29" s="5">
        <f>D30</f>
        <v>50.333190000000002</v>
      </c>
      <c r="E29" s="5">
        <f t="shared" si="0"/>
        <v>100.66638</v>
      </c>
      <c r="F29" s="5">
        <f t="shared" si="1"/>
        <v>0.33319000000000187</v>
      </c>
    </row>
    <row r="30" spans="1:6" ht="21" customHeight="1">
      <c r="A30" s="7">
        <v>1130206510</v>
      </c>
      <c r="B30" s="8" t="s">
        <v>15</v>
      </c>
      <c r="C30" s="9">
        <v>50</v>
      </c>
      <c r="D30" s="10">
        <v>50.333190000000002</v>
      </c>
      <c r="E30" s="9">
        <f t="shared" si="0"/>
        <v>100.66638</v>
      </c>
      <c r="F30" s="9">
        <f t="shared" si="1"/>
        <v>0.33319000000000187</v>
      </c>
    </row>
    <row r="31" spans="1:6" ht="0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customHeight="1">
      <c r="A34" s="3">
        <v>1160000000</v>
      </c>
      <c r="B34" s="13" t="s">
        <v>252</v>
      </c>
      <c r="C34" s="9">
        <v>0</v>
      </c>
      <c r="D34" s="14">
        <f>D35</f>
        <v>1.17597</v>
      </c>
      <c r="E34" s="9" t="e">
        <f t="shared" si="0"/>
        <v>#DIV/0!</v>
      </c>
      <c r="F34" s="9">
        <f t="shared" si="1"/>
        <v>1.17597</v>
      </c>
    </row>
    <row r="35" spans="1:7" ht="0.75" customHeight="1">
      <c r="A35" s="7">
        <v>1163305010</v>
      </c>
      <c r="B35" s="8" t="s">
        <v>268</v>
      </c>
      <c r="C35" s="9">
        <v>0</v>
      </c>
      <c r="D35" s="10">
        <v>1.17597</v>
      </c>
      <c r="E35" s="9" t="e">
        <f t="shared" si="0"/>
        <v>#DIV/0!</v>
      </c>
      <c r="F35" s="9">
        <f t="shared" si="1"/>
        <v>1.17597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2725.41</v>
      </c>
      <c r="D39" s="127">
        <f>SUM(D4,D25)</f>
        <v>1686.1694899999998</v>
      </c>
      <c r="E39" s="5">
        <f t="shared" si="0"/>
        <v>61.868470798888978</v>
      </c>
      <c r="F39" s="5">
        <f t="shared" si="1"/>
        <v>-1039.2405100000001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2247.9899999999998</v>
      </c>
      <c r="D40" s="5">
        <f>D41+D42+D43+D44+D48+D47+D45</f>
        <v>1151.6772500000002</v>
      </c>
      <c r="E40" s="5">
        <f t="shared" si="0"/>
        <v>51.231422292803806</v>
      </c>
      <c r="F40" s="5">
        <f t="shared" si="1"/>
        <v>-1096.3127499999996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762.25699999999995</v>
      </c>
      <c r="E41" s="9">
        <f t="shared" si="0"/>
        <v>88.721812387534698</v>
      </c>
      <c r="F41" s="9">
        <f t="shared" si="1"/>
        <v>-96.897000000000048</v>
      </c>
    </row>
    <row r="42" spans="1:7" ht="15" customHeight="1">
      <c r="A42" s="16">
        <v>2021500200</v>
      </c>
      <c r="B42" s="17" t="s">
        <v>232</v>
      </c>
      <c r="C42" s="12">
        <v>700</v>
      </c>
      <c r="D42" s="20">
        <v>0</v>
      </c>
      <c r="E42" s="9">
        <f>SUM(D42/C42*100)</f>
        <v>0</v>
      </c>
      <c r="F42" s="9">
        <f>SUM(D42-C42)</f>
        <v>-700</v>
      </c>
    </row>
    <row r="43" spans="1:7">
      <c r="A43" s="16">
        <v>2022000000</v>
      </c>
      <c r="B43" s="17" t="s">
        <v>22</v>
      </c>
      <c r="C43" s="12">
        <v>457.16199999999998</v>
      </c>
      <c r="D43" s="10">
        <v>421.51100000000002</v>
      </c>
      <c r="E43" s="9">
        <f t="shared" si="0"/>
        <v>92.201670305055984</v>
      </c>
      <c r="F43" s="9">
        <f t="shared" si="1"/>
        <v>-35.650999999999954</v>
      </c>
    </row>
    <row r="44" spans="1:7" ht="18.75" customHeight="1">
      <c r="A44" s="16">
        <v>2023000000</v>
      </c>
      <c r="B44" s="17" t="s">
        <v>23</v>
      </c>
      <c r="C44" s="12">
        <v>71.573999999999998</v>
      </c>
      <c r="D44" s="252">
        <v>70.594999999999999</v>
      </c>
      <c r="E44" s="9">
        <f t="shared" si="0"/>
        <v>98.632184871601424</v>
      </c>
      <c r="F44" s="9">
        <f t="shared" si="1"/>
        <v>-0.9789999999999992</v>
      </c>
    </row>
    <row r="45" spans="1:7" ht="17.25" customHeight="1">
      <c r="A45" s="16">
        <v>2020400000</v>
      </c>
      <c r="B45" s="17" t="s">
        <v>24</v>
      </c>
      <c r="C45" s="12">
        <v>120</v>
      </c>
      <c r="D45" s="253">
        <v>120</v>
      </c>
      <c r="E45" s="9">
        <f t="shared" si="0"/>
        <v>100</v>
      </c>
      <c r="F45" s="9">
        <f t="shared" si="1"/>
        <v>0</v>
      </c>
    </row>
    <row r="46" spans="1:7" ht="47.25" hidden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 hidden="1">
      <c r="A49" s="356">
        <v>2190000010</v>
      </c>
      <c r="B49" s="357" t="s">
        <v>26</v>
      </c>
      <c r="C49" s="12">
        <v>0</v>
      </c>
      <c r="D49" s="10">
        <v>-262.74074999999999</v>
      </c>
      <c r="E49" s="9" t="e">
        <f t="shared" si="0"/>
        <v>#DIV/0!</v>
      </c>
      <c r="F49" s="9">
        <f t="shared" si="1"/>
        <v>-262.74074999999999</v>
      </c>
    </row>
    <row r="50" spans="1:7" s="6" customFormat="1" ht="19.5" customHeight="1">
      <c r="A50" s="3"/>
      <c r="B50" s="4" t="s">
        <v>28</v>
      </c>
      <c r="C50" s="396">
        <f>C39+C40</f>
        <v>4973.3999999999996</v>
      </c>
      <c r="D50" s="397">
        <f>D39+D40</f>
        <v>2837.84674</v>
      </c>
      <c r="E50" s="5">
        <f t="shared" si="0"/>
        <v>57.060496642136172</v>
      </c>
      <c r="F50" s="5">
        <f t="shared" si="1"/>
        <v>-2135.5532599999997</v>
      </c>
      <c r="G50" s="94"/>
    </row>
    <row r="51" spans="1:7" s="6" customFormat="1">
      <c r="A51" s="3"/>
      <c r="B51" s="21" t="s">
        <v>321</v>
      </c>
      <c r="C51" s="396">
        <f>C50-C96</f>
        <v>-646.64892000000145</v>
      </c>
      <c r="D51" s="396">
        <f>D50-D96</f>
        <v>-156.70227000000023</v>
      </c>
      <c r="E51" s="22"/>
      <c r="F51" s="22"/>
    </row>
    <row r="52" spans="1:7">
      <c r="A52" s="23"/>
      <c r="B52" s="24"/>
      <c r="C52" s="353"/>
      <c r="D52" s="353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413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7">
        <f>C56+C57+C58+C59+C60+C62+C61</f>
        <v>1444.78</v>
      </c>
      <c r="D55" s="32">
        <f>D56+D57+D58+D59+D60+D62+D61</f>
        <v>981.35692000000006</v>
      </c>
      <c r="E55" s="34">
        <f>SUM(D55/C55*100)</f>
        <v>67.924315120641211</v>
      </c>
      <c r="F55" s="34">
        <f>SUM(D55-C55)</f>
        <v>-463.42307999999991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1429.154</v>
      </c>
      <c r="D57" s="37">
        <v>977.59842000000003</v>
      </c>
      <c r="E57" s="34">
        <f>SUM(D57/C57*100)</f>
        <v>68.403994251144383</v>
      </c>
      <c r="F57" s="38">
        <f t="shared" ref="F57:F96" si="3">SUM(D57-C57)</f>
        <v>-451.55557999999996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10.625999999999999</v>
      </c>
      <c r="D62" s="37">
        <v>3.7585000000000002</v>
      </c>
      <c r="E62" s="38">
        <f t="shared" si="4"/>
        <v>35.370788631658201</v>
      </c>
      <c r="F62" s="38">
        <f t="shared" si="3"/>
        <v>-6.8674999999999997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58.650849999999998</v>
      </c>
      <c r="E63" s="34">
        <f t="shared" si="4"/>
        <v>83.080742262199863</v>
      </c>
      <c r="F63" s="34">
        <f t="shared" si="3"/>
        <v>-11.94415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58.650849999999998</v>
      </c>
      <c r="E64" s="38">
        <f t="shared" si="4"/>
        <v>83.080742262199863</v>
      </c>
      <c r="F64" s="38">
        <f t="shared" si="3"/>
        <v>-11.94415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198.8</v>
      </c>
      <c r="D65" s="32">
        <f>D68+D69</f>
        <v>13.25074</v>
      </c>
      <c r="E65" s="34">
        <f t="shared" si="4"/>
        <v>6.6653621730382291</v>
      </c>
      <c r="F65" s="34">
        <f t="shared" si="3"/>
        <v>-185.54926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198.8</v>
      </c>
      <c r="D69" s="37">
        <v>13.25074</v>
      </c>
      <c r="E69" s="34">
        <f t="shared" si="4"/>
        <v>6.6653621730382291</v>
      </c>
      <c r="F69" s="34">
        <f t="shared" si="3"/>
        <v>-185.54926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2186.6479199999999</v>
      </c>
      <c r="D70" s="48">
        <f>SUM(D71:D74)</f>
        <v>1005.21591</v>
      </c>
      <c r="E70" s="34">
        <f t="shared" si="4"/>
        <v>45.970633900678443</v>
      </c>
      <c r="F70" s="34">
        <f t="shared" si="3"/>
        <v>-1181.43201</v>
      </c>
    </row>
    <row r="71" spans="1:7">
      <c r="A71" s="35" t="s">
        <v>60</v>
      </c>
      <c r="B71" s="39" t="s">
        <v>61</v>
      </c>
      <c r="C71" s="49">
        <v>2.5</v>
      </c>
      <c r="D71" s="37">
        <v>0</v>
      </c>
      <c r="E71" s="38">
        <f t="shared" si="4"/>
        <v>0</v>
      </c>
      <c r="F71" s="38">
        <f t="shared" si="3"/>
        <v>-2.5</v>
      </c>
    </row>
    <row r="72" spans="1:7" s="6" customFormat="1">
      <c r="A72" s="35" t="s">
        <v>62</v>
      </c>
      <c r="B72" s="39" t="s">
        <v>63</v>
      </c>
      <c r="C72" s="49">
        <v>1039.8409999999999</v>
      </c>
      <c r="D72" s="37">
        <v>228.19782000000001</v>
      </c>
      <c r="E72" s="38">
        <f t="shared" si="4"/>
        <v>21.945453199094864</v>
      </c>
      <c r="F72" s="38">
        <f t="shared" si="3"/>
        <v>-811.64317999999992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723.51809000000003</v>
      </c>
      <c r="E73" s="38">
        <f t="shared" si="4"/>
        <v>69.87819631876765</v>
      </c>
      <c r="F73" s="38">
        <f t="shared" si="3"/>
        <v>-311.88083000000006</v>
      </c>
    </row>
    <row r="74" spans="1:7">
      <c r="A74" s="35" t="s">
        <v>66</v>
      </c>
      <c r="B74" s="39" t="s">
        <v>67</v>
      </c>
      <c r="C74" s="49">
        <v>108.908</v>
      </c>
      <c r="D74" s="37">
        <v>53.5</v>
      </c>
      <c r="E74" s="38">
        <f t="shared" si="4"/>
        <v>49.124031292467038</v>
      </c>
      <c r="F74" s="38">
        <f t="shared" si="3"/>
        <v>-55.408000000000001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759.98599999999999</v>
      </c>
      <c r="D75" s="32">
        <f>SUM(D76:D78)</f>
        <v>461.75261999999998</v>
      </c>
      <c r="E75" s="34">
        <f t="shared" si="4"/>
        <v>60.758042911316792</v>
      </c>
      <c r="F75" s="34">
        <f t="shared" si="3"/>
        <v>-298.23338000000001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759.98599999999999</v>
      </c>
      <c r="D78" s="37">
        <v>461.75261999999998</v>
      </c>
      <c r="E78" s="38">
        <f t="shared" si="4"/>
        <v>60.758042911316792</v>
      </c>
      <c r="F78" s="38">
        <f t="shared" si="3"/>
        <v>-298.23338000000001</v>
      </c>
    </row>
    <row r="79" spans="1:7" s="6" customFormat="1">
      <c r="A79" s="30" t="s">
        <v>86</v>
      </c>
      <c r="B79" s="31" t="s">
        <v>87</v>
      </c>
      <c r="C79" s="32">
        <f>C80</f>
        <v>949.6</v>
      </c>
      <c r="D79" s="32">
        <f>SUM(D80)</f>
        <v>469.68196999999998</v>
      </c>
      <c r="E79" s="34">
        <f t="shared" si="4"/>
        <v>49.461033066554336</v>
      </c>
      <c r="F79" s="34">
        <f t="shared" si="3"/>
        <v>-479.91803000000004</v>
      </c>
    </row>
    <row r="80" spans="1:7" ht="15.75" customHeight="1">
      <c r="A80" s="35" t="s">
        <v>88</v>
      </c>
      <c r="B80" s="39" t="s">
        <v>234</v>
      </c>
      <c r="C80" s="37">
        <v>949.6</v>
      </c>
      <c r="D80" s="37">
        <v>469.68196999999998</v>
      </c>
      <c r="E80" s="38">
        <f t="shared" si="4"/>
        <v>49.461033066554336</v>
      </c>
      <c r="F80" s="38">
        <f t="shared" si="3"/>
        <v>-479.91803000000004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9.64</v>
      </c>
      <c r="D86" s="32">
        <f>D87+D88+D89+D90+D91</f>
        <v>4.6399999999999997</v>
      </c>
      <c r="E86" s="38">
        <f t="shared" si="4"/>
        <v>48.132780082987544</v>
      </c>
      <c r="F86" s="22">
        <f>F87+F88+F89+F90+F91</f>
        <v>-5.0000000000000009</v>
      </c>
    </row>
    <row r="87" spans="1:6" ht="17.25" customHeight="1">
      <c r="A87" s="35" t="s">
        <v>97</v>
      </c>
      <c r="B87" s="39" t="s">
        <v>98</v>
      </c>
      <c r="C87" s="37">
        <v>9.64</v>
      </c>
      <c r="D87" s="37">
        <v>4.6399999999999997</v>
      </c>
      <c r="E87" s="38">
        <f t="shared" si="4"/>
        <v>48.132780082987544</v>
      </c>
      <c r="F87" s="38">
        <f>SUM(D87-C87)</f>
        <v>-5.0000000000000009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400">
        <f>C55+C63+C70+C75+C79+C81+C86+C65+C92</f>
        <v>5620.0489200000011</v>
      </c>
      <c r="D96" s="400">
        <f>D55+D63+D70+D75+D79+D81+D86+D65+D92</f>
        <v>2994.5490100000002</v>
      </c>
      <c r="E96" s="34">
        <f t="shared" si="4"/>
        <v>53.283326402076938</v>
      </c>
      <c r="F96" s="34">
        <f t="shared" si="3"/>
        <v>-2625.4999100000009</v>
      </c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50"/>
      <c r="D98" s="250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</sheetData>
  <customSheetViews>
    <customSheetView guid="{E271257C-1B5C-4EEE-899F-E7A422E6A72D}" hiddenRows="1" topLeftCell="A37">
      <selection activeCell="B100" sqref="B100"/>
      <pageMargins left="0.7" right="0.7" top="0.75" bottom="0.75" header="0.3" footer="0.3"/>
      <pageSetup paperSize="9" scale="57" orientation="portrait" r:id="rId1"/>
    </customSheetView>
    <customSheetView guid="{B30CE22D-C12F-4E12-8BB9-3AAE0A6991CC}" scale="70" showPageBreaks="1" printArea="1" hiddenRows="1" view="pageBreakPreview" topLeftCell="A28">
      <selection activeCell="E98" sqref="E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54">
      <selection activeCell="C96" sqref="C96:D9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5"/>
    </customSheetView>
    <customSheetView guid="{5BFCA170-DEAE-4D2C-98A0-1E68B427AC01}" showPageBreaks="1" printArea="1" hiddenRows="1" topLeftCell="A37">
      <selection activeCell="B100" sqref="B100"/>
      <pageMargins left="0.7" right="0.7" top="0.75" bottom="0.75" header="0.3" footer="0.3"/>
      <pageSetup paperSize="9" scale="57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topLeftCell="A38" zoomScaleNormal="100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432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1363.54</v>
      </c>
      <c r="D4" s="5">
        <f>D5+D12+D14+D17+D7</f>
        <v>862.58035999999993</v>
      </c>
      <c r="E4" s="5">
        <f>SUM(D4/C4*100)</f>
        <v>63.260363465684911</v>
      </c>
      <c r="F4" s="5">
        <f>SUM(D4-C4)</f>
        <v>-500.95964000000004</v>
      </c>
    </row>
    <row r="5" spans="1:6" s="6" customFormat="1">
      <c r="A5" s="68">
        <v>1010000000</v>
      </c>
      <c r="B5" s="67" t="s">
        <v>6</v>
      </c>
      <c r="C5" s="5">
        <f>C6</f>
        <v>130.19999999999999</v>
      </c>
      <c r="D5" s="5">
        <f>D6</f>
        <v>90.003339999999994</v>
      </c>
      <c r="E5" s="5">
        <f t="shared" ref="E5:E52" si="0">SUM(D5/C5*100)</f>
        <v>69.126989247311826</v>
      </c>
      <c r="F5" s="5">
        <f t="shared" ref="F5:F52" si="1">SUM(D5-C5)</f>
        <v>-40.196659999999994</v>
      </c>
    </row>
    <row r="6" spans="1:6">
      <c r="A6" s="7">
        <v>1010200001</v>
      </c>
      <c r="B6" s="8" t="s">
        <v>229</v>
      </c>
      <c r="C6" s="9">
        <v>130.19999999999999</v>
      </c>
      <c r="D6" s="10">
        <v>90.003339999999994</v>
      </c>
      <c r="E6" s="9">
        <f t="shared" ref="E6:E11" si="2">SUM(D6/C6*100)</f>
        <v>69.126989247311826</v>
      </c>
      <c r="F6" s="9">
        <f t="shared" si="1"/>
        <v>-40.196659999999994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522.10439999999994</v>
      </c>
      <c r="E7" s="5">
        <f t="shared" si="2"/>
        <v>77.886505355491238</v>
      </c>
      <c r="F7" s="5">
        <f t="shared" si="1"/>
        <v>-148.23559999999998</v>
      </c>
    </row>
    <row r="8" spans="1:6">
      <c r="A8" s="7">
        <v>1030223001</v>
      </c>
      <c r="B8" s="8" t="s">
        <v>283</v>
      </c>
      <c r="C8" s="9">
        <v>250.04</v>
      </c>
      <c r="D8" s="10">
        <v>227.36609999999999</v>
      </c>
      <c r="E8" s="9">
        <f t="shared" si="2"/>
        <v>90.931890897456398</v>
      </c>
      <c r="F8" s="9">
        <f t="shared" si="1"/>
        <v>-22.673900000000003</v>
      </c>
    </row>
    <row r="9" spans="1:6">
      <c r="A9" s="7">
        <v>1030224001</v>
      </c>
      <c r="B9" s="8" t="s">
        <v>289</v>
      </c>
      <c r="C9" s="9">
        <v>2.68</v>
      </c>
      <c r="D9" s="10">
        <v>2.0622500000000001</v>
      </c>
      <c r="E9" s="9">
        <f t="shared" si="2"/>
        <v>76.949626865671632</v>
      </c>
      <c r="F9" s="9">
        <f t="shared" si="1"/>
        <v>-0.61775000000000002</v>
      </c>
    </row>
    <row r="10" spans="1:6">
      <c r="A10" s="7">
        <v>1030225001</v>
      </c>
      <c r="B10" s="8" t="s">
        <v>282</v>
      </c>
      <c r="C10" s="9">
        <v>417.62</v>
      </c>
      <c r="D10" s="10">
        <v>343.60514999999998</v>
      </c>
      <c r="E10" s="9">
        <f t="shared" si="2"/>
        <v>82.276986255447525</v>
      </c>
      <c r="F10" s="9">
        <f t="shared" si="1"/>
        <v>-74.014850000000024</v>
      </c>
    </row>
    <row r="11" spans="1:6">
      <c r="A11" s="7">
        <v>1030226001</v>
      </c>
      <c r="B11" s="8" t="s">
        <v>291</v>
      </c>
      <c r="C11" s="9">
        <v>0</v>
      </c>
      <c r="D11" s="10">
        <v>-50.929099999999998</v>
      </c>
      <c r="E11" s="9" t="e">
        <f t="shared" si="2"/>
        <v>#DIV/0!</v>
      </c>
      <c r="F11" s="9">
        <f t="shared" si="1"/>
        <v>-50.929099999999998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244.46529999999998</v>
      </c>
      <c r="E14" s="5">
        <f t="shared" si="0"/>
        <v>46.564819047619046</v>
      </c>
      <c r="F14" s="5">
        <f t="shared" si="1"/>
        <v>-280.53470000000004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59.277639999999998</v>
      </c>
      <c r="E15" s="9">
        <f t="shared" si="0"/>
        <v>56.45489523809524</v>
      </c>
      <c r="F15" s="9">
        <f>SUM(D15-C15)</f>
        <v>-45.722360000000002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185.18765999999999</v>
      </c>
      <c r="E16" s="9">
        <f t="shared" si="0"/>
        <v>44.092300000000002</v>
      </c>
      <c r="F16" s="9">
        <f t="shared" si="1"/>
        <v>-234.81234000000001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4.3499999999999996</v>
      </c>
      <c r="E17" s="5">
        <f t="shared" si="0"/>
        <v>54.374999999999993</v>
      </c>
      <c r="F17" s="5">
        <f t="shared" si="1"/>
        <v>-3.6500000000000004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4.3499999999999996</v>
      </c>
      <c r="E18" s="9">
        <f t="shared" si="0"/>
        <v>54.374999999999993</v>
      </c>
      <c r="F18" s="9">
        <f t="shared" si="1"/>
        <v>-3.6500000000000004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360</v>
      </c>
      <c r="D25" s="5">
        <f>D26+D29+D31+D34</f>
        <v>344.08800000000002</v>
      </c>
      <c r="E25" s="5">
        <f t="shared" si="0"/>
        <v>95.580000000000013</v>
      </c>
      <c r="F25" s="5">
        <f t="shared" si="1"/>
        <v>-15.911999999999978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24</v>
      </c>
      <c r="E26" s="5">
        <f t="shared" si="0"/>
        <v>40</v>
      </c>
      <c r="F26" s="5">
        <f t="shared" si="1"/>
        <v>-36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24</v>
      </c>
      <c r="E28" s="9">
        <f t="shared" si="0"/>
        <v>40</v>
      </c>
      <c r="F28" s="9">
        <f t="shared" si="1"/>
        <v>-36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300</v>
      </c>
      <c r="D29" s="5">
        <f>D30</f>
        <v>320.32810000000001</v>
      </c>
      <c r="E29" s="5">
        <f t="shared" si="0"/>
        <v>106.77603333333334</v>
      </c>
      <c r="F29" s="5">
        <f t="shared" si="1"/>
        <v>20.328100000000006</v>
      </c>
    </row>
    <row r="30" spans="1:6" ht="15.75" customHeight="1">
      <c r="A30" s="7">
        <v>1130206005</v>
      </c>
      <c r="B30" s="8" t="s">
        <v>15</v>
      </c>
      <c r="C30" s="9">
        <v>300</v>
      </c>
      <c r="D30" s="10">
        <v>320.32810000000001</v>
      </c>
      <c r="E30" s="9">
        <f t="shared" si="0"/>
        <v>106.77603333333334</v>
      </c>
      <c r="F30" s="9">
        <f t="shared" si="1"/>
        <v>20.328100000000006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1723.54</v>
      </c>
      <c r="D37" s="127">
        <f>D4+D25</f>
        <v>1206.6683599999999</v>
      </c>
      <c r="E37" s="5">
        <f t="shared" si="0"/>
        <v>70.011044710305526</v>
      </c>
      <c r="F37" s="5">
        <f t="shared" si="1"/>
        <v>-516.87164000000007</v>
      </c>
    </row>
    <row r="38" spans="1:7" s="6" customFormat="1">
      <c r="A38" s="3">
        <v>2000000000</v>
      </c>
      <c r="B38" s="4" t="s">
        <v>20</v>
      </c>
      <c r="C38" s="5">
        <f>C39+C41+C42+C43+C50+C51</f>
        <v>5053.5021000000006</v>
      </c>
      <c r="D38" s="5">
        <f>D39+D41+D42+D43+D50+D51</f>
        <v>3942.2124999999996</v>
      </c>
      <c r="E38" s="5">
        <f t="shared" si="0"/>
        <v>78.009515420998824</v>
      </c>
      <c r="F38" s="5">
        <f t="shared" si="1"/>
        <v>-1111.289600000001</v>
      </c>
      <c r="G38" s="19"/>
    </row>
    <row r="39" spans="1:7">
      <c r="A39" s="16">
        <v>2021000000</v>
      </c>
      <c r="B39" s="17" t="s">
        <v>21</v>
      </c>
      <c r="C39" s="12">
        <v>2768.5630000000001</v>
      </c>
      <c r="D39" s="20">
        <v>2251.2829999999999</v>
      </c>
      <c r="E39" s="9">
        <v>0</v>
      </c>
      <c r="F39" s="9">
        <f t="shared" si="1"/>
        <v>-517.2800000000002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546.88009999999997</v>
      </c>
      <c r="D41" s="20">
        <v>0</v>
      </c>
      <c r="E41" s="9">
        <f t="shared" si="0"/>
        <v>0</v>
      </c>
      <c r="F41" s="9">
        <f t="shared" si="1"/>
        <v>-546.88009999999997</v>
      </c>
    </row>
    <row r="42" spans="1:7">
      <c r="A42" s="16">
        <v>2022000000</v>
      </c>
      <c r="B42" s="17" t="s">
        <v>22</v>
      </c>
      <c r="C42" s="12">
        <v>1502.36</v>
      </c>
      <c r="D42" s="10">
        <v>1460.22</v>
      </c>
      <c r="E42" s="9">
        <f t="shared" si="0"/>
        <v>97.195079741207181</v>
      </c>
      <c r="F42" s="9">
        <f t="shared" si="1"/>
        <v>-42.139999999999873</v>
      </c>
    </row>
    <row r="43" spans="1:7" ht="17.25" customHeight="1">
      <c r="A43" s="16">
        <v>2023000000</v>
      </c>
      <c r="B43" s="17" t="s">
        <v>23</v>
      </c>
      <c r="C43" s="12">
        <v>157.59899999999999</v>
      </c>
      <c r="D43" s="252">
        <v>152.6095</v>
      </c>
      <c r="E43" s="9">
        <f t="shared" si="0"/>
        <v>96.834053515568002</v>
      </c>
      <c r="F43" s="9">
        <f t="shared" si="1"/>
        <v>-4.9894999999999925</v>
      </c>
    </row>
    <row r="44" spans="1:7" ht="18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8">
        <f>C47</f>
        <v>0</v>
      </c>
      <c r="D46" s="354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396">
        <f>C37+C38</f>
        <v>6777.0421000000006</v>
      </c>
      <c r="D52" s="396">
        <f>D37+D38</f>
        <v>5148.8808599999993</v>
      </c>
      <c r="E52" s="5">
        <f t="shared" si="0"/>
        <v>75.97534121855314</v>
      </c>
      <c r="F52" s="5">
        <f t="shared" si="1"/>
        <v>-1628.1612400000013</v>
      </c>
      <c r="G52" s="94"/>
    </row>
    <row r="53" spans="1:7" s="6" customFormat="1">
      <c r="A53" s="3"/>
      <c r="B53" s="21" t="s">
        <v>321</v>
      </c>
      <c r="C53" s="396">
        <f>C52-C98</f>
        <v>-699.8163799999993</v>
      </c>
      <c r="D53" s="396">
        <f>D52-D98</f>
        <v>80.739539999999579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434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1272.5335</v>
      </c>
      <c r="D57" s="33">
        <f>D58+D59+D60+D61+D62+D64+D63</f>
        <v>951.08078999999998</v>
      </c>
      <c r="E57" s="34">
        <f>SUM(D57/C57*100)</f>
        <v>74.739155393551528</v>
      </c>
      <c r="F57" s="34">
        <f>SUM(D57-C57)</f>
        <v>-321.45271000000002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1247.5630000000001</v>
      </c>
      <c r="D59" s="37">
        <v>931.11028999999996</v>
      </c>
      <c r="E59" s="38">
        <f t="shared" ref="E59:E98" si="3">SUM(D59/C59*100)</f>
        <v>74.634330290334034</v>
      </c>
      <c r="F59" s="38">
        <f t="shared" ref="F59:F98" si="4">SUM(D59-C59)</f>
        <v>-316.45271000000014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customHeight="1">
      <c r="A62" s="35" t="s">
        <v>40</v>
      </c>
      <c r="B62" s="39" t="s">
        <v>41</v>
      </c>
      <c r="C62" s="37">
        <v>15.714</v>
      </c>
      <c r="D62" s="37">
        <v>15.714</v>
      </c>
      <c r="E62" s="38">
        <f t="shared" si="3"/>
        <v>100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121.31671</v>
      </c>
      <c r="E65" s="34">
        <f t="shared" si="3"/>
        <v>80.405558022547581</v>
      </c>
      <c r="F65" s="34">
        <f t="shared" si="4"/>
        <v>-29.56429</v>
      </c>
    </row>
    <row r="66" spans="1:7">
      <c r="A66" s="43" t="s">
        <v>48</v>
      </c>
      <c r="B66" s="44" t="s">
        <v>49</v>
      </c>
      <c r="C66" s="37">
        <v>150.881</v>
      </c>
      <c r="D66" s="37">
        <v>121.31671</v>
      </c>
      <c r="E66" s="38">
        <f t="shared" si="3"/>
        <v>80.405558022547581</v>
      </c>
      <c r="F66" s="38">
        <f t="shared" si="4"/>
        <v>-29.56429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1575.7813799999999</v>
      </c>
      <c r="D72" s="48">
        <f>SUM(D73:D76)</f>
        <v>1290.4383799999998</v>
      </c>
      <c r="E72" s="34">
        <f t="shared" si="3"/>
        <v>81.891967780454408</v>
      </c>
      <c r="F72" s="34">
        <f t="shared" si="4"/>
        <v>-285.34300000000007</v>
      </c>
    </row>
    <row r="73" spans="1:7" ht="17.25" customHeight="1">
      <c r="A73" s="35" t="s">
        <v>60</v>
      </c>
      <c r="B73" s="39" t="s">
        <v>61</v>
      </c>
      <c r="C73" s="49">
        <v>17.5</v>
      </c>
      <c r="D73" s="37">
        <v>6.25</v>
      </c>
      <c r="E73" s="38">
        <f t="shared" si="3"/>
        <v>35.714285714285715</v>
      </c>
      <c r="F73" s="38">
        <f t="shared" si="4"/>
        <v>-11.25</v>
      </c>
    </row>
    <row r="74" spans="1:7" s="6" customFormat="1" ht="19.5" customHeight="1">
      <c r="A74" s="35" t="s">
        <v>62</v>
      </c>
      <c r="B74" s="39" t="s">
        <v>63</v>
      </c>
      <c r="C74" s="49">
        <v>350</v>
      </c>
      <c r="D74" s="37">
        <v>173.90700000000001</v>
      </c>
      <c r="E74" s="38">
        <f t="shared" si="3"/>
        <v>49.687714285714293</v>
      </c>
      <c r="F74" s="38">
        <f t="shared" si="4"/>
        <v>-176.09299999999999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1110.2813799999999</v>
      </c>
      <c r="E75" s="38">
        <f t="shared" si="3"/>
        <v>91.88930644615246</v>
      </c>
      <c r="F75" s="38">
        <f t="shared" si="4"/>
        <v>-98</v>
      </c>
    </row>
    <row r="76" spans="1:7">
      <c r="A76" s="35" t="s">
        <v>66</v>
      </c>
      <c r="B76" s="39" t="s">
        <v>67</v>
      </c>
      <c r="C76" s="49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756.24</v>
      </c>
      <c r="D77" s="32">
        <f>SUM(D78:D80)</f>
        <v>583.54399999999998</v>
      </c>
      <c r="E77" s="34">
        <f t="shared" si="3"/>
        <v>77.163863323812549</v>
      </c>
      <c r="F77" s="34">
        <f t="shared" si="4"/>
        <v>-172.69600000000003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756.24</v>
      </c>
      <c r="D80" s="37">
        <v>583.54399999999998</v>
      </c>
      <c r="E80" s="38">
        <f t="shared" si="3"/>
        <v>77.163863323812549</v>
      </c>
      <c r="F80" s="38">
        <f t="shared" si="4"/>
        <v>-172.69600000000003</v>
      </c>
    </row>
    <row r="81" spans="1:6" s="6" customFormat="1">
      <c r="A81" s="30" t="s">
        <v>86</v>
      </c>
      <c r="B81" s="31" t="s">
        <v>87</v>
      </c>
      <c r="C81" s="32">
        <f>C82</f>
        <v>3714.4225999999999</v>
      </c>
      <c r="D81" s="32">
        <f>SUM(D82)</f>
        <v>2121.7614400000002</v>
      </c>
      <c r="E81" s="34">
        <f t="shared" si="3"/>
        <v>57.122241287246112</v>
      </c>
      <c r="F81" s="34">
        <f t="shared" si="4"/>
        <v>-1592.6611599999997</v>
      </c>
    </row>
    <row r="82" spans="1:6" ht="15" hidden="1" customHeight="1">
      <c r="A82" s="35" t="s">
        <v>88</v>
      </c>
      <c r="B82" s="39" t="s">
        <v>234</v>
      </c>
      <c r="C82" s="37">
        <v>3714.4225999999999</v>
      </c>
      <c r="D82" s="37">
        <v>2121.7614400000002</v>
      </c>
      <c r="E82" s="38">
        <f t="shared" si="3"/>
        <v>57.122241287246112</v>
      </c>
      <c r="F82" s="38">
        <f t="shared" si="4"/>
        <v>-1592.6611599999997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400">
        <f>C57+C65+C67+C72+C77+C81+C88+C83</f>
        <v>7476.8584799999999</v>
      </c>
      <c r="D98" s="400">
        <f>D57+D65+D67+D72+D77+D81+D88+D83</f>
        <v>5068.1413199999997</v>
      </c>
      <c r="E98" s="34">
        <f t="shared" si="3"/>
        <v>67.784368709891638</v>
      </c>
      <c r="F98" s="34">
        <f t="shared" si="4"/>
        <v>-2408.7171600000001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E271257C-1B5C-4EEE-899F-E7A422E6A72D}" hiddenRows="1" topLeftCell="A38">
      <selection activeCell="J56" sqref="J56"/>
      <pageMargins left="0.7" right="0.7" top="0.75" bottom="0.75" header="0.3" footer="0.3"/>
      <pageSetup paperSize="9" scale="52" orientation="portrait" r:id="rId1"/>
    </customSheetView>
    <customSheetView guid="{B30CE22D-C12F-4E12-8BB9-3AAE0A6991CC}" scale="70" showPageBreaks="1" hiddenRows="1" view="pageBreakPreview" topLeftCell="A25">
      <selection activeCell="E100" sqref="E10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43">
      <selection activeCell="C67" sqref="C67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5"/>
    </customSheetView>
    <customSheetView guid="{5BFCA170-DEAE-4D2C-98A0-1E68B427AC01}" showPageBreaks="1" hiddenRows="1" topLeftCell="A38">
      <selection activeCell="J56" sqref="J56"/>
      <pageMargins left="0.7" right="0.7" top="0.75" bottom="0.75" header="0.3" footer="0.3"/>
      <pageSetup paperSize="9" scale="52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7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51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00" t="s">
        <v>433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2545.75</v>
      </c>
      <c r="D4" s="5">
        <f>D5+D12+D14+D17+D7</f>
        <v>1342.9139399999999</v>
      </c>
      <c r="E4" s="5">
        <f>SUM(D4/C4*100)</f>
        <v>52.751210448787191</v>
      </c>
      <c r="F4" s="5">
        <f>SUM(D4-C4)</f>
        <v>-1202.8360600000001</v>
      </c>
    </row>
    <row r="5" spans="1:6" s="6" customFormat="1">
      <c r="A5" s="68">
        <v>1010000000</v>
      </c>
      <c r="B5" s="67" t="s">
        <v>6</v>
      </c>
      <c r="C5" s="5">
        <f>C6</f>
        <v>121.5</v>
      </c>
      <c r="D5" s="5">
        <f>D6</f>
        <v>89.151420000000002</v>
      </c>
      <c r="E5" s="5">
        <f t="shared" ref="E5:E52" si="0">SUM(D5/C5*100)</f>
        <v>73.375654320987664</v>
      </c>
      <c r="F5" s="5">
        <f t="shared" ref="F5:F52" si="1">SUM(D5-C5)</f>
        <v>-32.348579999999998</v>
      </c>
    </row>
    <row r="6" spans="1:6">
      <c r="A6" s="7">
        <v>1010200001</v>
      </c>
      <c r="B6" s="8" t="s">
        <v>229</v>
      </c>
      <c r="C6" s="9">
        <v>121.5</v>
      </c>
      <c r="D6" s="10">
        <v>89.151420000000002</v>
      </c>
      <c r="E6" s="9">
        <f t="shared" ref="E6:E11" si="2">SUM(D6/C6*100)</f>
        <v>73.375654320987664</v>
      </c>
      <c r="F6" s="9">
        <f t="shared" si="1"/>
        <v>-32.348579999999998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570.32416999999987</v>
      </c>
      <c r="E7" s="5">
        <f t="shared" si="2"/>
        <v>77.886537384772964</v>
      </c>
      <c r="F7" s="5">
        <f t="shared" si="1"/>
        <v>-161.92583000000002</v>
      </c>
    </row>
    <row r="8" spans="1:6">
      <c r="A8" s="7">
        <v>1030223001</v>
      </c>
      <c r="B8" s="8" t="s">
        <v>283</v>
      </c>
      <c r="C8" s="9">
        <v>273.13</v>
      </c>
      <c r="D8" s="10">
        <v>248.36489</v>
      </c>
      <c r="E8" s="9">
        <f t="shared" si="2"/>
        <v>90.932848826566101</v>
      </c>
      <c r="F8" s="9">
        <f t="shared" si="1"/>
        <v>-24.765109999999993</v>
      </c>
    </row>
    <row r="9" spans="1:6">
      <c r="A9" s="7">
        <v>1030224001</v>
      </c>
      <c r="B9" s="8" t="s">
        <v>289</v>
      </c>
      <c r="C9" s="9">
        <v>2.93</v>
      </c>
      <c r="D9" s="10">
        <v>2.2527200000000001</v>
      </c>
      <c r="E9" s="9">
        <f t="shared" si="2"/>
        <v>76.884641638225247</v>
      </c>
      <c r="F9" s="9">
        <f t="shared" si="1"/>
        <v>-0.6772800000000001</v>
      </c>
    </row>
    <row r="10" spans="1:6">
      <c r="A10" s="7">
        <v>1030225001</v>
      </c>
      <c r="B10" s="8" t="s">
        <v>282</v>
      </c>
      <c r="C10" s="9">
        <v>456.19</v>
      </c>
      <c r="D10" s="10">
        <v>375.33938999999998</v>
      </c>
      <c r="E10" s="9">
        <f t="shared" si="2"/>
        <v>82.276987658650995</v>
      </c>
      <c r="F10" s="9">
        <f>SUM(D10-C10)</f>
        <v>-80.850610000000017</v>
      </c>
    </row>
    <row r="11" spans="1:6">
      <c r="A11" s="7">
        <v>1030226001</v>
      </c>
      <c r="B11" s="8" t="s">
        <v>291</v>
      </c>
      <c r="C11" s="9">
        <v>0</v>
      </c>
      <c r="D11" s="10">
        <v>-55.632829999999998</v>
      </c>
      <c r="E11" s="9" t="e">
        <f t="shared" si="2"/>
        <v>#DIV/0!</v>
      </c>
      <c r="F11" s="9">
        <f>SUM(D11-C11)</f>
        <v>-55.632829999999998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21.4968</v>
      </c>
      <c r="E12" s="5">
        <f t="shared" si="0"/>
        <v>85.987200000000001</v>
      </c>
      <c r="F12" s="5">
        <f t="shared" si="1"/>
        <v>-3.5031999999999996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10">
        <v>21.4968</v>
      </c>
      <c r="E13" s="9">
        <f t="shared" si="0"/>
        <v>85.987200000000001</v>
      </c>
      <c r="F13" s="9">
        <f t="shared" si="1"/>
        <v>-3.5031999999999996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1655</v>
      </c>
      <c r="D14" s="5">
        <f>D15+D16</f>
        <v>649.25433999999996</v>
      </c>
      <c r="E14" s="5">
        <f t="shared" si="0"/>
        <v>39.229869486404837</v>
      </c>
      <c r="F14" s="5">
        <f t="shared" si="1"/>
        <v>-1005.74566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56.718710000000002</v>
      </c>
      <c r="E15" s="9">
        <f t="shared" si="0"/>
        <v>36.592716129032262</v>
      </c>
      <c r="F15" s="9">
        <f>SUM(D15-C15)</f>
        <v>-98.281289999999998</v>
      </c>
    </row>
    <row r="16" spans="1:6" ht="15.75" customHeight="1">
      <c r="A16" s="7">
        <v>1060600000</v>
      </c>
      <c r="B16" s="11" t="s">
        <v>8</v>
      </c>
      <c r="C16" s="9">
        <v>1500</v>
      </c>
      <c r="D16" s="10">
        <v>592.53562999999997</v>
      </c>
      <c r="E16" s="9">
        <f t="shared" si="0"/>
        <v>39.502375333333333</v>
      </c>
      <c r="F16" s="9">
        <f t="shared" si="1"/>
        <v>-907.46437000000003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12.68721</v>
      </c>
      <c r="E17" s="5">
        <f t="shared" si="0"/>
        <v>105.72675000000001</v>
      </c>
      <c r="F17" s="5">
        <f t="shared" si="1"/>
        <v>0.68721000000000032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12.68721</v>
      </c>
      <c r="E18" s="9">
        <f t="shared" si="0"/>
        <v>105.72675000000001</v>
      </c>
      <c r="F18" s="9">
        <f t="shared" si="1"/>
        <v>0.68721000000000032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115</v>
      </c>
      <c r="D25" s="5">
        <f>D30+D37+D26+D35</f>
        <v>105.74392999999999</v>
      </c>
      <c r="E25" s="5">
        <f t="shared" si="0"/>
        <v>91.951243478260864</v>
      </c>
      <c r="F25" s="5">
        <f t="shared" si="1"/>
        <v>-9.2560700000000082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85</v>
      </c>
      <c r="D26" s="5">
        <f>D27+D28</f>
        <v>61.579819999999998</v>
      </c>
      <c r="E26" s="5">
        <f t="shared" si="0"/>
        <v>72.446847058823522</v>
      </c>
      <c r="F26" s="5">
        <f t="shared" si="1"/>
        <v>-23.420180000000002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8.5763599999999993</v>
      </c>
      <c r="E27" s="9">
        <f t="shared" si="0"/>
        <v>28.587866666666667</v>
      </c>
      <c r="F27" s="9">
        <f t="shared" si="1"/>
        <v>-21.423639999999999</v>
      </c>
    </row>
    <row r="28" spans="1:6" ht="15.75" customHeight="1">
      <c r="A28" s="7">
        <v>1110503510</v>
      </c>
      <c r="B28" s="11" t="s">
        <v>225</v>
      </c>
      <c r="C28" s="12">
        <v>55</v>
      </c>
      <c r="D28" s="10">
        <v>53.003459999999997</v>
      </c>
      <c r="E28" s="9">
        <f t="shared" si="0"/>
        <v>96.369927272727267</v>
      </c>
      <c r="F28" s="9">
        <f t="shared" si="1"/>
        <v>-1.9965400000000031</v>
      </c>
    </row>
    <row r="29" spans="1:6" ht="15.75" customHeight="1">
      <c r="A29" s="7">
        <v>1110532510</v>
      </c>
      <c r="B29" s="11" t="s">
        <v>362</v>
      </c>
      <c r="C29" s="12">
        <v>0</v>
      </c>
      <c r="D29" s="246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30</v>
      </c>
      <c r="D30" s="5">
        <f>D31</f>
        <v>30.340229999999998</v>
      </c>
      <c r="E30" s="5">
        <f t="shared" si="0"/>
        <v>101.1341</v>
      </c>
      <c r="F30" s="5">
        <f t="shared" si="1"/>
        <v>0.34022999999999826</v>
      </c>
    </row>
    <row r="31" spans="1:6" ht="17.25" customHeight="1">
      <c r="A31" s="7">
        <v>1130206005</v>
      </c>
      <c r="B31" s="8" t="s">
        <v>224</v>
      </c>
      <c r="C31" s="9">
        <v>30</v>
      </c>
      <c r="D31" s="10">
        <v>30.340229999999998</v>
      </c>
      <c r="E31" s="9">
        <f t="shared" si="0"/>
        <v>101.1341</v>
      </c>
      <c r="F31" s="9">
        <f t="shared" si="1"/>
        <v>0.34022999999999826</v>
      </c>
    </row>
    <row r="32" spans="1:6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12.99113</v>
      </c>
      <c r="E35" s="5" t="e">
        <f>SUM(D35/C35*100)</f>
        <v>#DIV/0!</v>
      </c>
      <c r="F35" s="5">
        <f>SUM(D35-C35)</f>
        <v>12.99113</v>
      </c>
    </row>
    <row r="36" spans="1:7" ht="47.25">
      <c r="A36" s="7">
        <v>1163305010</v>
      </c>
      <c r="B36" s="8" t="s">
        <v>268</v>
      </c>
      <c r="C36" s="9">
        <v>0</v>
      </c>
      <c r="D36" s="10">
        <v>12.99113</v>
      </c>
      <c r="E36" s="9" t="e">
        <f>SUM(D36/C36*100)</f>
        <v>#DIV/0!</v>
      </c>
      <c r="F36" s="9">
        <f>SUM(D36-C36)</f>
        <v>12.99113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0.83274999999999999</v>
      </c>
      <c r="E37" s="5" t="e">
        <f t="shared" si="0"/>
        <v>#DIV/0!</v>
      </c>
      <c r="F37" s="5">
        <f t="shared" si="1"/>
        <v>0.83274999999999999</v>
      </c>
    </row>
    <row r="38" spans="1:7">
      <c r="A38" s="7">
        <v>1170105010</v>
      </c>
      <c r="B38" s="8" t="s">
        <v>18</v>
      </c>
      <c r="C38" s="9">
        <v>0</v>
      </c>
      <c r="D38" s="9">
        <v>0.83274999999999999</v>
      </c>
      <c r="E38" s="9" t="e">
        <f t="shared" si="0"/>
        <v>#DIV/0!</v>
      </c>
      <c r="F38" s="9">
        <f t="shared" si="1"/>
        <v>0.83274999999999999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2660.75</v>
      </c>
      <c r="D40" s="127">
        <f>D4+D25</f>
        <v>1448.65787</v>
      </c>
      <c r="E40" s="5">
        <f t="shared" si="0"/>
        <v>54.445471013811897</v>
      </c>
      <c r="F40" s="5">
        <f t="shared" si="1"/>
        <v>-1212.09213</v>
      </c>
    </row>
    <row r="41" spans="1:7" s="6" customFormat="1">
      <c r="A41" s="3">
        <v>2000000000</v>
      </c>
      <c r="B41" s="4" t="s">
        <v>20</v>
      </c>
      <c r="C41" s="345">
        <f>C42+C44+C45+C47+C48+C49+C43+C51</f>
        <v>6034.7284900000004</v>
      </c>
      <c r="D41" s="345">
        <f>D42+D44+D45+D47+D48+D49+D43+D51</f>
        <v>4469.1988000000001</v>
      </c>
      <c r="E41" s="5">
        <f t="shared" si="0"/>
        <v>74.057992955371546</v>
      </c>
      <c r="F41" s="5">
        <f t="shared" si="1"/>
        <v>-1565.5296900000003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20">
        <v>1381.5889999999999</v>
      </c>
      <c r="E42" s="9">
        <f t="shared" si="0"/>
        <v>75.862589660619832</v>
      </c>
      <c r="F42" s="9">
        <f t="shared" si="1"/>
        <v>-439.58400000000006</v>
      </c>
    </row>
    <row r="43" spans="1:7" ht="17.25" customHeight="1">
      <c r="A43" s="16">
        <v>2021500200</v>
      </c>
      <c r="B43" s="17" t="s">
        <v>232</v>
      </c>
      <c r="C43" s="12">
        <v>154.66300000000001</v>
      </c>
      <c r="D43" s="20">
        <v>0</v>
      </c>
      <c r="E43" s="9">
        <f t="shared" si="0"/>
        <v>0</v>
      </c>
      <c r="F43" s="9">
        <f t="shared" si="1"/>
        <v>-154.66300000000001</v>
      </c>
    </row>
    <row r="44" spans="1:7">
      <c r="A44" s="16">
        <v>2022000000</v>
      </c>
      <c r="B44" s="17" t="s">
        <v>22</v>
      </c>
      <c r="C44" s="12">
        <v>3239.2814899999998</v>
      </c>
      <c r="D44" s="10">
        <v>2271.9996999999998</v>
      </c>
      <c r="E44" s="9">
        <f t="shared" si="0"/>
        <v>70.139001720409297</v>
      </c>
      <c r="F44" s="9">
        <f t="shared" si="1"/>
        <v>-967.28179</v>
      </c>
    </row>
    <row r="45" spans="1:7" ht="15.75" customHeight="1">
      <c r="A45" s="16">
        <v>2023000000</v>
      </c>
      <c r="B45" s="17" t="s">
        <v>23</v>
      </c>
      <c r="C45" s="12">
        <v>155.91800000000001</v>
      </c>
      <c r="D45" s="252">
        <v>151.9171</v>
      </c>
      <c r="E45" s="9">
        <f t="shared" si="0"/>
        <v>97.43397170307469</v>
      </c>
      <c r="F45" s="9">
        <f t="shared" si="1"/>
        <v>-4.0009000000000015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29">
        <v>663.69299999999998</v>
      </c>
      <c r="D51" s="330">
        <v>663.69299999999998</v>
      </c>
      <c r="E51" s="9">
        <f t="shared" si="0"/>
        <v>100</v>
      </c>
      <c r="F51" s="9">
        <f t="shared" si="1"/>
        <v>0</v>
      </c>
    </row>
    <row r="52" spans="1:7" s="6" customFormat="1">
      <c r="A52" s="3"/>
      <c r="B52" s="4" t="s">
        <v>28</v>
      </c>
      <c r="C52" s="396">
        <f>SUM(C40,C41,C50)</f>
        <v>8695.4784900000013</v>
      </c>
      <c r="D52" s="397">
        <f>D40+D41</f>
        <v>5917.8566700000001</v>
      </c>
      <c r="E52" s="5">
        <f t="shared" si="0"/>
        <v>68.056711045926576</v>
      </c>
      <c r="F52" s="5">
        <f t="shared" si="1"/>
        <v>-2777.6218200000012</v>
      </c>
      <c r="G52" s="94"/>
    </row>
    <row r="53" spans="1:7" s="6" customFormat="1">
      <c r="A53" s="3"/>
      <c r="B53" s="21" t="s">
        <v>321</v>
      </c>
      <c r="C53" s="398">
        <f>C52-C99</f>
        <v>-2198.5853299999981</v>
      </c>
      <c r="D53" s="398">
        <f>D52-D99</f>
        <v>-1502.1787899999999</v>
      </c>
      <c r="E53" s="22"/>
      <c r="F53" s="22"/>
    </row>
    <row r="54" spans="1:7" ht="32.25" customHeight="1">
      <c r="A54" s="23"/>
      <c r="B54" s="24"/>
      <c r="C54" s="248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413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1309.998</v>
      </c>
      <c r="D57" s="33">
        <f>D58+D59+D60+D61+D62+D64+D63</f>
        <v>810.92173000000003</v>
      </c>
      <c r="E57" s="34">
        <f>SUM(D57/C57*100)</f>
        <v>61.902516645063578</v>
      </c>
      <c r="F57" s="34">
        <f>SUM(D57-C57)</f>
        <v>-499.07627000000002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794.11473000000001</v>
      </c>
      <c r="E59" s="38">
        <f t="shared" ref="E59:E99" si="3">SUM(D59/C59*100)</f>
        <v>61.862696340890558</v>
      </c>
      <c r="F59" s="38">
        <f t="shared" ref="F59:F99" si="4">SUM(D59-C59)</f>
        <v>-489.55826999999999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21.324999999999999</v>
      </c>
      <c r="D64" s="37">
        <v>16.806999999999999</v>
      </c>
      <c r="E64" s="38">
        <f t="shared" si="3"/>
        <v>78.813599062133648</v>
      </c>
      <c r="F64" s="38">
        <f t="shared" si="4"/>
        <v>-4.5180000000000007</v>
      </c>
    </row>
    <row r="65" spans="1:7" s="6" customFormat="1">
      <c r="A65" s="41" t="s">
        <v>46</v>
      </c>
      <c r="B65" s="42" t="s">
        <v>47</v>
      </c>
      <c r="C65" s="32">
        <f>C66</f>
        <v>150.88</v>
      </c>
      <c r="D65" s="32">
        <f>D66</f>
        <v>123.18142</v>
      </c>
      <c r="E65" s="34">
        <f t="shared" si="3"/>
        <v>81.641980381760348</v>
      </c>
      <c r="F65" s="34">
        <f t="shared" si="4"/>
        <v>-27.698579999999993</v>
      </c>
    </row>
    <row r="66" spans="1:7">
      <c r="A66" s="43" t="s">
        <v>48</v>
      </c>
      <c r="B66" s="44" t="s">
        <v>49</v>
      </c>
      <c r="C66" s="37">
        <v>150.88</v>
      </c>
      <c r="D66" s="37">
        <v>123.18142</v>
      </c>
      <c r="E66" s="38">
        <f t="shared" si="3"/>
        <v>81.641980381760348</v>
      </c>
      <c r="F66" s="38">
        <f t="shared" si="4"/>
        <v>-27.698579999999993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43.72813</v>
      </c>
      <c r="D67" s="32">
        <f>D71+D70</f>
        <v>5.7750000000000004</v>
      </c>
      <c r="E67" s="34">
        <f t="shared" si="3"/>
        <v>13.206601791569867</v>
      </c>
      <c r="F67" s="34">
        <f t="shared" si="4"/>
        <v>-37.953130000000002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8</v>
      </c>
      <c r="D71" s="37">
        <v>5.7750000000000004</v>
      </c>
      <c r="E71" s="34">
        <f t="shared" si="3"/>
        <v>72.1875</v>
      </c>
      <c r="F71" s="34">
        <f t="shared" si="4"/>
        <v>-2.2249999999999996</v>
      </c>
    </row>
    <row r="72" spans="1:7" ht="15.75" customHeight="1">
      <c r="A72" s="46" t="s">
        <v>360</v>
      </c>
      <c r="B72" s="47" t="s">
        <v>363</v>
      </c>
      <c r="C72" s="37">
        <v>33.72813</v>
      </c>
      <c r="D72" s="37">
        <v>0</v>
      </c>
      <c r="E72" s="34">
        <f>SUM(D72/C72*100)</f>
        <v>0</v>
      </c>
      <c r="F72" s="34">
        <f>SUM(D72-C72)</f>
        <v>-33.72813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5740.15769</v>
      </c>
      <c r="D73" s="48">
        <f>SUM(D74:D77)</f>
        <v>3848.5074300000001</v>
      </c>
      <c r="E73" s="34">
        <f t="shared" si="3"/>
        <v>67.045325892432061</v>
      </c>
      <c r="F73" s="34">
        <f t="shared" si="4"/>
        <v>-1891.6502599999999</v>
      </c>
    </row>
    <row r="74" spans="1:7" ht="16.5" customHeight="1">
      <c r="A74" s="35" t="s">
        <v>60</v>
      </c>
      <c r="B74" s="39" t="s">
        <v>61</v>
      </c>
      <c r="C74" s="49">
        <v>12.5</v>
      </c>
      <c r="D74" s="37">
        <v>3.75</v>
      </c>
      <c r="E74" s="38">
        <f t="shared" si="3"/>
        <v>30</v>
      </c>
      <c r="F74" s="38">
        <f t="shared" si="4"/>
        <v>-8.75</v>
      </c>
    </row>
    <row r="75" spans="1:7" s="6" customFormat="1" ht="17.25" customHeight="1">
      <c r="A75" s="35" t="s">
        <v>62</v>
      </c>
      <c r="B75" s="39" t="s">
        <v>63</v>
      </c>
      <c r="C75" s="49">
        <v>425.35199999999998</v>
      </c>
      <c r="D75" s="37">
        <v>50</v>
      </c>
      <c r="E75" s="38">
        <f t="shared" si="3"/>
        <v>11.754970001316558</v>
      </c>
      <c r="F75" s="38">
        <f t="shared" si="4"/>
        <v>-375.35199999999998</v>
      </c>
      <c r="G75" s="50"/>
    </row>
    <row r="76" spans="1:7" ht="18" customHeight="1">
      <c r="A76" s="35" t="s">
        <v>64</v>
      </c>
      <c r="B76" s="39" t="s">
        <v>65</v>
      </c>
      <c r="C76" s="49">
        <v>5051.3646900000003</v>
      </c>
      <c r="D76" s="37">
        <v>3730.4002300000002</v>
      </c>
      <c r="E76" s="38">
        <f t="shared" si="3"/>
        <v>73.849354757238885</v>
      </c>
      <c r="F76" s="38">
        <f t="shared" si="4"/>
        <v>-1320.9644600000001</v>
      </c>
    </row>
    <row r="77" spans="1:7">
      <c r="A77" s="35" t="s">
        <v>66</v>
      </c>
      <c r="B77" s="39" t="s">
        <v>67</v>
      </c>
      <c r="C77" s="49">
        <v>250.941</v>
      </c>
      <c r="D77" s="37">
        <v>64.357200000000006</v>
      </c>
      <c r="E77" s="38">
        <f t="shared" si="3"/>
        <v>25.646347149329923</v>
      </c>
      <c r="F77" s="38">
        <f t="shared" si="4"/>
        <v>-186.5838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513.27499999999998</v>
      </c>
      <c r="D78" s="32">
        <f>SUM(D79:D81)</f>
        <v>325.37968000000001</v>
      </c>
      <c r="E78" s="34">
        <f t="shared" si="3"/>
        <v>63.392855681652136</v>
      </c>
      <c r="F78" s="34">
        <f t="shared" si="4"/>
        <v>-187.89531999999997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513.27499999999998</v>
      </c>
      <c r="D81" s="37">
        <v>325.37968000000001</v>
      </c>
      <c r="E81" s="38">
        <f>SUM(D81/C81*100)</f>
        <v>63.392855681652136</v>
      </c>
      <c r="F81" s="38">
        <f t="shared" si="4"/>
        <v>-187.89531999999997</v>
      </c>
    </row>
    <row r="82" spans="1:6" s="6" customFormat="1" hidden="1">
      <c r="A82" s="30" t="s">
        <v>86</v>
      </c>
      <c r="B82" s="31" t="s">
        <v>87</v>
      </c>
      <c r="C82" s="32">
        <f>C83</f>
        <v>3080.5250000000001</v>
      </c>
      <c r="D82" s="32">
        <f>D83</f>
        <v>2263.9481999999998</v>
      </c>
      <c r="E82" s="34">
        <f t="shared" si="3"/>
        <v>73.492284594346728</v>
      </c>
      <c r="F82" s="34">
        <f t="shared" si="4"/>
        <v>-816.57680000000028</v>
      </c>
    </row>
    <row r="83" spans="1:6" ht="18.75" hidden="1" customHeight="1">
      <c r="A83" s="35" t="s">
        <v>88</v>
      </c>
      <c r="B83" s="39" t="s">
        <v>234</v>
      </c>
      <c r="C83" s="37">
        <v>3080.5250000000001</v>
      </c>
      <c r="D83" s="37">
        <v>2263.9481999999998</v>
      </c>
      <c r="E83" s="38">
        <f t="shared" si="3"/>
        <v>73.492284594346728</v>
      </c>
      <c r="F83" s="38">
        <f t="shared" si="4"/>
        <v>-816.57680000000028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55.5</v>
      </c>
      <c r="D89" s="32">
        <f>D90+D91+D92+D93+D94</f>
        <v>42.322000000000003</v>
      </c>
      <c r="E89" s="38">
        <f t="shared" si="3"/>
        <v>76.255855855855856</v>
      </c>
      <c r="F89" s="22">
        <f>F90+F91+F92+F93+F94</f>
        <v>-13.177999999999997</v>
      </c>
    </row>
    <row r="90" spans="1:6" ht="17.25" customHeight="1">
      <c r="A90" s="35" t="s">
        <v>97</v>
      </c>
      <c r="B90" s="39" t="s">
        <v>98</v>
      </c>
      <c r="C90" s="37">
        <v>55.5</v>
      </c>
      <c r="D90" s="37">
        <v>42.322000000000003</v>
      </c>
      <c r="E90" s="38">
        <f t="shared" si="3"/>
        <v>76.255855855855856</v>
      </c>
      <c r="F90" s="38">
        <f>SUM(D90-C90)</f>
        <v>-13.177999999999997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5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1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400">
        <f>C57+C65+C67+C73+C78+C82+C84+C89+C95</f>
        <v>10894.063819999999</v>
      </c>
      <c r="D99" s="400">
        <f>D57+D65+D67+D73+D78+D82+D84+D89+D95</f>
        <v>7420.0354600000001</v>
      </c>
      <c r="E99" s="34">
        <f t="shared" si="3"/>
        <v>68.110813215338766</v>
      </c>
      <c r="F99" s="34">
        <f t="shared" si="4"/>
        <v>-3474.0283599999993</v>
      </c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E271257C-1B5C-4EEE-899F-E7A422E6A72D}" hiddenRows="1" topLeftCell="A51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0CE22D-C12F-4E12-8BB9-3AAE0A6991CC}" scale="70" showPageBreaks="1" printArea="1" hiddenRows="1" view="pageBreakPreview" topLeftCell="A31">
      <selection activeCell="D77" sqref="D7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57">
      <selection activeCell="D99" sqref="D99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5"/>
    </customSheetView>
    <customSheetView guid="{5BFCA170-DEAE-4D2C-98A0-1E68B427AC01}" showPageBreaks="1" printArea="1" hiddenRows="1" topLeftCell="A51">
      <selection activeCell="B100" sqref="B100"/>
      <pageMargins left="0.7" right="0.7" top="0.75" bottom="0.75" header="0.3" footer="0.3"/>
      <pageSetup paperSize="9" scale="54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7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abSelected="1" zoomScaleNormal="100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00" t="s">
        <v>415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1770.1619999999998</v>
      </c>
      <c r="D4" s="5">
        <f>D5+D12+D14+D17+D7</f>
        <v>940.44700999999986</v>
      </c>
      <c r="E4" s="5">
        <f>SUM(D4/C4*100)</f>
        <v>53.127736896397046</v>
      </c>
      <c r="F4" s="5">
        <f>SUM(D4-C4)</f>
        <v>-829.71498999999994</v>
      </c>
    </row>
    <row r="5" spans="1:6" s="6" customFormat="1">
      <c r="A5" s="3">
        <v>1010000000</v>
      </c>
      <c r="B5" s="4" t="s">
        <v>6</v>
      </c>
      <c r="C5" s="5">
        <f>C6</f>
        <v>101.6</v>
      </c>
      <c r="D5" s="5">
        <f>D6</f>
        <v>72.913489999999996</v>
      </c>
      <c r="E5" s="5">
        <f t="shared" ref="E5:E48" si="0">SUM(D5/C5*100)</f>
        <v>71.765246062992134</v>
      </c>
      <c r="F5" s="5">
        <f t="shared" ref="F5:F48" si="1">SUM(D5-C5)</f>
        <v>-28.686509999999998</v>
      </c>
    </row>
    <row r="6" spans="1:6">
      <c r="A6" s="7">
        <v>1010200001</v>
      </c>
      <c r="B6" s="8" t="s">
        <v>229</v>
      </c>
      <c r="C6" s="9">
        <v>101.6</v>
      </c>
      <c r="D6" s="10">
        <v>72.913489999999996</v>
      </c>
      <c r="E6" s="9">
        <f t="shared" ref="E6:E11" si="2">SUM(D6/C6*100)</f>
        <v>71.765246062992134</v>
      </c>
      <c r="F6" s="9">
        <f t="shared" si="1"/>
        <v>-28.686509999999998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327.56229999999999</v>
      </c>
      <c r="E7" s="5">
        <f t="shared" si="2"/>
        <v>77.887174243865317</v>
      </c>
      <c r="F7" s="5">
        <f t="shared" si="1"/>
        <v>-92.997700000000009</v>
      </c>
    </row>
    <row r="8" spans="1:6">
      <c r="A8" s="7">
        <v>1030223001</v>
      </c>
      <c r="B8" s="8" t="s">
        <v>283</v>
      </c>
      <c r="C8" s="9">
        <v>156.87</v>
      </c>
      <c r="D8" s="10">
        <v>142.64689000000001</v>
      </c>
      <c r="E8" s="9">
        <f t="shared" si="2"/>
        <v>90.933186715114431</v>
      </c>
      <c r="F8" s="9">
        <f t="shared" si="1"/>
        <v>-14.223109999999991</v>
      </c>
    </row>
    <row r="9" spans="1:6">
      <c r="A9" s="7">
        <v>1030224001</v>
      </c>
      <c r="B9" s="8" t="s">
        <v>289</v>
      </c>
      <c r="C9" s="9">
        <v>1.68</v>
      </c>
      <c r="D9" s="10">
        <v>1.29386</v>
      </c>
      <c r="E9" s="9">
        <f t="shared" si="2"/>
        <v>77.015476190476193</v>
      </c>
      <c r="F9" s="9">
        <f t="shared" si="1"/>
        <v>-0.38613999999999993</v>
      </c>
    </row>
    <row r="10" spans="1:6">
      <c r="A10" s="7">
        <v>1030225001</v>
      </c>
      <c r="B10" s="8" t="s">
        <v>282</v>
      </c>
      <c r="C10" s="9">
        <v>262.01</v>
      </c>
      <c r="D10" s="10">
        <v>215.57393999999999</v>
      </c>
      <c r="E10" s="9">
        <f t="shared" si="2"/>
        <v>82.27698942788443</v>
      </c>
      <c r="F10" s="9">
        <f t="shared" si="1"/>
        <v>-46.436059999999998</v>
      </c>
    </row>
    <row r="11" spans="1:6">
      <c r="A11" s="7">
        <v>1030226001</v>
      </c>
      <c r="B11" s="8" t="s">
        <v>291</v>
      </c>
      <c r="C11" s="9">
        <v>0</v>
      </c>
      <c r="D11" s="10">
        <v>-31.952390000000001</v>
      </c>
      <c r="E11" s="9" t="e">
        <f t="shared" si="2"/>
        <v>#DIV/0!</v>
      </c>
      <c r="F11" s="9">
        <f t="shared" si="1"/>
        <v>-31.952390000000001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1235</v>
      </c>
      <c r="D14" s="5">
        <f>D15+D16</f>
        <v>536.73641999999995</v>
      </c>
      <c r="E14" s="5">
        <f t="shared" si="0"/>
        <v>43.460438866396757</v>
      </c>
      <c r="F14" s="5">
        <f t="shared" si="1"/>
        <v>-698.26358000000005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42.747839999999997</v>
      </c>
      <c r="E15" s="9">
        <f t="shared" si="0"/>
        <v>18.190570212765955</v>
      </c>
      <c r="F15" s="9">
        <f>SUM(D15-C15)</f>
        <v>-192.25216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493.98858000000001</v>
      </c>
      <c r="E16" s="9">
        <f t="shared" si="0"/>
        <v>49.398858000000004</v>
      </c>
      <c r="F16" s="9">
        <f t="shared" si="1"/>
        <v>-506.01141999999999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3.1309999999999998</v>
      </c>
      <c r="E17" s="5">
        <f t="shared" si="0"/>
        <v>39.127718070482373</v>
      </c>
      <c r="F17" s="5">
        <f t="shared" si="1"/>
        <v>-4.8710000000000004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3.1309999999999998</v>
      </c>
      <c r="E18" s="9">
        <f t="shared" si="0"/>
        <v>39.127718070482373</v>
      </c>
      <c r="F18" s="9">
        <f t="shared" si="1"/>
        <v>-4.8710000000000004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100</v>
      </c>
      <c r="D25" s="5">
        <f>D26+D29+D31+D34</f>
        <v>105.14712</v>
      </c>
      <c r="E25" s="5">
        <f t="shared" si="0"/>
        <v>105.14712</v>
      </c>
      <c r="F25" s="5">
        <f t="shared" si="1"/>
        <v>5.147120000000001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100</v>
      </c>
      <c r="D26" s="5">
        <f>D27+D28+D30</f>
        <v>105.14712</v>
      </c>
      <c r="E26" s="5">
        <f t="shared" si="0"/>
        <v>105.14712</v>
      </c>
      <c r="F26" s="5">
        <f t="shared" si="1"/>
        <v>5.147120000000001</v>
      </c>
    </row>
    <row r="27" spans="1:6" ht="15" customHeight="1">
      <c r="A27" s="16">
        <v>1110502510</v>
      </c>
      <c r="B27" s="17" t="s">
        <v>226</v>
      </c>
      <c r="C27" s="12">
        <v>100</v>
      </c>
      <c r="D27" s="10">
        <v>105.14712</v>
      </c>
      <c r="E27" s="5">
        <f t="shared" si="0"/>
        <v>105.14712</v>
      </c>
      <c r="F27" s="9">
        <f t="shared" si="1"/>
        <v>5.147120000000001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1870.1619999999998</v>
      </c>
      <c r="D37" s="127">
        <f>D4+D25</f>
        <v>1045.59413</v>
      </c>
      <c r="E37" s="5">
        <f t="shared" si="0"/>
        <v>55.90928112110074</v>
      </c>
      <c r="F37" s="5">
        <f t="shared" si="1"/>
        <v>-824.56786999999986</v>
      </c>
    </row>
    <row r="38" spans="1:8" s="6" customFormat="1">
      <c r="A38" s="3">
        <v>2000000000</v>
      </c>
      <c r="B38" s="4" t="s">
        <v>20</v>
      </c>
      <c r="C38" s="5">
        <f>C39+C41+C42+C44+C45+C46+C40</f>
        <v>7391.1859999999988</v>
      </c>
      <c r="D38" s="5">
        <f>D39+D41+D42+D44+D45+D46+D40</f>
        <v>2121.1322</v>
      </c>
      <c r="E38" s="5">
        <f t="shared" si="0"/>
        <v>28.698130448888719</v>
      </c>
      <c r="F38" s="5">
        <f t="shared" si="1"/>
        <v>-5270.0537999999988</v>
      </c>
      <c r="G38" s="19"/>
    </row>
    <row r="39" spans="1:8">
      <c r="A39" s="16">
        <v>2021000000</v>
      </c>
      <c r="B39" s="17" t="s">
        <v>21</v>
      </c>
      <c r="C39" s="12">
        <f>940.2+34.871</f>
        <v>975.07100000000003</v>
      </c>
      <c r="D39" s="20">
        <v>767.09</v>
      </c>
      <c r="E39" s="9">
        <f t="shared" si="0"/>
        <v>78.670168633873843</v>
      </c>
      <c r="F39" s="9">
        <f t="shared" si="1"/>
        <v>-207.98099999999999</v>
      </c>
    </row>
    <row r="40" spans="1:8" ht="15.75" customHeight="1">
      <c r="A40" s="16">
        <v>2021500200</v>
      </c>
      <c r="B40" s="17" t="s">
        <v>232</v>
      </c>
      <c r="C40" s="12">
        <v>584</v>
      </c>
      <c r="D40" s="20">
        <v>584</v>
      </c>
      <c r="E40" s="9">
        <f t="shared" si="0"/>
        <v>100</v>
      </c>
      <c r="F40" s="9">
        <f t="shared" si="1"/>
        <v>0</v>
      </c>
    </row>
    <row r="41" spans="1:8">
      <c r="A41" s="16">
        <v>2022000000</v>
      </c>
      <c r="B41" s="17" t="s">
        <v>22</v>
      </c>
      <c r="C41" s="12">
        <v>5457.0300900000002</v>
      </c>
      <c r="D41" s="10">
        <v>449.45</v>
      </c>
      <c r="E41" s="9">
        <f t="shared" si="0"/>
        <v>8.2361649576317433</v>
      </c>
      <c r="F41" s="9">
        <f t="shared" si="1"/>
        <v>-5007.5800900000004</v>
      </c>
    </row>
    <row r="42" spans="1:8" ht="13.5" customHeight="1">
      <c r="A42" s="16">
        <v>2023000000</v>
      </c>
      <c r="B42" s="17" t="s">
        <v>23</v>
      </c>
      <c r="C42" s="12">
        <v>74.096000000000004</v>
      </c>
      <c r="D42" s="252">
        <v>72.670199999999994</v>
      </c>
      <c r="E42" s="9">
        <f t="shared" si="0"/>
        <v>98.075739581083994</v>
      </c>
      <c r="F42" s="9">
        <f t="shared" si="1"/>
        <v>-1.4258000000000095</v>
      </c>
    </row>
    <row r="43" spans="1:8" hidden="1">
      <c r="A43" s="16">
        <v>2070503010</v>
      </c>
      <c r="B43" s="17" t="s">
        <v>271</v>
      </c>
      <c r="C43" s="12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8">
      <c r="A44" s="16">
        <v>2020400000</v>
      </c>
      <c r="B44" s="17" t="s">
        <v>24</v>
      </c>
      <c r="C44" s="12">
        <v>46.06691</v>
      </c>
      <c r="D44" s="253">
        <v>0</v>
      </c>
      <c r="E44" s="9">
        <f t="shared" si="0"/>
        <v>0</v>
      </c>
      <c r="F44" s="9">
        <f t="shared" si="1"/>
        <v>-46.06691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3">
        <v>247.922</v>
      </c>
      <c r="E45" s="9">
        <v>922</v>
      </c>
      <c r="F45" s="9">
        <f t="shared" si="1"/>
        <v>-7</v>
      </c>
      <c r="G45" s="359"/>
      <c r="H45" s="359"/>
    </row>
    <row r="46" spans="1:8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94">
        <f>SUM(C37,C38,C47)</f>
        <v>9261.3479999999981</v>
      </c>
      <c r="D48" s="395">
        <f>D37+D38</f>
        <v>3166.72633</v>
      </c>
      <c r="E48" s="5">
        <f t="shared" si="0"/>
        <v>34.192930985856492</v>
      </c>
      <c r="F48" s="5">
        <f t="shared" si="1"/>
        <v>-6094.6216699999986</v>
      </c>
      <c r="G48" s="295"/>
    </row>
    <row r="49" spans="1:6" s="6" customFormat="1">
      <c r="A49" s="3"/>
      <c r="B49" s="21" t="s">
        <v>321</v>
      </c>
      <c r="C49" s="396">
        <f>C48-C94</f>
        <v>-53.65987000000132</v>
      </c>
      <c r="D49" s="396">
        <f>D48-D94</f>
        <v>367.05465000000004</v>
      </c>
      <c r="E49" s="22"/>
      <c r="F49" s="22"/>
    </row>
    <row r="50" spans="1:6" ht="23.25" customHeight="1">
      <c r="A50" s="23"/>
      <c r="B50" s="24"/>
      <c r="C50" s="328"/>
      <c r="D50" s="328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413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1308.865</v>
      </c>
      <c r="D53" s="32">
        <f>D54+D55+D56+D57+D58+D60+D59</f>
        <v>895.66387000000009</v>
      </c>
      <c r="E53" s="34">
        <f>SUM(D53/C53*100)</f>
        <v>68.430576873856367</v>
      </c>
      <c r="F53" s="34">
        <f>SUM(D53-C53)</f>
        <v>-413.20112999999992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1295.6110000000001</v>
      </c>
      <c r="D55" s="37">
        <v>892.44987000000003</v>
      </c>
      <c r="E55" s="38">
        <f t="shared" ref="E55:E94" si="3">SUM(D55/C55*100)</f>
        <v>68.882548079631917</v>
      </c>
      <c r="F55" s="38">
        <f t="shared" ref="F55:F94" si="4">SUM(D55-C55)</f>
        <v>-403.16113000000007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8.2539999999999996</v>
      </c>
      <c r="D60" s="37">
        <v>3.214</v>
      </c>
      <c r="E60" s="38">
        <f t="shared" si="3"/>
        <v>38.938696389629271</v>
      </c>
      <c r="F60" s="38">
        <f t="shared" si="4"/>
        <v>-5.0399999999999991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60.032769999999999</v>
      </c>
      <c r="E61" s="34">
        <f t="shared" si="3"/>
        <v>85.037070088956881</v>
      </c>
      <c r="F61" s="34">
        <f t="shared" si="4"/>
        <v>-10.563230000000004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60.032769999999999</v>
      </c>
      <c r="E62" s="38">
        <f t="shared" si="3"/>
        <v>85.037070088956881</v>
      </c>
      <c r="F62" s="38">
        <f t="shared" si="4"/>
        <v>-10.563230000000004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30.7</v>
      </c>
      <c r="D63" s="32">
        <f>D67+D66</f>
        <v>14.436</v>
      </c>
      <c r="E63" s="34">
        <f t="shared" si="3"/>
        <v>47.022801302931597</v>
      </c>
      <c r="F63" s="34">
        <f t="shared" si="4"/>
        <v>-16.263999999999999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15.7</v>
      </c>
      <c r="D67" s="37">
        <v>14.436</v>
      </c>
      <c r="E67" s="34">
        <f t="shared" si="3"/>
        <v>91.949044585987266</v>
      </c>
      <c r="F67" s="34">
        <f t="shared" si="4"/>
        <v>-1.2639999999999993</v>
      </c>
    </row>
    <row r="68" spans="1:7" s="6" customFormat="1">
      <c r="A68" s="30" t="s">
        <v>58</v>
      </c>
      <c r="B68" s="31" t="s">
        <v>59</v>
      </c>
      <c r="C68" s="48">
        <f>SUM(C69:C72)</f>
        <v>2092.9008699999999</v>
      </c>
      <c r="D68" s="48">
        <f>SUM(D69:D72)</f>
        <v>1026.45552</v>
      </c>
      <c r="E68" s="34">
        <f t="shared" si="3"/>
        <v>49.04463153097165</v>
      </c>
      <c r="F68" s="34">
        <f t="shared" si="4"/>
        <v>-1066.44535</v>
      </c>
    </row>
    <row r="69" spans="1:7" ht="15" customHeight="1">
      <c r="A69" s="35" t="s">
        <v>60</v>
      </c>
      <c r="B69" s="39" t="s">
        <v>61</v>
      </c>
      <c r="C69" s="49">
        <v>11.25</v>
      </c>
      <c r="D69" s="37">
        <v>7.5</v>
      </c>
      <c r="E69" s="38">
        <f t="shared" si="3"/>
        <v>66.666666666666657</v>
      </c>
      <c r="F69" s="38">
        <f t="shared" si="4"/>
        <v>-3.75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v>1972.7388699999999</v>
      </c>
      <c r="D71" s="37">
        <v>910.04409999999996</v>
      </c>
      <c r="E71" s="38">
        <f t="shared" si="3"/>
        <v>46.130996546947948</v>
      </c>
      <c r="F71" s="38">
        <f t="shared" si="4"/>
        <v>-1062.6947700000001</v>
      </c>
    </row>
    <row r="72" spans="1:7">
      <c r="A72" s="35" t="s">
        <v>66</v>
      </c>
      <c r="B72" s="39" t="s">
        <v>67</v>
      </c>
      <c r="C72" s="49">
        <v>33.81</v>
      </c>
      <c r="D72" s="37">
        <v>33.81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462.44600000000003</v>
      </c>
      <c r="D73" s="32">
        <f>SUM(D75:D76)</f>
        <v>278.99752000000001</v>
      </c>
      <c r="E73" s="34">
        <f t="shared" si="3"/>
        <v>60.330832140401256</v>
      </c>
      <c r="F73" s="34">
        <f t="shared" si="4"/>
        <v>-183.44848000000002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264.44600000000003</v>
      </c>
      <c r="D76" s="37">
        <v>80.997519999999994</v>
      </c>
      <c r="E76" s="38">
        <f>SUM(D76/C76*100)</f>
        <v>30.629134114337138</v>
      </c>
      <c r="F76" s="38">
        <f t="shared" si="4"/>
        <v>-183.44848000000002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522.07100000000003</v>
      </c>
      <c r="E77" s="34">
        <f t="shared" si="3"/>
        <v>9.7683787070820465</v>
      </c>
      <c r="F77" s="34">
        <f t="shared" si="4"/>
        <v>-4822.4290000000001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522.07100000000003</v>
      </c>
      <c r="E78" s="38">
        <f t="shared" si="3"/>
        <v>9.7683787070820465</v>
      </c>
      <c r="F78" s="38">
        <f t="shared" si="4"/>
        <v>-4822.4290000000001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hidden="1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48">
        <v>5</v>
      </c>
      <c r="D85" s="348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48"/>
      <c r="D86" s="348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8"/>
      <c r="D87" s="348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8"/>
      <c r="D88" s="348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8"/>
      <c r="D89" s="348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49">
        <f>C91+C92+C93</f>
        <v>0</v>
      </c>
      <c r="D90" s="349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50"/>
      <c r="D91" s="348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50"/>
      <c r="D92" s="348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51">
        <v>0</v>
      </c>
      <c r="D93" s="352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95">
        <f>C53+C61+C63+C68+C73+C77+C79+C84+C90</f>
        <v>9315.0078699999995</v>
      </c>
      <c r="D94" s="395">
        <f>D53+D61+D63+D68+D73+D77+D79+D84+D90</f>
        <v>2799.6716799999999</v>
      </c>
      <c r="E94" s="34">
        <f t="shared" si="3"/>
        <v>30.055494521015362</v>
      </c>
      <c r="F94" s="34">
        <f t="shared" si="4"/>
        <v>-6515.33619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E271257C-1B5C-4EEE-899F-E7A422E6A72D}" hiddenRows="1">
      <selection activeCell="D28" sqref="D28"/>
      <pageMargins left="0.7" right="0.7" top="0.75" bottom="0.75" header="0.3" footer="0.3"/>
      <pageSetup paperSize="9" scale="62" orientation="portrait" r:id="rId1"/>
    </customSheetView>
    <customSheetView guid="{B30CE22D-C12F-4E12-8BB9-3AAE0A6991CC}" scale="70" showPageBreaks="1" hiddenRows="1" view="pageBreakPreview" topLeftCell="A12">
      <selection activeCell="D50" sqref="D5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39">
      <selection activeCell="C94" sqref="C94:D9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4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5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DI14" activePane="bottomRight" state="frozen"/>
      <selection activeCell="A10" sqref="A10"/>
      <selection pane="topRight" activeCell="C10" sqref="C10"/>
      <selection pane="bottomLeft" activeCell="A14" sqref="A14"/>
      <selection pane="bottomRight" activeCell="DV34" sqref="DV34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1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81" t="s">
        <v>137</v>
      </c>
      <c r="Y1" s="481"/>
      <c r="Z1" s="481"/>
      <c r="AA1" s="156"/>
      <c r="AB1" s="156"/>
      <c r="AC1" s="156"/>
      <c r="AD1" s="476"/>
      <c r="AE1" s="476"/>
      <c r="AF1" s="476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76"/>
      <c r="AE2" s="476"/>
      <c r="AF2" s="476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80" t="s">
        <v>139</v>
      </c>
      <c r="Y3" s="480"/>
      <c r="Z3" s="480"/>
      <c r="AA3" s="158"/>
      <c r="AB3" s="158"/>
      <c r="AC3" s="158"/>
      <c r="AD3" s="480"/>
      <c r="AE3" s="480"/>
      <c r="AF3" s="480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84" t="s">
        <v>140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82" t="s">
        <v>411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75" t="s">
        <v>141</v>
      </c>
      <c r="B7" s="475" t="s">
        <v>142</v>
      </c>
      <c r="C7" s="466" t="s">
        <v>143</v>
      </c>
      <c r="D7" s="467"/>
      <c r="E7" s="468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66" t="s">
        <v>145</v>
      </c>
      <c r="DH7" s="467"/>
      <c r="DI7" s="468"/>
      <c r="DJ7" s="466"/>
      <c r="DK7" s="467"/>
      <c r="DL7" s="467"/>
      <c r="DM7" s="467"/>
      <c r="DN7" s="467"/>
      <c r="DO7" s="467"/>
      <c r="DP7" s="467"/>
      <c r="DQ7" s="467"/>
      <c r="DR7" s="467"/>
      <c r="DS7" s="467"/>
      <c r="DT7" s="467"/>
      <c r="DU7" s="467"/>
      <c r="DV7" s="467"/>
      <c r="DW7" s="467"/>
      <c r="DX7" s="467"/>
      <c r="DY7" s="467"/>
      <c r="DZ7" s="467"/>
      <c r="EA7" s="467"/>
      <c r="EB7" s="467"/>
      <c r="EC7" s="467"/>
      <c r="ED7" s="467"/>
      <c r="EE7" s="467"/>
      <c r="EF7" s="467"/>
      <c r="EG7" s="467"/>
      <c r="EH7" s="467"/>
      <c r="EI7" s="467"/>
      <c r="EJ7" s="467"/>
      <c r="EK7" s="467"/>
      <c r="EL7" s="467"/>
      <c r="EM7" s="467"/>
      <c r="EN7" s="467"/>
      <c r="EO7" s="467"/>
      <c r="EP7" s="467"/>
      <c r="EQ7" s="467"/>
      <c r="ER7" s="467"/>
      <c r="ES7" s="467"/>
      <c r="ET7" s="467"/>
      <c r="EU7" s="467"/>
      <c r="EV7" s="468"/>
      <c r="EW7" s="466" t="s">
        <v>146</v>
      </c>
      <c r="EX7" s="467"/>
      <c r="EY7" s="468"/>
    </row>
    <row r="8" spans="1:159" s="169" customFormat="1" ht="15" customHeight="1">
      <c r="A8" s="475"/>
      <c r="B8" s="475"/>
      <c r="C8" s="469"/>
      <c r="D8" s="470"/>
      <c r="E8" s="471"/>
      <c r="F8" s="469" t="s">
        <v>147</v>
      </c>
      <c r="G8" s="470"/>
      <c r="H8" s="471"/>
      <c r="I8" s="477" t="s">
        <v>148</v>
      </c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8"/>
      <c r="AM8" s="478"/>
      <c r="AN8" s="478"/>
      <c r="AO8" s="478"/>
      <c r="AP8" s="478"/>
      <c r="AQ8" s="478"/>
      <c r="AR8" s="478"/>
      <c r="AS8" s="478"/>
      <c r="AT8" s="478"/>
      <c r="AU8" s="478"/>
      <c r="AV8" s="478"/>
      <c r="AW8" s="478"/>
      <c r="AX8" s="479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75" t="s">
        <v>149</v>
      </c>
      <c r="CA8" s="475"/>
      <c r="CB8" s="475"/>
      <c r="CC8" s="472" t="s">
        <v>148</v>
      </c>
      <c r="CD8" s="473"/>
      <c r="CE8" s="473"/>
      <c r="CF8" s="473"/>
      <c r="CG8" s="473"/>
      <c r="CH8" s="473"/>
      <c r="CI8" s="473"/>
      <c r="CJ8" s="473"/>
      <c r="CK8" s="473"/>
      <c r="CL8" s="473"/>
      <c r="CM8" s="473"/>
      <c r="CN8" s="473"/>
      <c r="CO8" s="170"/>
      <c r="CP8" s="170"/>
      <c r="CQ8" s="170"/>
      <c r="CR8" s="170"/>
      <c r="CS8" s="170"/>
      <c r="CT8" s="170"/>
      <c r="CU8" s="175"/>
      <c r="CV8" s="175"/>
      <c r="CW8" s="176"/>
      <c r="CX8" s="469" t="s">
        <v>150</v>
      </c>
      <c r="CY8" s="470"/>
      <c r="CZ8" s="471"/>
      <c r="DA8" s="463"/>
      <c r="DB8" s="464"/>
      <c r="DC8" s="465"/>
      <c r="DD8" s="463"/>
      <c r="DE8" s="464"/>
      <c r="DF8" s="465"/>
      <c r="DG8" s="469"/>
      <c r="DH8" s="470"/>
      <c r="DI8" s="471"/>
      <c r="DJ8" s="469" t="s">
        <v>148</v>
      </c>
      <c r="DK8" s="470"/>
      <c r="DL8" s="470"/>
      <c r="DM8" s="470"/>
      <c r="DN8" s="470"/>
      <c r="DO8" s="470"/>
      <c r="DP8" s="470"/>
      <c r="DQ8" s="470"/>
      <c r="DR8" s="470"/>
      <c r="DS8" s="470"/>
      <c r="DT8" s="470"/>
      <c r="DU8" s="470"/>
      <c r="DV8" s="470"/>
      <c r="DW8" s="470"/>
      <c r="DX8" s="470"/>
      <c r="DY8" s="470"/>
      <c r="DZ8" s="470"/>
      <c r="EA8" s="470"/>
      <c r="EB8" s="470"/>
      <c r="EC8" s="470"/>
      <c r="ED8" s="470"/>
      <c r="EE8" s="470"/>
      <c r="EF8" s="470"/>
      <c r="EG8" s="470"/>
      <c r="EH8" s="470"/>
      <c r="EI8" s="470"/>
      <c r="EJ8" s="470"/>
      <c r="EK8" s="470"/>
      <c r="EL8" s="470"/>
      <c r="EM8" s="470"/>
      <c r="EN8" s="470"/>
      <c r="EO8" s="470"/>
      <c r="EP8" s="470"/>
      <c r="EQ8" s="470"/>
      <c r="ER8" s="470"/>
      <c r="ES8" s="470"/>
      <c r="ET8" s="470"/>
      <c r="EU8" s="470"/>
      <c r="EV8" s="471"/>
      <c r="EW8" s="469"/>
      <c r="EX8" s="470"/>
      <c r="EY8" s="471"/>
    </row>
    <row r="9" spans="1:159" s="169" customFormat="1" ht="15" customHeight="1">
      <c r="A9" s="475"/>
      <c r="B9" s="475"/>
      <c r="C9" s="469"/>
      <c r="D9" s="470"/>
      <c r="E9" s="471"/>
      <c r="F9" s="469"/>
      <c r="G9" s="470"/>
      <c r="H9" s="471"/>
      <c r="I9" s="466" t="s">
        <v>151</v>
      </c>
      <c r="J9" s="467"/>
      <c r="K9" s="468"/>
      <c r="L9" s="466" t="s">
        <v>293</v>
      </c>
      <c r="M9" s="467"/>
      <c r="N9" s="468"/>
      <c r="O9" s="466" t="s">
        <v>296</v>
      </c>
      <c r="P9" s="467"/>
      <c r="Q9" s="468"/>
      <c r="R9" s="466" t="s">
        <v>294</v>
      </c>
      <c r="S9" s="467"/>
      <c r="T9" s="468"/>
      <c r="U9" s="466" t="s">
        <v>295</v>
      </c>
      <c r="V9" s="467"/>
      <c r="W9" s="468"/>
      <c r="X9" s="466" t="s">
        <v>152</v>
      </c>
      <c r="Y9" s="467"/>
      <c r="Z9" s="468"/>
      <c r="AA9" s="466" t="s">
        <v>153</v>
      </c>
      <c r="AB9" s="467"/>
      <c r="AC9" s="468"/>
      <c r="AD9" s="466" t="s">
        <v>154</v>
      </c>
      <c r="AE9" s="467"/>
      <c r="AF9" s="468"/>
      <c r="AG9" s="475" t="s">
        <v>155</v>
      </c>
      <c r="AH9" s="475"/>
      <c r="AI9" s="475"/>
      <c r="AJ9" s="466" t="s">
        <v>255</v>
      </c>
      <c r="AK9" s="467"/>
      <c r="AL9" s="468"/>
      <c r="AM9" s="466" t="s">
        <v>156</v>
      </c>
      <c r="AN9" s="467"/>
      <c r="AO9" s="468"/>
      <c r="AP9" s="466" t="s">
        <v>348</v>
      </c>
      <c r="AQ9" s="467"/>
      <c r="AR9" s="468"/>
      <c r="AS9" s="466" t="s">
        <v>157</v>
      </c>
      <c r="AT9" s="467"/>
      <c r="AU9" s="468"/>
      <c r="AV9" s="466" t="s">
        <v>158</v>
      </c>
      <c r="AW9" s="467"/>
      <c r="AX9" s="468"/>
      <c r="AY9" s="466" t="s">
        <v>257</v>
      </c>
      <c r="AZ9" s="467"/>
      <c r="BA9" s="468"/>
      <c r="BB9" s="466" t="s">
        <v>358</v>
      </c>
      <c r="BC9" s="467"/>
      <c r="BD9" s="468"/>
      <c r="BE9" s="466" t="s">
        <v>159</v>
      </c>
      <c r="BF9" s="467"/>
      <c r="BG9" s="468"/>
      <c r="BH9" s="466" t="s">
        <v>160</v>
      </c>
      <c r="BI9" s="467"/>
      <c r="BJ9" s="468"/>
      <c r="BK9" s="466" t="s">
        <v>286</v>
      </c>
      <c r="BL9" s="467"/>
      <c r="BM9" s="468"/>
      <c r="BN9" s="466" t="s">
        <v>253</v>
      </c>
      <c r="BO9" s="467"/>
      <c r="BP9" s="468"/>
      <c r="BQ9" s="466" t="s">
        <v>161</v>
      </c>
      <c r="BR9" s="467"/>
      <c r="BS9" s="468"/>
      <c r="BT9" s="466" t="s">
        <v>162</v>
      </c>
      <c r="BU9" s="467"/>
      <c r="BV9" s="468"/>
      <c r="BW9" s="469" t="s">
        <v>163</v>
      </c>
      <c r="BX9" s="470"/>
      <c r="BY9" s="470"/>
      <c r="BZ9" s="475"/>
      <c r="CA9" s="475"/>
      <c r="CB9" s="475"/>
      <c r="CC9" s="466" t="s">
        <v>349</v>
      </c>
      <c r="CD9" s="467"/>
      <c r="CE9" s="468"/>
      <c r="CF9" s="466" t="s">
        <v>350</v>
      </c>
      <c r="CG9" s="467"/>
      <c r="CH9" s="468"/>
      <c r="CI9" s="466" t="s">
        <v>164</v>
      </c>
      <c r="CJ9" s="467"/>
      <c r="CK9" s="468"/>
      <c r="CL9" s="466" t="s">
        <v>165</v>
      </c>
      <c r="CM9" s="467"/>
      <c r="CN9" s="468"/>
      <c r="CO9" s="466" t="s">
        <v>24</v>
      </c>
      <c r="CP9" s="467"/>
      <c r="CQ9" s="468"/>
      <c r="CR9" s="466" t="s">
        <v>303</v>
      </c>
      <c r="CS9" s="467"/>
      <c r="CT9" s="468"/>
      <c r="CU9" s="466" t="s">
        <v>351</v>
      </c>
      <c r="CV9" s="467"/>
      <c r="CW9" s="468"/>
      <c r="CX9" s="469"/>
      <c r="CY9" s="470"/>
      <c r="CZ9" s="471"/>
      <c r="DA9" s="466" t="s">
        <v>271</v>
      </c>
      <c r="DB9" s="467"/>
      <c r="DC9" s="468"/>
      <c r="DD9" s="475" t="s">
        <v>166</v>
      </c>
      <c r="DE9" s="475"/>
      <c r="DF9" s="475"/>
      <c r="DG9" s="469"/>
      <c r="DH9" s="470"/>
      <c r="DI9" s="471"/>
      <c r="DJ9" s="494" t="s">
        <v>167</v>
      </c>
      <c r="DK9" s="495"/>
      <c r="DL9" s="496"/>
      <c r="DM9" s="488" t="s">
        <v>144</v>
      </c>
      <c r="DN9" s="489"/>
      <c r="DO9" s="489"/>
      <c r="DP9" s="489"/>
      <c r="DQ9" s="489"/>
      <c r="DR9" s="489"/>
      <c r="DS9" s="489"/>
      <c r="DT9" s="489"/>
      <c r="DU9" s="489"/>
      <c r="DV9" s="489"/>
      <c r="DW9" s="489"/>
      <c r="DX9" s="490"/>
      <c r="DY9" s="494" t="s">
        <v>168</v>
      </c>
      <c r="DZ9" s="495"/>
      <c r="EA9" s="496"/>
      <c r="EB9" s="494" t="s">
        <v>169</v>
      </c>
      <c r="EC9" s="495"/>
      <c r="ED9" s="496"/>
      <c r="EE9" s="494" t="s">
        <v>170</v>
      </c>
      <c r="EF9" s="495"/>
      <c r="EG9" s="496"/>
      <c r="EH9" s="494" t="s">
        <v>171</v>
      </c>
      <c r="EI9" s="495"/>
      <c r="EJ9" s="496"/>
      <c r="EK9" s="466" t="s">
        <v>297</v>
      </c>
      <c r="EL9" s="467"/>
      <c r="EM9" s="468"/>
      <c r="EN9" s="466" t="s">
        <v>172</v>
      </c>
      <c r="EO9" s="467"/>
      <c r="EP9" s="468"/>
      <c r="EQ9" s="466" t="s">
        <v>329</v>
      </c>
      <c r="ER9" s="467"/>
      <c r="ES9" s="468"/>
      <c r="ET9" s="475" t="s">
        <v>299</v>
      </c>
      <c r="EU9" s="475"/>
      <c r="EV9" s="475"/>
      <c r="EW9" s="469"/>
      <c r="EX9" s="470"/>
      <c r="EY9" s="471"/>
    </row>
    <row r="10" spans="1:159" s="169" customFormat="1" ht="15" customHeight="1">
      <c r="A10" s="475"/>
      <c r="B10" s="475"/>
      <c r="C10" s="469"/>
      <c r="D10" s="470"/>
      <c r="E10" s="471"/>
      <c r="F10" s="469"/>
      <c r="G10" s="470"/>
      <c r="H10" s="471"/>
      <c r="I10" s="469"/>
      <c r="J10" s="470"/>
      <c r="K10" s="471"/>
      <c r="L10" s="469"/>
      <c r="M10" s="470"/>
      <c r="N10" s="471"/>
      <c r="O10" s="469"/>
      <c r="P10" s="470"/>
      <c r="Q10" s="471"/>
      <c r="R10" s="469"/>
      <c r="S10" s="470"/>
      <c r="T10" s="471"/>
      <c r="U10" s="469"/>
      <c r="V10" s="470"/>
      <c r="W10" s="471"/>
      <c r="X10" s="469"/>
      <c r="Y10" s="470"/>
      <c r="Z10" s="471"/>
      <c r="AA10" s="469"/>
      <c r="AB10" s="470"/>
      <c r="AC10" s="471"/>
      <c r="AD10" s="469"/>
      <c r="AE10" s="470"/>
      <c r="AF10" s="471"/>
      <c r="AG10" s="475"/>
      <c r="AH10" s="475"/>
      <c r="AI10" s="475"/>
      <c r="AJ10" s="469"/>
      <c r="AK10" s="470"/>
      <c r="AL10" s="471"/>
      <c r="AM10" s="469"/>
      <c r="AN10" s="470"/>
      <c r="AO10" s="471"/>
      <c r="AP10" s="469"/>
      <c r="AQ10" s="470"/>
      <c r="AR10" s="471"/>
      <c r="AS10" s="469"/>
      <c r="AT10" s="470"/>
      <c r="AU10" s="471"/>
      <c r="AV10" s="469"/>
      <c r="AW10" s="470"/>
      <c r="AX10" s="471"/>
      <c r="AY10" s="469"/>
      <c r="AZ10" s="470"/>
      <c r="BA10" s="471"/>
      <c r="BB10" s="469"/>
      <c r="BC10" s="470"/>
      <c r="BD10" s="471"/>
      <c r="BE10" s="469"/>
      <c r="BF10" s="470"/>
      <c r="BG10" s="471"/>
      <c r="BH10" s="469"/>
      <c r="BI10" s="470"/>
      <c r="BJ10" s="471"/>
      <c r="BK10" s="469"/>
      <c r="BL10" s="470"/>
      <c r="BM10" s="471"/>
      <c r="BN10" s="469"/>
      <c r="BO10" s="470"/>
      <c r="BP10" s="471"/>
      <c r="BQ10" s="469"/>
      <c r="BR10" s="470"/>
      <c r="BS10" s="471"/>
      <c r="BT10" s="469"/>
      <c r="BU10" s="470"/>
      <c r="BV10" s="471"/>
      <c r="BW10" s="469"/>
      <c r="BX10" s="470"/>
      <c r="BY10" s="470"/>
      <c r="BZ10" s="475"/>
      <c r="CA10" s="475"/>
      <c r="CB10" s="475"/>
      <c r="CC10" s="469"/>
      <c r="CD10" s="470"/>
      <c r="CE10" s="471"/>
      <c r="CF10" s="469"/>
      <c r="CG10" s="470"/>
      <c r="CH10" s="471"/>
      <c r="CI10" s="469"/>
      <c r="CJ10" s="470"/>
      <c r="CK10" s="471"/>
      <c r="CL10" s="469"/>
      <c r="CM10" s="470"/>
      <c r="CN10" s="471"/>
      <c r="CO10" s="469"/>
      <c r="CP10" s="470"/>
      <c r="CQ10" s="471"/>
      <c r="CR10" s="469"/>
      <c r="CS10" s="470"/>
      <c r="CT10" s="471"/>
      <c r="CU10" s="469"/>
      <c r="CV10" s="470"/>
      <c r="CW10" s="471"/>
      <c r="CX10" s="469"/>
      <c r="CY10" s="470"/>
      <c r="CZ10" s="471"/>
      <c r="DA10" s="469"/>
      <c r="DB10" s="470"/>
      <c r="DC10" s="471"/>
      <c r="DD10" s="475"/>
      <c r="DE10" s="475"/>
      <c r="DF10" s="475"/>
      <c r="DG10" s="469"/>
      <c r="DH10" s="470"/>
      <c r="DI10" s="471"/>
      <c r="DJ10" s="497"/>
      <c r="DK10" s="498"/>
      <c r="DL10" s="499"/>
      <c r="DM10" s="319"/>
      <c r="DN10" s="320"/>
      <c r="DO10" s="320"/>
      <c r="DP10" s="322"/>
      <c r="DQ10" s="322"/>
      <c r="DR10" s="322"/>
      <c r="DS10" s="320"/>
      <c r="DT10" s="320"/>
      <c r="DU10" s="320"/>
      <c r="DV10" s="320"/>
      <c r="DW10" s="320"/>
      <c r="DX10" s="321"/>
      <c r="DY10" s="497"/>
      <c r="DZ10" s="498"/>
      <c r="EA10" s="499"/>
      <c r="EB10" s="497"/>
      <c r="EC10" s="498"/>
      <c r="ED10" s="499"/>
      <c r="EE10" s="497"/>
      <c r="EF10" s="498"/>
      <c r="EG10" s="499"/>
      <c r="EH10" s="497"/>
      <c r="EI10" s="498"/>
      <c r="EJ10" s="499"/>
      <c r="EK10" s="469"/>
      <c r="EL10" s="470"/>
      <c r="EM10" s="471"/>
      <c r="EN10" s="469"/>
      <c r="EO10" s="470"/>
      <c r="EP10" s="471"/>
      <c r="EQ10" s="469"/>
      <c r="ER10" s="470"/>
      <c r="ES10" s="471"/>
      <c r="ET10" s="475"/>
      <c r="EU10" s="475"/>
      <c r="EV10" s="475"/>
      <c r="EW10" s="469"/>
      <c r="EX10" s="470"/>
      <c r="EY10" s="471"/>
    </row>
    <row r="11" spans="1:159" s="169" customFormat="1" ht="177.75" customHeight="1">
      <c r="A11" s="475"/>
      <c r="B11" s="475"/>
      <c r="C11" s="472"/>
      <c r="D11" s="473"/>
      <c r="E11" s="485"/>
      <c r="F11" s="472"/>
      <c r="G11" s="473"/>
      <c r="H11" s="474"/>
      <c r="I11" s="472"/>
      <c r="J11" s="473"/>
      <c r="K11" s="474"/>
      <c r="L11" s="472"/>
      <c r="M11" s="473"/>
      <c r="N11" s="474"/>
      <c r="O11" s="472"/>
      <c r="P11" s="473"/>
      <c r="Q11" s="474"/>
      <c r="R11" s="472"/>
      <c r="S11" s="473"/>
      <c r="T11" s="474"/>
      <c r="U11" s="472"/>
      <c r="V11" s="473"/>
      <c r="W11" s="474"/>
      <c r="X11" s="472"/>
      <c r="Y11" s="473"/>
      <c r="Z11" s="474"/>
      <c r="AA11" s="472"/>
      <c r="AB11" s="473"/>
      <c r="AC11" s="474"/>
      <c r="AD11" s="472"/>
      <c r="AE11" s="473"/>
      <c r="AF11" s="474"/>
      <c r="AG11" s="475"/>
      <c r="AH11" s="475"/>
      <c r="AI11" s="475"/>
      <c r="AJ11" s="472"/>
      <c r="AK11" s="473"/>
      <c r="AL11" s="474"/>
      <c r="AM11" s="472"/>
      <c r="AN11" s="473"/>
      <c r="AO11" s="474"/>
      <c r="AP11" s="472"/>
      <c r="AQ11" s="473"/>
      <c r="AR11" s="474"/>
      <c r="AS11" s="472"/>
      <c r="AT11" s="473"/>
      <c r="AU11" s="474"/>
      <c r="AV11" s="472"/>
      <c r="AW11" s="473"/>
      <c r="AX11" s="474"/>
      <c r="AY11" s="472"/>
      <c r="AZ11" s="473"/>
      <c r="BA11" s="474"/>
      <c r="BB11" s="472"/>
      <c r="BC11" s="473"/>
      <c r="BD11" s="474"/>
      <c r="BE11" s="472"/>
      <c r="BF11" s="473"/>
      <c r="BG11" s="474"/>
      <c r="BH11" s="472"/>
      <c r="BI11" s="473"/>
      <c r="BJ11" s="474"/>
      <c r="BK11" s="472"/>
      <c r="BL11" s="473"/>
      <c r="BM11" s="474"/>
      <c r="BN11" s="472"/>
      <c r="BO11" s="473"/>
      <c r="BP11" s="474"/>
      <c r="BQ11" s="472"/>
      <c r="BR11" s="473"/>
      <c r="BS11" s="474"/>
      <c r="BT11" s="472"/>
      <c r="BU11" s="473"/>
      <c r="BV11" s="474"/>
      <c r="BW11" s="472"/>
      <c r="BX11" s="473"/>
      <c r="BY11" s="473"/>
      <c r="BZ11" s="475"/>
      <c r="CA11" s="475"/>
      <c r="CB11" s="475"/>
      <c r="CC11" s="472"/>
      <c r="CD11" s="473"/>
      <c r="CE11" s="474"/>
      <c r="CF11" s="472"/>
      <c r="CG11" s="473"/>
      <c r="CH11" s="474"/>
      <c r="CI11" s="472"/>
      <c r="CJ11" s="473"/>
      <c r="CK11" s="474"/>
      <c r="CL11" s="472"/>
      <c r="CM11" s="473"/>
      <c r="CN11" s="474"/>
      <c r="CO11" s="472"/>
      <c r="CP11" s="473"/>
      <c r="CQ11" s="474"/>
      <c r="CR11" s="472"/>
      <c r="CS11" s="473"/>
      <c r="CT11" s="474"/>
      <c r="CU11" s="472"/>
      <c r="CV11" s="473"/>
      <c r="CW11" s="474"/>
      <c r="CX11" s="472"/>
      <c r="CY11" s="473"/>
      <c r="CZ11" s="474"/>
      <c r="DA11" s="472"/>
      <c r="DB11" s="473"/>
      <c r="DC11" s="474"/>
      <c r="DD11" s="475"/>
      <c r="DE11" s="475"/>
      <c r="DF11" s="475"/>
      <c r="DG11" s="472"/>
      <c r="DH11" s="473"/>
      <c r="DI11" s="474"/>
      <c r="DJ11" s="491"/>
      <c r="DK11" s="492"/>
      <c r="DL11" s="493"/>
      <c r="DM11" s="491" t="s">
        <v>173</v>
      </c>
      <c r="DN11" s="492"/>
      <c r="DO11" s="493"/>
      <c r="DP11" s="488" t="s">
        <v>174</v>
      </c>
      <c r="DQ11" s="489"/>
      <c r="DR11" s="490"/>
      <c r="DS11" s="491" t="s">
        <v>175</v>
      </c>
      <c r="DT11" s="492"/>
      <c r="DU11" s="493"/>
      <c r="DV11" s="491" t="s">
        <v>250</v>
      </c>
      <c r="DW11" s="492"/>
      <c r="DX11" s="493"/>
      <c r="DY11" s="491"/>
      <c r="DZ11" s="492"/>
      <c r="EA11" s="493"/>
      <c r="EB11" s="491"/>
      <c r="EC11" s="492"/>
      <c r="ED11" s="493"/>
      <c r="EE11" s="491"/>
      <c r="EF11" s="492"/>
      <c r="EG11" s="493"/>
      <c r="EH11" s="491"/>
      <c r="EI11" s="492"/>
      <c r="EJ11" s="493"/>
      <c r="EK11" s="472"/>
      <c r="EL11" s="473"/>
      <c r="EM11" s="474"/>
      <c r="EN11" s="472"/>
      <c r="EO11" s="473"/>
      <c r="EP11" s="474"/>
      <c r="EQ11" s="472"/>
      <c r="ER11" s="473"/>
      <c r="ES11" s="474"/>
      <c r="ET11" s="475"/>
      <c r="EU11" s="475"/>
      <c r="EV11" s="475"/>
      <c r="EW11" s="472"/>
      <c r="EX11" s="473"/>
      <c r="EY11" s="474"/>
      <c r="FA11" s="174"/>
      <c r="FB11" s="174"/>
      <c r="FC11" s="174"/>
    </row>
    <row r="12" spans="1:159" s="169" customFormat="1" ht="42.75" customHeight="1">
      <c r="A12" s="475"/>
      <c r="B12" s="475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429">
        <f>F14+BZ14</f>
        <v>3485.1120000000001</v>
      </c>
      <c r="D14" s="432">
        <f t="shared" ref="D14:D29" si="0">G14+CA14+CY14</f>
        <v>2558.9610300000004</v>
      </c>
      <c r="E14" s="184">
        <f t="shared" ref="E14:E29" si="1">D14/C14*100</f>
        <v>73.425503398456073</v>
      </c>
      <c r="F14" s="185">
        <f t="shared" ref="F14:F29" si="2">I14+X14+AA14+AD14+AG14+AM14+AS14+BE14+BQ14+BN14+AJ14+AY14+L14+R14+O14+U14+AP14</f>
        <v>602.89</v>
      </c>
      <c r="G14" s="185">
        <f t="shared" ref="G14:G29" si="3">J14+Y14+AB14+AE14+AH14+AN14+AT14+BF14+AK14+BR14+BO14+AZ14+M14+S14+P14+V14+AQ14</f>
        <v>353.48461999999995</v>
      </c>
      <c r="H14" s="184">
        <f>G14/F14*100</f>
        <v>58.631694007198654</v>
      </c>
      <c r="I14" s="292">
        <f>Але!C6</f>
        <v>69</v>
      </c>
      <c r="J14" s="292">
        <f>Але!D6</f>
        <v>45.415849999999999</v>
      </c>
      <c r="K14" s="184">
        <f>J14/I14*100</f>
        <v>65.820072463768113</v>
      </c>
      <c r="L14" s="184">
        <f>Але!C8</f>
        <v>82.02</v>
      </c>
      <c r="M14" s="184">
        <f>Але!D8</f>
        <v>74.581869999999995</v>
      </c>
      <c r="N14" s="184">
        <f>M14/L14*100</f>
        <v>90.931321628871004</v>
      </c>
      <c r="O14" s="184">
        <f>Але!C9</f>
        <v>0.88</v>
      </c>
      <c r="P14" s="184">
        <f>Але!D9</f>
        <v>0.67647000000000002</v>
      </c>
      <c r="Q14" s="184">
        <f>P14/O14*100</f>
        <v>76.871590909090912</v>
      </c>
      <c r="R14" s="184">
        <f>Але!C10</f>
        <v>136.99</v>
      </c>
      <c r="S14" s="184">
        <f>Але!D10</f>
        <v>112.71125000000001</v>
      </c>
      <c r="T14" s="184">
        <f>S14/R14*100</f>
        <v>82.276991021242424</v>
      </c>
      <c r="U14" s="184">
        <f>Але!C11</f>
        <v>0</v>
      </c>
      <c r="V14" s="451">
        <f>Але!D11</f>
        <v>-16.706050000000001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18.645530000000001</v>
      </c>
      <c r="AC14" s="184">
        <f>AB14/AA14*100</f>
        <v>46.613825000000006</v>
      </c>
      <c r="AD14" s="186">
        <f>Але!C16</f>
        <v>210</v>
      </c>
      <c r="AE14" s="186">
        <f>Але!D16</f>
        <v>113.9597</v>
      </c>
      <c r="AF14" s="184">
        <f t="shared" ref="AF14:AF29" si="4">AE14/AD14*100</f>
        <v>54.266523809523804</v>
      </c>
      <c r="AG14" s="184">
        <f>Але!C18</f>
        <v>3</v>
      </c>
      <c r="AH14" s="184">
        <f>Але!D18</f>
        <v>4.2</v>
      </c>
      <c r="AI14" s="184">
        <f>AH14/AG14*100</f>
        <v>140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204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3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2882.2220000000002</v>
      </c>
      <c r="CA14" s="186">
        <f>CD14+CG14+CJ14+CM14+CS14+CP14+CV14</f>
        <v>2205.4764100000002</v>
      </c>
      <c r="CB14" s="184">
        <f>CA14/BZ14*100</f>
        <v>76.520004704703524</v>
      </c>
      <c r="CC14" s="187">
        <f>Але!C39</f>
        <v>1200.0540000000001</v>
      </c>
      <c r="CD14" s="187">
        <f>Але!D39</f>
        <v>941.66800000000001</v>
      </c>
      <c r="CE14" s="184">
        <f>CD14/CC14*100</f>
        <v>78.468802237232651</v>
      </c>
      <c r="CF14" s="184">
        <f>Але!C40</f>
        <v>816.60500000000002</v>
      </c>
      <c r="CG14" s="184">
        <f>Але!D40</f>
        <v>630</v>
      </c>
      <c r="CH14" s="184">
        <f>CG14/CF14*100</f>
        <v>77.148682655629102</v>
      </c>
      <c r="CI14" s="184">
        <f>Але!C41</f>
        <v>652.58699999999999</v>
      </c>
      <c r="CJ14" s="184">
        <f>Але!D41</f>
        <v>432.38</v>
      </c>
      <c r="CK14" s="184">
        <f t="shared" ref="CK14:CK29" si="7">CJ14/CI14*100</f>
        <v>66.256299926293352</v>
      </c>
      <c r="CL14" s="184">
        <f>Але!C42</f>
        <v>72.975999999999999</v>
      </c>
      <c r="CM14" s="184">
        <f>Але!D42</f>
        <v>70.596000000000004</v>
      </c>
      <c r="CN14" s="184">
        <f t="shared" ref="CN14:CN31" si="8">CM14/CL14*100</f>
        <v>96.73865380399036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3508.7475400000003</v>
      </c>
      <c r="DH14" s="186">
        <f>DK14+DZ14+EC14+EF14+EI14+EL14+EO14+ER14+EU14</f>
        <v>2481.9045999999998</v>
      </c>
      <c r="DI14" s="184">
        <f>DH14/DG14*100</f>
        <v>70.734772784479091</v>
      </c>
      <c r="DJ14" s="186">
        <f>DM14+DP14+DS14+DV14</f>
        <v>1072.2360000000001</v>
      </c>
      <c r="DK14" s="186">
        <f>DN14+DQ14+DT14+DW14</f>
        <v>749.68755999999996</v>
      </c>
      <c r="DL14" s="184">
        <f>DK14/DJ14*100</f>
        <v>69.918148616535902</v>
      </c>
      <c r="DM14" s="184">
        <f>Але!C54</f>
        <v>1064.854</v>
      </c>
      <c r="DN14" s="184">
        <f>Але!D54</f>
        <v>747.30606</v>
      </c>
      <c r="DO14" s="184">
        <f>DN14/DM14*100</f>
        <v>70.179203909643945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70.596000000000004</v>
      </c>
      <c r="DZ14" s="184">
        <f>Але!D61</f>
        <v>61.058500000000002</v>
      </c>
      <c r="EA14" s="184">
        <f>DZ14/DY14*100</f>
        <v>86.490027763612659</v>
      </c>
      <c r="EB14" s="184">
        <f>Але!C62</f>
        <v>12.778</v>
      </c>
      <c r="EC14" s="184">
        <f>Але!D62</f>
        <v>2.80287</v>
      </c>
      <c r="ED14" s="184">
        <f>EC14/EB14*100</f>
        <v>21.93512286742839</v>
      </c>
      <c r="EE14" s="186">
        <f>Але!C67</f>
        <v>1154.5965400000002</v>
      </c>
      <c r="EF14" s="186">
        <f>Але!D67</f>
        <v>720.63467000000003</v>
      </c>
      <c r="EG14" s="184">
        <f>EF14/EE14*100</f>
        <v>62.414414475899946</v>
      </c>
      <c r="EH14" s="186">
        <f>Але!C72</f>
        <v>328.041</v>
      </c>
      <c r="EI14" s="186">
        <f>Але!D72</f>
        <v>194.38499999999999</v>
      </c>
      <c r="EJ14" s="184">
        <f>EI14/EH14*100</f>
        <v>59.256312473135978</v>
      </c>
      <c r="EK14" s="186">
        <f>Але!C76</f>
        <v>865.5</v>
      </c>
      <c r="EL14" s="190">
        <f>Але!D76</f>
        <v>749.48599999999999</v>
      </c>
      <c r="EM14" s="184">
        <f t="shared" ref="EM14:EM29" si="10">EL14/EK14*100</f>
        <v>86.595725014442522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3.85</v>
      </c>
      <c r="ES14" s="184">
        <f>ER14/EQ14*100</f>
        <v>77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77.056430000000546</v>
      </c>
      <c r="EY14" s="184">
        <f>EX14/EW14*100%</f>
        <v>-3.2601933359677768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429">
        <f t="shared" ref="C15:C29" si="14">F15+BZ15</f>
        <v>10293.555</v>
      </c>
      <c r="D15" s="432">
        <f>G15+CA15+CY15</f>
        <v>7048.9650000000001</v>
      </c>
      <c r="E15" s="187">
        <f t="shared" si="1"/>
        <v>68.479402888506442</v>
      </c>
      <c r="F15" s="185">
        <f t="shared" si="2"/>
        <v>3711.2200000000003</v>
      </c>
      <c r="G15" s="185">
        <f>J15+Y15+AB15+AE15+AH15+AN15+AT15+BF15+AK15+BR15+BO15+AZ15+M15+S15+P15+V15+AQ15</f>
        <v>2296.58203</v>
      </c>
      <c r="H15" s="187">
        <f t="shared" ref="H15:H29" si="15">G15/F15*100</f>
        <v>61.882131212916505</v>
      </c>
      <c r="I15" s="195">
        <f>Сун!C6</f>
        <v>482.9</v>
      </c>
      <c r="J15" s="195">
        <f>Сун!D6</f>
        <v>297.03532000000001</v>
      </c>
      <c r="K15" s="187">
        <f t="shared" ref="K15:K29" si="16">J15/I15*100</f>
        <v>61.510731000207088</v>
      </c>
      <c r="L15" s="187">
        <f>Сун!C8</f>
        <v>208.63</v>
      </c>
      <c r="M15" s="187">
        <f>Сун!D8</f>
        <v>189.71313000000001</v>
      </c>
      <c r="N15" s="184">
        <f t="shared" ref="N15:N29" si="17">M15/L15*100</f>
        <v>90.932814072760394</v>
      </c>
      <c r="O15" s="184">
        <f>Сун!C9</f>
        <v>2.2000000000000002</v>
      </c>
      <c r="P15" s="184">
        <f>Сун!D9</f>
        <v>1.7207300000000001</v>
      </c>
      <c r="Q15" s="184">
        <f t="shared" ref="Q15:Q29" si="18">P15/O15*100</f>
        <v>78.215000000000003</v>
      </c>
      <c r="R15" s="184">
        <f>Сун!C10</f>
        <v>348.49</v>
      </c>
      <c r="S15" s="184">
        <f>Сун!D10</f>
        <v>286.70240000000001</v>
      </c>
      <c r="T15" s="184">
        <f t="shared" ref="T15:T29" si="19">S15/R15*100</f>
        <v>82.269907314413615</v>
      </c>
      <c r="U15" s="184">
        <f>Сун!C11</f>
        <v>0</v>
      </c>
      <c r="V15" s="451">
        <f>Сун!D11</f>
        <v>-42.49492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23.733529999999998</v>
      </c>
      <c r="Z15" s="187">
        <f t="shared" ref="Z15:Z29" si="21">Y15/X15*100</f>
        <v>59.333824999999997</v>
      </c>
      <c r="AA15" s="195">
        <f>Сун!C15</f>
        <v>295</v>
      </c>
      <c r="AB15" s="195">
        <f>Сун!D15</f>
        <v>118.53037999999999</v>
      </c>
      <c r="AC15" s="187">
        <f t="shared" ref="AC15:AC29" si="22">AB15/AA15*100</f>
        <v>40.179789830508469</v>
      </c>
      <c r="AD15" s="195">
        <f>Сун!C16</f>
        <v>1250</v>
      </c>
      <c r="AE15" s="195">
        <f>Сун!D16</f>
        <v>600.08605999999997</v>
      </c>
      <c r="AF15" s="187">
        <f t="shared" si="4"/>
        <v>48.006884800000002</v>
      </c>
      <c r="AG15" s="187">
        <f>Сун!C18</f>
        <v>12</v>
      </c>
      <c r="AH15" s="187">
        <f>Сун!D18</f>
        <v>10.574999999999999</v>
      </c>
      <c r="AI15" s="187">
        <f t="shared" ref="AI15:AI31" si="23">AH15/AG15*100</f>
        <v>88.125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448">
        <f>Сун!D29</f>
        <v>33.783000000000001</v>
      </c>
      <c r="AU15" s="187">
        <f t="shared" ref="AU15:AU29" si="25">AT15/AS15*100</f>
        <v>39.282558139534885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156.97739999999999</v>
      </c>
      <c r="BA15" s="187">
        <f t="shared" ref="BA15:BA31" si="27">AZ15/AY15*100</f>
        <v>78.488699999999994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60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0.62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6582.335</v>
      </c>
      <c r="CA15" s="186">
        <f t="shared" ref="CA15:CA29" si="35">CD15+CG15+CJ15+CM15+CS15+CP15+CV15</f>
        <v>4752.3829700000006</v>
      </c>
      <c r="CB15" s="187">
        <f>CA15/BZ15*100</f>
        <v>72.19904441205135</v>
      </c>
      <c r="CC15" s="187">
        <f>Сун!C42</f>
        <v>3556.511</v>
      </c>
      <c r="CD15" s="187">
        <f>Сун!D42</f>
        <v>2880.1489999999999</v>
      </c>
      <c r="CE15" s="187">
        <f t="shared" ref="CE15:CE29" si="36">CD15/CC15*100</f>
        <v>80.982429127872791</v>
      </c>
      <c r="CF15" s="187">
        <f>Сун!C43</f>
        <v>150</v>
      </c>
      <c r="CG15" s="187">
        <f>Сун!D43</f>
        <v>0</v>
      </c>
      <c r="CH15" s="187">
        <f t="shared" ref="CH15:CH29" si="37">CG15/CF15*100</f>
        <v>0</v>
      </c>
      <c r="CI15" s="238">
        <f>Сун!C44</f>
        <v>2311.98</v>
      </c>
      <c r="CJ15" s="187">
        <f>Сун!D44</f>
        <v>1311.752</v>
      </c>
      <c r="CK15" s="187">
        <f t="shared" si="7"/>
        <v>56.737169006652302</v>
      </c>
      <c r="CL15" s="187">
        <f>Сун!C46</f>
        <v>154.24100000000001</v>
      </c>
      <c r="CM15" s="187">
        <f>Сун!D46</f>
        <v>150.881</v>
      </c>
      <c r="CN15" s="187">
        <f t="shared" si="8"/>
        <v>97.821590886988531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10395.125550000001</v>
      </c>
      <c r="DH15" s="195">
        <f t="shared" ref="DG15:DH29" si="39">DK15+DZ15+EC15+EF15+EI15+EL15+EO15+ER15+EU15</f>
        <v>6837.3318600000002</v>
      </c>
      <c r="DI15" s="187">
        <f t="shared" ref="DI15:DI29" si="40">DH15/DG15*100</f>
        <v>65.774403850273842</v>
      </c>
      <c r="DJ15" s="195">
        <f>DM15+DP15+DS15+DV15</f>
        <v>1851.9180000000001</v>
      </c>
      <c r="DK15" s="195">
        <f t="shared" ref="DJ15:DK29" si="41">DN15+DQ15+DT15+DW15</f>
        <v>1176.32971</v>
      </c>
      <c r="DL15" s="187">
        <f t="shared" ref="DL15:DL29" si="42">DK15/DJ15*100</f>
        <v>63.519535422194714</v>
      </c>
      <c r="DM15" s="187">
        <f>Сун!C59</f>
        <v>1840.8510000000001</v>
      </c>
      <c r="DN15" s="187">
        <f>Сун!D59</f>
        <v>1170.26271</v>
      </c>
      <c r="DO15" s="187">
        <f t="shared" ref="DO15:DO29" si="43">DN15/DM15*100</f>
        <v>63.571832266707077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150.881</v>
      </c>
      <c r="DZ15" s="187">
        <f>Сун!D66</f>
        <v>120.54386</v>
      </c>
      <c r="EA15" s="187">
        <f t="shared" ref="EA15:EA31" si="47">DZ15/DY15*100</f>
        <v>79.893333156593599</v>
      </c>
      <c r="EB15" s="187">
        <f>Сун!C67</f>
        <v>4.8029999999999999</v>
      </c>
      <c r="EC15" s="187">
        <f>Сун!D67</f>
        <v>2</v>
      </c>
      <c r="ED15" s="187">
        <f t="shared" ref="ED15:ED31" si="48">EC15/EB15*100</f>
        <v>41.640641265875495</v>
      </c>
      <c r="EE15" s="195">
        <f>Сун!C72</f>
        <v>3653.6055499999998</v>
      </c>
      <c r="EF15" s="195">
        <f>Сун!D72</f>
        <v>2954.44191</v>
      </c>
      <c r="EG15" s="187">
        <f t="shared" ref="EG15:EG29" si="49">EF15/EE15*100</f>
        <v>80.863735002811126</v>
      </c>
      <c r="EH15" s="195">
        <f>Сун!C77</f>
        <v>966.47</v>
      </c>
      <c r="EI15" s="195">
        <f>Сун!D77</f>
        <v>429.70301000000001</v>
      </c>
      <c r="EJ15" s="187">
        <f t="shared" ref="EJ15:EJ29" si="50">EI15/EH15*100</f>
        <v>44.461081047523457</v>
      </c>
      <c r="EK15" s="195">
        <f>Сун!C82</f>
        <v>3742.4479999999999</v>
      </c>
      <c r="EL15" s="197">
        <f>Сун!D82</f>
        <v>2133.7083699999998</v>
      </c>
      <c r="EM15" s="187">
        <f t="shared" si="10"/>
        <v>57.013707872494145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15.605</v>
      </c>
      <c r="ES15" s="187">
        <f t="shared" ref="ES15:ES29" si="51">ER15/EQ15*100</f>
        <v>78.025000000000006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211.63313999999991</v>
      </c>
      <c r="EY15" s="184">
        <f>EX15/EW15*100%</f>
        <v>-2.0836073054640263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30">
        <f t="shared" si="14"/>
        <v>11425.332100000001</v>
      </c>
      <c r="D16" s="432">
        <f t="shared" si="0"/>
        <v>8142.7875000000004</v>
      </c>
      <c r="E16" s="187">
        <f t="shared" si="1"/>
        <v>71.269591367064066</v>
      </c>
      <c r="F16" s="185">
        <f t="shared" si="2"/>
        <v>1803.25</v>
      </c>
      <c r="G16" s="185">
        <f t="shared" si="3"/>
        <v>1016.9141100000002</v>
      </c>
      <c r="H16" s="187">
        <f t="shared" si="15"/>
        <v>56.393406904200759</v>
      </c>
      <c r="I16" s="293">
        <f>Иль!C6</f>
        <v>102.1</v>
      </c>
      <c r="J16" s="293">
        <f>Иль!D6</f>
        <v>66.085279999999997</v>
      </c>
      <c r="K16" s="187">
        <f t="shared" si="16"/>
        <v>64.7260333006856</v>
      </c>
      <c r="L16" s="187">
        <f>Иль!C8</f>
        <v>222.96</v>
      </c>
      <c r="M16" s="187">
        <f>Иль!D8</f>
        <v>202.74684999999999</v>
      </c>
      <c r="N16" s="184">
        <f t="shared" si="17"/>
        <v>90.934181019016862</v>
      </c>
      <c r="O16" s="184">
        <f>Иль!C9</f>
        <v>2.4</v>
      </c>
      <c r="P16" s="184">
        <f>Иль!D9</f>
        <v>1.8389500000000001</v>
      </c>
      <c r="Q16" s="184">
        <f t="shared" si="18"/>
        <v>76.622916666666669</v>
      </c>
      <c r="R16" s="184">
        <f>Иль!C10</f>
        <v>372.39</v>
      </c>
      <c r="S16" s="184">
        <f>Иль!D10</f>
        <v>306.39949000000001</v>
      </c>
      <c r="T16" s="184">
        <f t="shared" si="19"/>
        <v>82.27919385590377</v>
      </c>
      <c r="U16" s="184">
        <f>Иль!C11</f>
        <v>0</v>
      </c>
      <c r="V16" s="451">
        <f>Иль!D11</f>
        <v>-45.41451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183.4</v>
      </c>
      <c r="AB16" s="195">
        <f>Иль!D15</f>
        <v>68.457549999999998</v>
      </c>
      <c r="AC16" s="187">
        <f t="shared" si="22"/>
        <v>37.326908396946564</v>
      </c>
      <c r="AD16" s="195">
        <f>Иль!C16</f>
        <v>785</v>
      </c>
      <c r="AE16" s="195">
        <f>Иль!D16</f>
        <v>375.55799000000002</v>
      </c>
      <c r="AF16" s="187">
        <f t="shared" si="4"/>
        <v>47.841782165605096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15.247960000000001</v>
      </c>
      <c r="AR16" s="187">
        <f t="shared" si="24"/>
        <v>15.247960000000003</v>
      </c>
      <c r="AS16" s="188">
        <f>Иль!C29</f>
        <v>20</v>
      </c>
      <c r="AT16" s="448">
        <f>Иль!D29</f>
        <v>22.951350000000001</v>
      </c>
      <c r="AU16" s="187">
        <f t="shared" si="25"/>
        <v>114.75675000000001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60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9622.0821000000014</v>
      </c>
      <c r="CA16" s="186">
        <f t="shared" si="35"/>
        <v>7125.8733900000007</v>
      </c>
      <c r="CB16" s="187">
        <f>CA16/BZ16*100</f>
        <v>74.057499363885071</v>
      </c>
      <c r="CC16" s="187">
        <f>Иль!C42</f>
        <v>1972.912</v>
      </c>
      <c r="CD16" s="187">
        <f>Иль!D42</f>
        <v>1585.461</v>
      </c>
      <c r="CE16" s="187">
        <f t="shared" si="36"/>
        <v>80.361465691323289</v>
      </c>
      <c r="CF16" s="187">
        <f>Иль!C43</f>
        <v>370</v>
      </c>
      <c r="CG16" s="187">
        <f>Иль!D43</f>
        <v>75</v>
      </c>
      <c r="CH16" s="187">
        <f t="shared" si="37"/>
        <v>20.27027027027027</v>
      </c>
      <c r="CI16" s="184">
        <f>Иль!C44</f>
        <v>7007.6681200000003</v>
      </c>
      <c r="CJ16" s="187">
        <f>Иль!D44</f>
        <v>5201.2083899999998</v>
      </c>
      <c r="CK16" s="187">
        <f t="shared" si="7"/>
        <v>74.22167118838955</v>
      </c>
      <c r="CL16" s="187">
        <f>Иль!C46</f>
        <v>154.24</v>
      </c>
      <c r="CM16" s="187">
        <f>Иль!D46</f>
        <v>150.881</v>
      </c>
      <c r="CN16" s="187">
        <f t="shared" si="8"/>
        <v>97.822225103734439</v>
      </c>
      <c r="CO16" s="187">
        <f>Иль!C47</f>
        <v>3.9389799999999999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113.32299999999999</v>
      </c>
      <c r="CT16" s="187">
        <f t="shared" si="9"/>
        <v>100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11536.15072</v>
      </c>
      <c r="DH16" s="195">
        <f t="shared" si="39"/>
        <v>8034.8986599999989</v>
      </c>
      <c r="DI16" s="187">
        <f t="shared" si="40"/>
        <v>69.649737204543044</v>
      </c>
      <c r="DJ16" s="195">
        <f t="shared" si="41"/>
        <v>1298.712</v>
      </c>
      <c r="DK16" s="195">
        <f t="shared" si="41"/>
        <v>916.11743999999999</v>
      </c>
      <c r="DL16" s="187">
        <f t="shared" si="42"/>
        <v>70.540461626596198</v>
      </c>
      <c r="DM16" s="187">
        <f>Иль!C59</f>
        <v>1265.029</v>
      </c>
      <c r="DN16" s="187">
        <f>Иль!D59</f>
        <v>891.08893999999998</v>
      </c>
      <c r="DO16" s="187">
        <f t="shared" si="43"/>
        <v>70.440198604142665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25.028500000000001</v>
      </c>
      <c r="DX16" s="187">
        <f t="shared" si="46"/>
        <v>87.25900359097723</v>
      </c>
      <c r="DY16" s="187">
        <f>Иль!C66</f>
        <v>150.881</v>
      </c>
      <c r="DZ16" s="187">
        <f>Иль!D66</f>
        <v>120.12084</v>
      </c>
      <c r="EA16" s="187">
        <f t="shared" si="47"/>
        <v>79.612966510031086</v>
      </c>
      <c r="EB16" s="187">
        <f>Иль!C67</f>
        <v>32.86692</v>
      </c>
      <c r="EC16" s="187">
        <f>Иль!D67</f>
        <v>2.4700000000000002</v>
      </c>
      <c r="ED16" s="187">
        <f t="shared" si="48"/>
        <v>7.5151550555999771</v>
      </c>
      <c r="EE16" s="195">
        <f>Иль!C72</f>
        <v>1981.4764100000002</v>
      </c>
      <c r="EF16" s="195">
        <f>Иль!D72</f>
        <v>735.31261999999992</v>
      </c>
      <c r="EG16" s="187">
        <f t="shared" si="49"/>
        <v>37.109330007113222</v>
      </c>
      <c r="EH16" s="195">
        <f>Иль!C79</f>
        <v>6704.8143899999995</v>
      </c>
      <c r="EI16" s="195">
        <f>Иль!D79</f>
        <v>5264.4462199999998</v>
      </c>
      <c r="EJ16" s="187">
        <f t="shared" si="50"/>
        <v>78.517404267771241</v>
      </c>
      <c r="EK16" s="195">
        <f>Иль!C83</f>
        <v>1357.4</v>
      </c>
      <c r="EL16" s="197">
        <f>Иль!D83</f>
        <v>994.90153999999995</v>
      </c>
      <c r="EM16" s="187">
        <f t="shared" si="10"/>
        <v>73.294647119493135</v>
      </c>
      <c r="EN16" s="187">
        <f>Иль!C85</f>
        <v>0</v>
      </c>
      <c r="EO16" s="187">
        <f>Иль!D85</f>
        <v>0</v>
      </c>
      <c r="EP16" s="187" t="e">
        <f t="shared" si="11"/>
        <v>#DIV/0!</v>
      </c>
      <c r="EQ16" s="198">
        <f>Иль!C90</f>
        <v>10</v>
      </c>
      <c r="ER16" s="198">
        <f>Иль!D90</f>
        <v>1.53</v>
      </c>
      <c r="ES16" s="187">
        <f t="shared" si="51"/>
        <v>15.299999999999999</v>
      </c>
      <c r="ET16" s="187">
        <f>Иль!C96</f>
        <v>0</v>
      </c>
      <c r="EU16" s="187">
        <f>Иль!D96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107.88884000000144</v>
      </c>
      <c r="EY16" s="184">
        <f>EX16/EW16*100</f>
        <v>-97.35623850937975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30">
        <f t="shared" si="14"/>
        <v>6966.1266400000004</v>
      </c>
      <c r="D17" s="432">
        <f t="shared" si="0"/>
        <v>3851.1112400000002</v>
      </c>
      <c r="E17" s="187">
        <f t="shared" si="1"/>
        <v>55.283394044068082</v>
      </c>
      <c r="F17" s="185">
        <f t="shared" si="2"/>
        <v>4238.8600000000006</v>
      </c>
      <c r="G17" s="185">
        <f t="shared" si="3"/>
        <v>2171.9431399999999</v>
      </c>
      <c r="H17" s="187">
        <f t="shared" si="15"/>
        <v>51.238850540003668</v>
      </c>
      <c r="I17" s="195">
        <f>Кад!C6</f>
        <v>456.3</v>
      </c>
      <c r="J17" s="195">
        <f>Кад!D6</f>
        <v>311.78298999999998</v>
      </c>
      <c r="K17" s="187">
        <f t="shared" si="16"/>
        <v>68.328509752355899</v>
      </c>
      <c r="L17" s="187">
        <f>Кад!C8</f>
        <v>272.49</v>
      </c>
      <c r="M17" s="187">
        <f>Кад!D8</f>
        <v>241.84802999999999</v>
      </c>
      <c r="N17" s="184">
        <f t="shared" si="17"/>
        <v>88.754827700099085</v>
      </c>
      <c r="O17" s="184">
        <f>Кад!C9</f>
        <v>2.85</v>
      </c>
      <c r="P17" s="184">
        <f>Кад!D9</f>
        <v>2.1936100000000001</v>
      </c>
      <c r="Q17" s="184">
        <f t="shared" si="18"/>
        <v>76.96877192982457</v>
      </c>
      <c r="R17" s="184">
        <f>Кад!C10</f>
        <v>444.22</v>
      </c>
      <c r="S17" s="184">
        <f>Кад!D10</f>
        <v>365.49083000000002</v>
      </c>
      <c r="T17" s="184">
        <f t="shared" si="19"/>
        <v>82.276986628247258</v>
      </c>
      <c r="U17" s="184">
        <f>Кад!C11</f>
        <v>0</v>
      </c>
      <c r="V17" s="451">
        <f>Кад!D11</f>
        <v>-54.172989999999999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87.542850000000001</v>
      </c>
      <c r="AC17" s="187">
        <f t="shared" si="22"/>
        <v>34.330529411764701</v>
      </c>
      <c r="AD17" s="195">
        <f>Кад!C16</f>
        <v>2661</v>
      </c>
      <c r="AE17" s="195">
        <f>Кад!D16</f>
        <v>1423.39354</v>
      </c>
      <c r="AF17" s="187">
        <f t="shared" si="4"/>
        <v>53.490925967681321</v>
      </c>
      <c r="AG17" s="187">
        <f>Кад!C18</f>
        <v>25</v>
      </c>
      <c r="AH17" s="187">
        <f>Кад!D18</f>
        <v>20.5</v>
      </c>
      <c r="AI17" s="187">
        <f t="shared" si="23"/>
        <v>82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-278.68472000000003</v>
      </c>
      <c r="AR17" s="187">
        <f t="shared" si="24"/>
        <v>-398.12102857142861</v>
      </c>
      <c r="AS17" s="188">
        <f>Кад!C28</f>
        <v>2</v>
      </c>
      <c r="AT17" s="448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24.27927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60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2727.2666400000003</v>
      </c>
      <c r="CA17" s="186">
        <f t="shared" si="35"/>
        <v>1679.1681000000001</v>
      </c>
      <c r="CB17" s="187">
        <f>CA17/BZ17*100</f>
        <v>61.569634423424034</v>
      </c>
      <c r="CC17" s="187">
        <f>Кад!C41</f>
        <v>1128.914</v>
      </c>
      <c r="CD17" s="187">
        <f>Кад!D41</f>
        <v>861.30499999999995</v>
      </c>
      <c r="CE17" s="187">
        <f t="shared" si="36"/>
        <v>76.295005642591022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1190.4276400000001</v>
      </c>
      <c r="CJ17" s="187">
        <f>Кад!D43</f>
        <v>442.11900000000003</v>
      </c>
      <c r="CK17" s="187">
        <f t="shared" si="7"/>
        <v>37.13951063837866</v>
      </c>
      <c r="CL17" s="187">
        <f>Кад!C45</f>
        <v>157.59899999999999</v>
      </c>
      <c r="CM17" s="187">
        <f>Кад!D45</f>
        <v>151.91810000000001</v>
      </c>
      <c r="CN17" s="187">
        <f t="shared" si="8"/>
        <v>96.395345148129124</v>
      </c>
      <c r="CO17" s="187"/>
      <c r="CP17" s="187"/>
      <c r="CQ17" s="187"/>
      <c r="CR17" s="187">
        <f>Кад!C47</f>
        <v>250.32599999999999</v>
      </c>
      <c r="CS17" s="187">
        <f>Кад!D47</f>
        <v>223.82599999999999</v>
      </c>
      <c r="CT17" s="187">
        <f t="shared" si="9"/>
        <v>89.413804399063622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7642.9603400000005</v>
      </c>
      <c r="DH17" s="195">
        <f t="shared" si="39"/>
        <v>4387.4511899999998</v>
      </c>
      <c r="DI17" s="187">
        <f t="shared" si="40"/>
        <v>57.405128311839434</v>
      </c>
      <c r="DJ17" s="195">
        <f t="shared" si="41"/>
        <v>1604.3</v>
      </c>
      <c r="DK17" s="195">
        <f t="shared" si="41"/>
        <v>1111.75638</v>
      </c>
      <c r="DL17" s="187">
        <f t="shared" si="42"/>
        <v>69.298533940036151</v>
      </c>
      <c r="DM17" s="187">
        <f>Кад!C57</f>
        <v>1593.7139999999999</v>
      </c>
      <c r="DN17" s="187">
        <f>Кад!D57</f>
        <v>1106.6493800000001</v>
      </c>
      <c r="DO17" s="187">
        <f t="shared" si="43"/>
        <v>69.438392333881751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5.1070000000000002</v>
      </c>
      <c r="DX17" s="187">
        <f t="shared" si="46"/>
        <v>91.424991049051201</v>
      </c>
      <c r="DY17" s="187">
        <f>Кад!C64</f>
        <v>150.881</v>
      </c>
      <c r="DZ17" s="187">
        <f>Кад!D64</f>
        <v>111.26248</v>
      </c>
      <c r="EA17" s="187">
        <f t="shared" si="47"/>
        <v>73.741876048011349</v>
      </c>
      <c r="EB17" s="187">
        <f>Кад!C65</f>
        <v>2.4</v>
      </c>
      <c r="EC17" s="187">
        <f>Кад!D65</f>
        <v>1.8</v>
      </c>
      <c r="ED17" s="187">
        <f t="shared" si="48"/>
        <v>75</v>
      </c>
      <c r="EE17" s="195">
        <f>Кад!C70</f>
        <v>2705.7973400000001</v>
      </c>
      <c r="EF17" s="195">
        <f>Кад!D70</f>
        <v>1253.1861899999999</v>
      </c>
      <c r="EG17" s="187">
        <f t="shared" si="49"/>
        <v>46.314857786060202</v>
      </c>
      <c r="EH17" s="195">
        <f>Кад!C75</f>
        <v>1144.8820000000001</v>
      </c>
      <c r="EI17" s="195">
        <f>Кад!D75</f>
        <v>767.74613999999997</v>
      </c>
      <c r="EJ17" s="187">
        <f t="shared" si="50"/>
        <v>67.058975510139902</v>
      </c>
      <c r="EK17" s="195">
        <f>Кад!C79</f>
        <v>2033.7</v>
      </c>
      <c r="EL17" s="197">
        <f>Кад!D79</f>
        <v>1141.7</v>
      </c>
      <c r="EM17" s="187">
        <f t="shared" si="10"/>
        <v>56.139056891380243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-676.83370000000014</v>
      </c>
      <c r="EX17" s="191">
        <f t="shared" si="13"/>
        <v>-536.33994999999959</v>
      </c>
      <c r="EY17" s="184">
        <f>EX17/EW17*100</f>
        <v>79.242500779733561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431">
        <f t="shared" si="14"/>
        <v>9527.3249999999989</v>
      </c>
      <c r="D18" s="433">
        <f t="shared" si="0"/>
        <v>6644.6198799999993</v>
      </c>
      <c r="E18" s="228">
        <f t="shared" si="1"/>
        <v>69.742764941890826</v>
      </c>
      <c r="F18" s="229">
        <f t="shared" si="2"/>
        <v>4296.0099999999993</v>
      </c>
      <c r="G18" s="229">
        <f t="shared" si="3"/>
        <v>2683.2403899999999</v>
      </c>
      <c r="H18" s="228">
        <f t="shared" si="15"/>
        <v>62.458895347077878</v>
      </c>
      <c r="I18" s="294">
        <f>Мор!C6</f>
        <v>1624.2</v>
      </c>
      <c r="J18" s="294">
        <f>Мор!D6</f>
        <v>1208.1033299999999</v>
      </c>
      <c r="K18" s="228">
        <f t="shared" si="16"/>
        <v>74.38143886220908</v>
      </c>
      <c r="L18" s="228">
        <f>Мор!C8</f>
        <v>130.59</v>
      </c>
      <c r="M18" s="228">
        <f>Мор!D8</f>
        <v>118.75172999999999</v>
      </c>
      <c r="N18" s="228">
        <f t="shared" si="17"/>
        <v>90.934780611072824</v>
      </c>
      <c r="O18" s="228">
        <f>Мор!C9</f>
        <v>1.4</v>
      </c>
      <c r="P18" s="228">
        <f>Мор!D9</f>
        <v>1.0770999999999999</v>
      </c>
      <c r="Q18" s="228">
        <f t="shared" si="18"/>
        <v>76.935714285714283</v>
      </c>
      <c r="R18" s="228">
        <f>Мор!C10</f>
        <v>218.12</v>
      </c>
      <c r="S18" s="228">
        <f>Мор!D10</f>
        <v>179.46256</v>
      </c>
      <c r="T18" s="228">
        <f t="shared" si="19"/>
        <v>82.276985145791301</v>
      </c>
      <c r="U18" s="228">
        <f>Мор!C11</f>
        <v>0</v>
      </c>
      <c r="V18" s="452">
        <f>Мор!D11</f>
        <v>-26.59994</v>
      </c>
      <c r="W18" s="228" t="e">
        <f t="shared" si="20"/>
        <v>#DIV/0!</v>
      </c>
      <c r="X18" s="188">
        <f>Мор!C13</f>
        <v>75</v>
      </c>
      <c r="Y18" s="188">
        <f>Мор!D13</f>
        <v>75.141949999999994</v>
      </c>
      <c r="Z18" s="228">
        <f t="shared" si="21"/>
        <v>100.18926666666665</v>
      </c>
      <c r="AA18" s="188">
        <f>Мор!C15</f>
        <v>550</v>
      </c>
      <c r="AB18" s="188">
        <f>Мор!D15</f>
        <v>228.72593000000001</v>
      </c>
      <c r="AC18" s="228">
        <f t="shared" si="22"/>
        <v>41.586532727272726</v>
      </c>
      <c r="AD18" s="188">
        <f>Мор!C16</f>
        <v>1676.7</v>
      </c>
      <c r="AE18" s="188">
        <f>Мор!D16</f>
        <v>901.73118999999997</v>
      </c>
      <c r="AF18" s="228">
        <f t="shared" si="4"/>
        <v>53.780115107055529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449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10</v>
      </c>
      <c r="AZ18" s="228">
        <f>Мор!D29</f>
        <v>8.3664100000000001</v>
      </c>
      <c r="BA18" s="228">
        <f t="shared" si="27"/>
        <v>83.664099999999991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361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-11.519869999999999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5231.3149999999996</v>
      </c>
      <c r="CA18" s="186">
        <f t="shared" si="35"/>
        <v>3961.3794899999994</v>
      </c>
      <c r="CB18" s="228">
        <f t="shared" ref="CB18:CB31" si="53">CA18/BZ18*100</f>
        <v>75.724354010416121</v>
      </c>
      <c r="CC18" s="228">
        <f>Мор!C41</f>
        <v>4512.616</v>
      </c>
      <c r="CD18" s="228">
        <f>Мор!D41</f>
        <v>3666.3139999999999</v>
      </c>
      <c r="CE18" s="228">
        <f t="shared" si="36"/>
        <v>81.245867142251853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583.00300000000004</v>
      </c>
      <c r="CJ18" s="228">
        <f>Мор!D43</f>
        <v>171.66</v>
      </c>
      <c r="CK18" s="228">
        <f t="shared" si="7"/>
        <v>29.444102345957052</v>
      </c>
      <c r="CL18" s="228">
        <f>Мор!C45</f>
        <v>15.396000000000001</v>
      </c>
      <c r="CM18" s="228">
        <f>Мор!D45</f>
        <v>1.3828</v>
      </c>
      <c r="CN18" s="228">
        <f t="shared" si="8"/>
        <v>8.9815536502987783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>
        <f>Мор!D48</f>
        <v>122.02269</v>
      </c>
      <c r="CT18" s="228">
        <f t="shared" si="9"/>
        <v>101.43199501246882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9577.8371699999989</v>
      </c>
      <c r="DH18" s="188">
        <f t="shared" si="39"/>
        <v>5599.1535800000001</v>
      </c>
      <c r="DI18" s="228">
        <f t="shared" si="40"/>
        <v>58.459477652614979</v>
      </c>
      <c r="DJ18" s="188">
        <f t="shared" si="41"/>
        <v>1820.6569999999999</v>
      </c>
      <c r="DK18" s="188">
        <f t="shared" si="41"/>
        <v>1258.38706</v>
      </c>
      <c r="DL18" s="228">
        <f t="shared" si="42"/>
        <v>69.117195605762106</v>
      </c>
      <c r="DM18" s="228">
        <f>Мор!C58</f>
        <v>1709.9159999999999</v>
      </c>
      <c r="DN18" s="228">
        <f>Мор!D58</f>
        <v>1178.64606</v>
      </c>
      <c r="DO18" s="228">
        <f t="shared" si="43"/>
        <v>68.930056213287671</v>
      </c>
      <c r="DP18" s="228">
        <f>Мор!C61</f>
        <v>68.039000000000001</v>
      </c>
      <c r="DQ18" s="228">
        <f>Мор!D61</f>
        <v>68.039000000000001</v>
      </c>
      <c r="DR18" s="228">
        <f t="shared" si="44"/>
        <v>100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22.702000000000002</v>
      </c>
      <c r="DW18" s="228">
        <f>Мор!D63</f>
        <v>11.702</v>
      </c>
      <c r="DX18" s="228">
        <f t="shared" si="46"/>
        <v>51.546119284644519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1818.7341699999999</v>
      </c>
      <c r="EF18" s="188">
        <f>Мор!D71</f>
        <v>534.31425000000002</v>
      </c>
      <c r="EG18" s="228">
        <f t="shared" si="49"/>
        <v>29.37835879555724</v>
      </c>
      <c r="EH18" s="188">
        <f>Мор!C76</f>
        <v>3509.1460000000002</v>
      </c>
      <c r="EI18" s="188">
        <f>Мор!D76</f>
        <v>1826.45227</v>
      </c>
      <c r="EJ18" s="228">
        <f t="shared" si="50"/>
        <v>52.048340821385032</v>
      </c>
      <c r="EK18" s="188">
        <f>Мор!C80</f>
        <v>2374.3000000000002</v>
      </c>
      <c r="EL18" s="231">
        <f>Мор!D80</f>
        <v>1980</v>
      </c>
      <c r="EM18" s="228">
        <f t="shared" si="10"/>
        <v>83.393000042117677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-50.512169999999969</v>
      </c>
      <c r="EX18" s="232">
        <f t="shared" si="13"/>
        <v>1045.4662999999991</v>
      </c>
      <c r="EY18" s="228">
        <f t="shared" ref="EY18:EY30" si="54">EX18/EW18*100</f>
        <v>-2069.7315122276468</v>
      </c>
      <c r="EZ18" s="233"/>
      <c r="FA18" s="234"/>
      <c r="FC18" s="234"/>
    </row>
    <row r="19" spans="1:170" s="447" customFormat="1" ht="15" customHeight="1">
      <c r="A19" s="434">
        <v>6</v>
      </c>
      <c r="B19" s="435" t="s">
        <v>309</v>
      </c>
      <c r="C19" s="436">
        <f t="shared" si="14"/>
        <v>6735.12</v>
      </c>
      <c r="D19" s="437">
        <f t="shared" si="0"/>
        <v>4014.5058300000001</v>
      </c>
      <c r="E19" s="438">
        <f t="shared" si="1"/>
        <v>59.605557584720096</v>
      </c>
      <c r="F19" s="439">
        <f t="shared" si="2"/>
        <v>4833.7</v>
      </c>
      <c r="G19" s="439">
        <f t="shared" si="3"/>
        <v>3259.8469599999999</v>
      </c>
      <c r="H19" s="438">
        <f t="shared" si="15"/>
        <v>67.439993379812563</v>
      </c>
      <c r="I19" s="440">
        <f>Мос!C6</f>
        <v>1309.9000000000001</v>
      </c>
      <c r="J19" s="440">
        <f>Мос!D6</f>
        <v>886.98828000000003</v>
      </c>
      <c r="K19" s="438">
        <f t="shared" si="16"/>
        <v>67.714198030383997</v>
      </c>
      <c r="L19" s="438">
        <f>Мос!C8</f>
        <v>246.85</v>
      </c>
      <c r="M19" s="438">
        <f>Мос!D8</f>
        <v>224.46973</v>
      </c>
      <c r="N19" s="438">
        <f t="shared" si="17"/>
        <v>90.933656066437109</v>
      </c>
      <c r="O19" s="438">
        <f>Мос!C9</f>
        <v>2.65</v>
      </c>
      <c r="P19" s="438">
        <f>Мос!D9</f>
        <v>2.0359799999999999</v>
      </c>
      <c r="Q19" s="438">
        <f t="shared" si="18"/>
        <v>76.829433962264147</v>
      </c>
      <c r="R19" s="438">
        <f>Мос!C10</f>
        <v>412.3</v>
      </c>
      <c r="S19" s="438">
        <f>Мос!D10</f>
        <v>339.22802000000001</v>
      </c>
      <c r="T19" s="438">
        <f t="shared" si="19"/>
        <v>82.276987630366236</v>
      </c>
      <c r="U19" s="438">
        <f>Мос!C11</f>
        <v>0</v>
      </c>
      <c r="V19" s="453">
        <f>Мос!D11</f>
        <v>-50.280360000000002</v>
      </c>
      <c r="W19" s="438" t="e">
        <f t="shared" si="20"/>
        <v>#DIV/0!</v>
      </c>
      <c r="X19" s="440">
        <f>Мос!C13</f>
        <v>10</v>
      </c>
      <c r="Y19" s="440">
        <f>Мос!D13</f>
        <v>28.442399999999999</v>
      </c>
      <c r="Z19" s="438">
        <f t="shared" si="21"/>
        <v>284.42400000000004</v>
      </c>
      <c r="AA19" s="440">
        <f>Мос!C15</f>
        <v>190</v>
      </c>
      <c r="AB19" s="440">
        <f>Мос!D15</f>
        <v>63.180610000000001</v>
      </c>
      <c r="AC19" s="438">
        <f t="shared" si="22"/>
        <v>33.25295263157895</v>
      </c>
      <c r="AD19" s="440">
        <f>Мос!C16</f>
        <v>2650</v>
      </c>
      <c r="AE19" s="440">
        <f>Мос!D16</f>
        <v>1759.18569</v>
      </c>
      <c r="AF19" s="438">
        <f t="shared" si="4"/>
        <v>66.38436566037737</v>
      </c>
      <c r="AG19" s="438">
        <f>Мос!C18</f>
        <v>10</v>
      </c>
      <c r="AH19" s="438">
        <f>Мос!D18</f>
        <v>6.85</v>
      </c>
      <c r="AI19" s="438">
        <f t="shared" si="23"/>
        <v>68.5</v>
      </c>
      <c r="AJ19" s="438"/>
      <c r="AK19" s="438"/>
      <c r="AL19" s="438" t="e">
        <f t="shared" si="5"/>
        <v>#DIV/0!</v>
      </c>
      <c r="AM19" s="440">
        <f>Мос!C27</f>
        <v>0</v>
      </c>
      <c r="AN19" s="440">
        <f>Мос!D27</f>
        <v>0</v>
      </c>
      <c r="AO19" s="438" t="e">
        <f t="shared" si="6"/>
        <v>#DIV/0!</v>
      </c>
      <c r="AP19" s="440">
        <v>0</v>
      </c>
      <c r="AQ19" s="440">
        <f>Мос!D27</f>
        <v>0</v>
      </c>
      <c r="AR19" s="438" t="e">
        <f t="shared" si="24"/>
        <v>#DIV/0!</v>
      </c>
      <c r="AS19" s="440">
        <f>Мос!C26</f>
        <v>2</v>
      </c>
      <c r="AT19" s="450">
        <f>Мос!D28</f>
        <v>0</v>
      </c>
      <c r="AU19" s="438">
        <f t="shared" si="25"/>
        <v>0</v>
      </c>
      <c r="AV19" s="440"/>
      <c r="AW19" s="440"/>
      <c r="AX19" s="438" t="e">
        <f t="shared" si="26"/>
        <v>#DIV/0!</v>
      </c>
      <c r="AY19" s="438">
        <f>Мос!C30</f>
        <v>0</v>
      </c>
      <c r="AZ19" s="438">
        <f>Мос!D30</f>
        <v>0</v>
      </c>
      <c r="BA19" s="438" t="e">
        <f t="shared" si="27"/>
        <v>#DIV/0!</v>
      </c>
      <c r="BB19" s="438"/>
      <c r="BC19" s="438"/>
      <c r="BD19" s="438"/>
      <c r="BE19" s="438">
        <f>Мос!C33</f>
        <v>0</v>
      </c>
      <c r="BF19" s="438">
        <f>Мос!D33</f>
        <v>0</v>
      </c>
      <c r="BG19" s="438" t="e">
        <f t="shared" si="28"/>
        <v>#DIV/0!</v>
      </c>
      <c r="BH19" s="438"/>
      <c r="BI19" s="438"/>
      <c r="BJ19" s="438" t="e">
        <f t="shared" si="29"/>
        <v>#DIV/0!</v>
      </c>
      <c r="BK19" s="438"/>
      <c r="BL19" s="438"/>
      <c r="BM19" s="438"/>
      <c r="BN19" s="438"/>
      <c r="BO19" s="441">
        <f>Мос!D35</f>
        <v>0</v>
      </c>
      <c r="BP19" s="438" t="e">
        <f t="shared" si="30"/>
        <v>#DIV/0!</v>
      </c>
      <c r="BQ19" s="438">
        <f>Мос!C36</f>
        <v>0</v>
      </c>
      <c r="BR19" s="438">
        <f>Мос!D36</f>
        <v>-0.25339</v>
      </c>
      <c r="BS19" s="438" t="e">
        <f t="shared" si="31"/>
        <v>#DIV/0!</v>
      </c>
      <c r="BT19" s="438"/>
      <c r="BU19" s="438"/>
      <c r="BV19" s="442" t="e">
        <f t="shared" si="32"/>
        <v>#DIV/0!</v>
      </c>
      <c r="BW19" s="442"/>
      <c r="BX19" s="442"/>
      <c r="BY19" s="442" t="e">
        <f t="shared" si="33"/>
        <v>#DIV/0!</v>
      </c>
      <c r="BZ19" s="440">
        <f t="shared" si="34"/>
        <v>1901.42</v>
      </c>
      <c r="CA19" s="440">
        <f t="shared" si="35"/>
        <v>754.65886999999998</v>
      </c>
      <c r="CB19" s="438">
        <f t="shared" si="53"/>
        <v>39.689225421001147</v>
      </c>
      <c r="CC19" s="438">
        <f>Мос!C41</f>
        <v>35.76</v>
      </c>
      <c r="CD19" s="438">
        <f>Мос!D41</f>
        <v>5.63</v>
      </c>
      <c r="CE19" s="438">
        <f>CD19/CC19*100</f>
        <v>15.743847874720359</v>
      </c>
      <c r="CF19" s="438">
        <f>Мос!C42</f>
        <v>0</v>
      </c>
      <c r="CG19" s="438">
        <f>Мос!D42</f>
        <v>0</v>
      </c>
      <c r="CH19" s="438" t="e">
        <f t="shared" si="37"/>
        <v>#DIV/0!</v>
      </c>
      <c r="CI19" s="438">
        <f>Мос!C43</f>
        <v>1336.52</v>
      </c>
      <c r="CJ19" s="438">
        <f>Мос!D43</f>
        <v>323.24786999999998</v>
      </c>
      <c r="CK19" s="438">
        <f t="shared" si="7"/>
        <v>24.18578622093197</v>
      </c>
      <c r="CL19" s="438">
        <f>Мос!C45</f>
        <v>154.24</v>
      </c>
      <c r="CM19" s="438">
        <f>Мос!D45</f>
        <v>150.881</v>
      </c>
      <c r="CN19" s="438">
        <f t="shared" si="8"/>
        <v>97.822225103734439</v>
      </c>
      <c r="CO19" s="438">
        <f>Мос!C47</f>
        <v>100</v>
      </c>
      <c r="CP19" s="438">
        <f>Мос!D46</f>
        <v>0</v>
      </c>
      <c r="CQ19" s="438">
        <f>CP19/CO19*100</f>
        <v>0</v>
      </c>
      <c r="CR19" s="438">
        <f>Мос!C50</f>
        <v>274.89999999999998</v>
      </c>
      <c r="CS19" s="438">
        <f>Мос!D50</f>
        <v>274.89999999999998</v>
      </c>
      <c r="CT19" s="438">
        <f t="shared" si="9"/>
        <v>100</v>
      </c>
      <c r="CU19" s="438"/>
      <c r="CV19" s="438"/>
      <c r="CW19" s="438"/>
      <c r="CX19" s="440"/>
      <c r="CY19" s="440"/>
      <c r="CZ19" s="438" t="e">
        <f t="shared" si="38"/>
        <v>#DIV/0!</v>
      </c>
      <c r="DA19" s="438"/>
      <c r="DB19" s="438"/>
      <c r="DC19" s="438"/>
      <c r="DD19" s="438"/>
      <c r="DE19" s="438"/>
      <c r="DF19" s="438"/>
      <c r="DG19" s="440">
        <f t="shared" si="39"/>
        <v>7063.3660099999997</v>
      </c>
      <c r="DH19" s="440">
        <f t="shared" si="39"/>
        <v>3513.0063799999998</v>
      </c>
      <c r="DI19" s="438">
        <f t="shared" si="40"/>
        <v>49.735584635235405</v>
      </c>
      <c r="DJ19" s="440">
        <f t="shared" si="41"/>
        <v>1826.8579999999999</v>
      </c>
      <c r="DK19" s="440">
        <f t="shared" si="41"/>
        <v>1341.7982200000001</v>
      </c>
      <c r="DL19" s="438">
        <f t="shared" si="42"/>
        <v>73.448413615070251</v>
      </c>
      <c r="DM19" s="438">
        <f>Мос!C58</f>
        <v>1799.6769999999999</v>
      </c>
      <c r="DN19" s="438">
        <f>Мос!D58</f>
        <v>1320.3017600000001</v>
      </c>
      <c r="DO19" s="438">
        <f t="shared" si="43"/>
        <v>73.363262407643163</v>
      </c>
      <c r="DP19" s="438">
        <f>Мос!C61</f>
        <v>16.698</v>
      </c>
      <c r="DQ19" s="438">
        <f>Мос!D61</f>
        <v>16.698</v>
      </c>
      <c r="DR19" s="438">
        <f t="shared" si="44"/>
        <v>100</v>
      </c>
      <c r="DS19" s="438">
        <f>Мос!C62</f>
        <v>5</v>
      </c>
      <c r="DT19" s="438">
        <f>Мос!D62</f>
        <v>0</v>
      </c>
      <c r="DU19" s="438">
        <f t="shared" si="45"/>
        <v>0</v>
      </c>
      <c r="DV19" s="438">
        <f>Мос!C63</f>
        <v>5.4829999999999997</v>
      </c>
      <c r="DW19" s="438">
        <f>Мос!D63</f>
        <v>4.7984600000000004</v>
      </c>
      <c r="DX19" s="438">
        <f t="shared" si="46"/>
        <v>87.515228889294193</v>
      </c>
      <c r="DY19" s="438">
        <f>Мос!C65</f>
        <v>150.881</v>
      </c>
      <c r="DZ19" s="438">
        <f>Мос!D65</f>
        <v>123.09586</v>
      </c>
      <c r="EA19" s="438">
        <f t="shared" si="47"/>
        <v>81.584732338730532</v>
      </c>
      <c r="EB19" s="438">
        <f>Мос!C66</f>
        <v>15</v>
      </c>
      <c r="EC19" s="438">
        <f>Мос!D66</f>
        <v>1.8</v>
      </c>
      <c r="ED19" s="438">
        <f t="shared" si="48"/>
        <v>12.000000000000002</v>
      </c>
      <c r="EE19" s="440">
        <f>Мос!C71</f>
        <v>2995.57501</v>
      </c>
      <c r="EF19" s="440">
        <f>Мос!D71</f>
        <v>877.51490999999999</v>
      </c>
      <c r="EG19" s="438">
        <f t="shared" si="49"/>
        <v>29.293705117402485</v>
      </c>
      <c r="EH19" s="440">
        <f>Мос!C76</f>
        <v>944.15</v>
      </c>
      <c r="EI19" s="440">
        <f>Мос!D76</f>
        <v>509.99739</v>
      </c>
      <c r="EJ19" s="438">
        <f t="shared" si="50"/>
        <v>54.016564105279883</v>
      </c>
      <c r="EK19" s="440">
        <f>Мос!C81</f>
        <v>1107.5999999999999</v>
      </c>
      <c r="EL19" s="443">
        <f>Мос!D81</f>
        <v>648.79999999999995</v>
      </c>
      <c r="EM19" s="438">
        <f t="shared" si="10"/>
        <v>58.577103647526187</v>
      </c>
      <c r="EN19" s="438">
        <f>Мос!C89</f>
        <v>0</v>
      </c>
      <c r="EO19" s="438">
        <f>Мос!D89</f>
        <v>0</v>
      </c>
      <c r="EP19" s="438" t="e">
        <f t="shared" si="11"/>
        <v>#DIV/0!</v>
      </c>
      <c r="EQ19" s="439">
        <f>Мос!C91</f>
        <v>23.302</v>
      </c>
      <c r="ER19" s="439">
        <f>Мос!D91</f>
        <v>10</v>
      </c>
      <c r="ES19" s="438">
        <f t="shared" si="51"/>
        <v>42.914771264269163</v>
      </c>
      <c r="ET19" s="438">
        <f>Мос!C97</f>
        <v>0</v>
      </c>
      <c r="EU19" s="438">
        <f>Мос!D97</f>
        <v>0</v>
      </c>
      <c r="EV19" s="438" t="e">
        <f t="shared" si="52"/>
        <v>#DIV/0!</v>
      </c>
      <c r="EW19" s="444">
        <f t="shared" si="12"/>
        <v>-328.24600999999984</v>
      </c>
      <c r="EX19" s="444">
        <f t="shared" si="13"/>
        <v>501.49945000000025</v>
      </c>
      <c r="EY19" s="438">
        <f t="shared" si="54"/>
        <v>-152.78158293531138</v>
      </c>
      <c r="EZ19" s="445"/>
      <c r="FA19" s="446"/>
      <c r="FC19" s="446"/>
    </row>
    <row r="20" spans="1:170" s="169" customFormat="1" ht="15" customHeight="1">
      <c r="A20" s="181">
        <v>7</v>
      </c>
      <c r="B20" s="194" t="s">
        <v>310</v>
      </c>
      <c r="C20" s="429">
        <f t="shared" si="14"/>
        <v>5992.91</v>
      </c>
      <c r="D20" s="432">
        <f t="shared" si="0"/>
        <v>4056.9669400000002</v>
      </c>
      <c r="E20" s="187">
        <f t="shared" si="1"/>
        <v>67.696109903202299</v>
      </c>
      <c r="F20" s="185">
        <f t="shared" si="2"/>
        <v>2702.3</v>
      </c>
      <c r="G20" s="185">
        <f t="shared" si="3"/>
        <v>1373.9115900000002</v>
      </c>
      <c r="H20" s="187">
        <f t="shared" si="15"/>
        <v>50.842304333345666</v>
      </c>
      <c r="I20" s="293">
        <f>Ори!C6</f>
        <v>262.3</v>
      </c>
      <c r="J20" s="293">
        <f>Ори!D6</f>
        <v>160.74467999999999</v>
      </c>
      <c r="K20" s="187">
        <f t="shared" si="16"/>
        <v>61.28276019824628</v>
      </c>
      <c r="L20" s="187">
        <f>Ори!C8</f>
        <v>157.66999999999999</v>
      </c>
      <c r="M20" s="187">
        <f>Ори!D8</f>
        <v>143.37099000000001</v>
      </c>
      <c r="N20" s="184">
        <f t="shared" si="17"/>
        <v>90.931052197627977</v>
      </c>
      <c r="O20" s="184">
        <f>Ори!C9</f>
        <v>1.7</v>
      </c>
      <c r="P20" s="184">
        <f>Ори!D9</f>
        <v>1.3004100000000001</v>
      </c>
      <c r="Q20" s="184">
        <f t="shared" si="18"/>
        <v>76.494705882352946</v>
      </c>
      <c r="R20" s="184">
        <f>Ори!C10</f>
        <v>263.33</v>
      </c>
      <c r="S20" s="184">
        <f>Ори!D10</f>
        <v>216.66821999999999</v>
      </c>
      <c r="T20" s="184">
        <f t="shared" si="19"/>
        <v>82.280112406486154</v>
      </c>
      <c r="U20" s="184">
        <f>Ори!C11</f>
        <v>0</v>
      </c>
      <c r="V20" s="451">
        <f>Ори!D11</f>
        <v>-32.114519999999999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69.331829999999997</v>
      </c>
      <c r="AC20" s="187">
        <f t="shared" si="22"/>
        <v>43.332393749999994</v>
      </c>
      <c r="AD20" s="195">
        <f>Ори!C16</f>
        <v>1620</v>
      </c>
      <c r="AE20" s="195">
        <f>Ори!D16</f>
        <v>694.31920000000002</v>
      </c>
      <c r="AF20" s="187">
        <f t="shared" si="4"/>
        <v>42.859209876543211</v>
      </c>
      <c r="AG20" s="187">
        <f>Ори!C18</f>
        <v>10</v>
      </c>
      <c r="AH20" s="187">
        <f>Ори!D18</f>
        <v>5.3849999999999998</v>
      </c>
      <c r="AI20" s="187">
        <f t="shared" si="23"/>
        <v>53.849999999999994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38.791519999999998</v>
      </c>
      <c r="AR20" s="187">
        <f t="shared" si="24"/>
        <v>36.152395153774464</v>
      </c>
      <c r="AS20" s="188">
        <f>Ори!C28</f>
        <v>30</v>
      </c>
      <c r="AT20" s="448">
        <f>Ори!D28</f>
        <v>40.5</v>
      </c>
      <c r="AU20" s="187">
        <f t="shared" si="25"/>
        <v>135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60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3290.6099999999997</v>
      </c>
      <c r="CA20" s="186">
        <f t="shared" si="35"/>
        <v>2683.0553500000001</v>
      </c>
      <c r="CB20" s="187">
        <f t="shared" si="53"/>
        <v>81.536716596618874</v>
      </c>
      <c r="CC20" s="187">
        <f>Ори!C41</f>
        <v>1357.7539999999999</v>
      </c>
      <c r="CD20" s="187">
        <f>Ори!D41</f>
        <v>1070.2460000000001</v>
      </c>
      <c r="CE20" s="187">
        <f t="shared" si="36"/>
        <v>78.824735555925457</v>
      </c>
      <c r="CF20" s="187">
        <f>Ори!C42</f>
        <v>420</v>
      </c>
      <c r="CG20" s="187">
        <f>Ори!D42</f>
        <v>240</v>
      </c>
      <c r="CH20" s="187">
        <f t="shared" si="37"/>
        <v>57.142857142857139</v>
      </c>
      <c r="CI20" s="187">
        <f>Ори!C43</f>
        <v>1047.7360000000001</v>
      </c>
      <c r="CJ20" s="187">
        <f>Ори!D43</f>
        <v>912.74599999999998</v>
      </c>
      <c r="CK20" s="187">
        <f t="shared" si="7"/>
        <v>87.116029228737005</v>
      </c>
      <c r="CL20" s="187">
        <f>Ори!C45</f>
        <v>155.91999999999999</v>
      </c>
      <c r="CM20" s="187">
        <f>Ори!D45</f>
        <v>150.881</v>
      </c>
      <c r="CN20" s="187">
        <f t="shared" si="8"/>
        <v>96.768214468958448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6104.6435099999999</v>
      </c>
      <c r="DH20" s="195">
        <f t="shared" si="39"/>
        <v>3947.1774899999996</v>
      </c>
      <c r="DI20" s="187">
        <f t="shared" si="40"/>
        <v>64.658607558887567</v>
      </c>
      <c r="DJ20" s="195">
        <f t="shared" si="41"/>
        <v>1330.0975000000001</v>
      </c>
      <c r="DK20" s="195">
        <f t="shared" si="41"/>
        <v>851.28859</v>
      </c>
      <c r="DL20" s="187">
        <f t="shared" si="42"/>
        <v>64.001969028586245</v>
      </c>
      <c r="DM20" s="187">
        <f>Ори!C58</f>
        <v>1313.154</v>
      </c>
      <c r="DN20" s="187">
        <f>Ори!D58</f>
        <v>847.18508999999995</v>
      </c>
      <c r="DO20" s="187">
        <f t="shared" si="43"/>
        <v>64.515288382017644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11.9435</v>
      </c>
      <c r="DW20" s="187">
        <f>Ори!D63</f>
        <v>4.1035000000000004</v>
      </c>
      <c r="DX20" s="187">
        <f t="shared" si="46"/>
        <v>34.357600368401222</v>
      </c>
      <c r="DY20" s="187">
        <f>Ори!C65</f>
        <v>150.881</v>
      </c>
      <c r="DZ20" s="187">
        <f>Ори!D65</f>
        <v>113.2955</v>
      </c>
      <c r="EA20" s="187">
        <f t="shared" si="47"/>
        <v>75.089308793022312</v>
      </c>
      <c r="EB20" s="187">
        <f>Ори!C66</f>
        <v>9.4405000000000001</v>
      </c>
      <c r="EC20" s="187">
        <f>Ори!D66</f>
        <v>6.9649999999999999</v>
      </c>
      <c r="ED20" s="187">
        <f t="shared" si="48"/>
        <v>73.777871934749214</v>
      </c>
      <c r="EE20" s="195">
        <f>Ори!C71</f>
        <v>2173.4105099999997</v>
      </c>
      <c r="EF20" s="195">
        <f>Ори!D71</f>
        <v>1674.9011999999998</v>
      </c>
      <c r="EG20" s="187">
        <f t="shared" si="49"/>
        <v>77.063269561533502</v>
      </c>
      <c r="EH20" s="195">
        <f>Ори!C76</f>
        <v>908.81399999999996</v>
      </c>
      <c r="EI20" s="195">
        <f>Ори!D76</f>
        <v>738.38620000000003</v>
      </c>
      <c r="EJ20" s="187">
        <f t="shared" si="50"/>
        <v>81.24722990622945</v>
      </c>
      <c r="EK20" s="195">
        <f>Ори!C81</f>
        <v>1530</v>
      </c>
      <c r="EL20" s="197">
        <f>Ори!D81</f>
        <v>562.34100000000001</v>
      </c>
      <c r="EM20" s="187">
        <f t="shared" si="10"/>
        <v>36.754313725490192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109.78945000000067</v>
      </c>
      <c r="EY20" s="184">
        <f t="shared" si="54"/>
        <v>-98.260092249854708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429">
        <f t="shared" si="14"/>
        <v>6439.1469999999999</v>
      </c>
      <c r="D21" s="432">
        <f t="shared" si="0"/>
        <v>3905.1341200000002</v>
      </c>
      <c r="E21" s="187">
        <f t="shared" si="1"/>
        <v>60.646761442159971</v>
      </c>
      <c r="F21" s="185">
        <f t="shared" si="2"/>
        <v>1904.9999999999998</v>
      </c>
      <c r="G21" s="185">
        <f t="shared" si="3"/>
        <v>1115.9229500000001</v>
      </c>
      <c r="H21" s="187">
        <f t="shared" si="15"/>
        <v>58.578632545931775</v>
      </c>
      <c r="I21" s="195">
        <f>Сят!C6</f>
        <v>108.1</v>
      </c>
      <c r="J21" s="195">
        <f>Сят!D6</f>
        <v>89.491929999999996</v>
      </c>
      <c r="K21" s="187">
        <f t="shared" si="16"/>
        <v>82.786244218316369</v>
      </c>
      <c r="L21" s="187">
        <f>Сят!C8</f>
        <v>194.3</v>
      </c>
      <c r="M21" s="187">
        <f>Сят!D8</f>
        <v>176.67939999999999</v>
      </c>
      <c r="N21" s="184">
        <f t="shared" si="17"/>
        <v>90.931240349974246</v>
      </c>
      <c r="O21" s="184">
        <f>Сят!C9</f>
        <v>2.1</v>
      </c>
      <c r="P21" s="184">
        <f>Сят!D9</f>
        <v>1.6025199999999999</v>
      </c>
      <c r="Q21" s="184">
        <f t="shared" si="18"/>
        <v>76.31047619047618</v>
      </c>
      <c r="R21" s="184">
        <f>Сят!C10</f>
        <v>324.5</v>
      </c>
      <c r="S21" s="184">
        <f>Сят!D10</f>
        <v>267.00528000000003</v>
      </c>
      <c r="T21" s="184">
        <f t="shared" si="19"/>
        <v>82.282058551617894</v>
      </c>
      <c r="U21" s="184">
        <f>Сят!C11</f>
        <v>0</v>
      </c>
      <c r="V21" s="451">
        <f>Сят!D11</f>
        <v>-39.575510000000001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66.693240000000003</v>
      </c>
      <c r="AC21" s="187">
        <f t="shared" si="22"/>
        <v>51.302492307692305</v>
      </c>
      <c r="AD21" s="195">
        <f>Сят!C16</f>
        <v>930</v>
      </c>
      <c r="AE21" s="195">
        <f>Сят!D16</f>
        <v>597.31903999999997</v>
      </c>
      <c r="AF21" s="187">
        <f t="shared" si="4"/>
        <v>64.227853763440862</v>
      </c>
      <c r="AG21" s="187">
        <f>Сят!C18</f>
        <v>10</v>
      </c>
      <c r="AH21" s="187">
        <f>Сят!D18</f>
        <v>2.7749999999999999</v>
      </c>
      <c r="AI21" s="187">
        <f t="shared" si="23"/>
        <v>27.749999999999996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448">
        <f>Сят!D28</f>
        <v>5.0803200000000004</v>
      </c>
      <c r="AU21" s="187">
        <f t="shared" si="25"/>
        <v>84.671999999999997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0.84928999999999999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360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4534.1469999999999</v>
      </c>
      <c r="CA21" s="186">
        <f t="shared" si="35"/>
        <v>2789.21117</v>
      </c>
      <c r="CB21" s="187">
        <f t="shared" si="53"/>
        <v>61.51567582612563</v>
      </c>
      <c r="CC21" s="187">
        <f>Сят!C41</f>
        <v>2768.8539999999998</v>
      </c>
      <c r="CD21" s="187">
        <f>Сят!D41</f>
        <v>2161.3049999999998</v>
      </c>
      <c r="CE21" s="187">
        <f t="shared" si="36"/>
        <v>78.057745189887228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1320.69</v>
      </c>
      <c r="CJ21" s="187">
        <f>Сят!D43</f>
        <v>268.69499999999999</v>
      </c>
      <c r="CK21" s="187">
        <f t="shared" si="7"/>
        <v>20.345046907298457</v>
      </c>
      <c r="CL21" s="187">
        <f>Сят!C44</f>
        <v>157.59899999999999</v>
      </c>
      <c r="CM21" s="187">
        <f>Сят!D44</f>
        <v>151.91810000000001</v>
      </c>
      <c r="CN21" s="187">
        <f t="shared" si="8"/>
        <v>96.395345148129124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6888.6530199999997</v>
      </c>
      <c r="DH21" s="195">
        <f t="shared" si="39"/>
        <v>3848.1550599999996</v>
      </c>
      <c r="DI21" s="187">
        <f t="shared" si="40"/>
        <v>55.862228055725183</v>
      </c>
      <c r="DJ21" s="195">
        <f t="shared" si="41"/>
        <v>1470.8029999999999</v>
      </c>
      <c r="DK21" s="195">
        <f>Сят!D56</f>
        <v>972.36361999999986</v>
      </c>
      <c r="DL21" s="187">
        <f t="shared" si="42"/>
        <v>66.111071299147468</v>
      </c>
      <c r="DM21" s="187">
        <f>Сят!C58</f>
        <v>1410.7539999999999</v>
      </c>
      <c r="DN21" s="187">
        <f>Сят!D58</f>
        <v>940.86461999999995</v>
      </c>
      <c r="DO21" s="187">
        <f t="shared" si="43"/>
        <v>66.692323395857827</v>
      </c>
      <c r="DP21" s="187">
        <f>Сят!C61</f>
        <v>19.635999999999999</v>
      </c>
      <c r="DQ21" s="187">
        <f>Сят!D61</f>
        <v>19.635999999999999</v>
      </c>
      <c r="DR21" s="187">
        <f t="shared" si="44"/>
        <v>100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20.402999999999999</v>
      </c>
      <c r="DW21" s="187">
        <f>Сят!D63</f>
        <v>11.863</v>
      </c>
      <c r="DX21" s="187">
        <f t="shared" si="46"/>
        <v>58.143410282801554</v>
      </c>
      <c r="DY21" s="187">
        <f>Сят!C65</f>
        <v>150.881</v>
      </c>
      <c r="DZ21" s="187">
        <f>Сят!D65</f>
        <v>119.65807</v>
      </c>
      <c r="EA21" s="187">
        <f t="shared" si="47"/>
        <v>79.306254597994439</v>
      </c>
      <c r="EB21" s="187">
        <f>Сят!C66</f>
        <v>1.46</v>
      </c>
      <c r="EC21" s="187">
        <f>Сят!D66</f>
        <v>0</v>
      </c>
      <c r="ED21" s="187">
        <f t="shared" si="48"/>
        <v>0</v>
      </c>
      <c r="EE21" s="195">
        <f>Сят!C71</f>
        <v>2316.2266</v>
      </c>
      <c r="EF21" s="195">
        <f>Сят!D71</f>
        <v>509.62067999999999</v>
      </c>
      <c r="EG21" s="187">
        <f t="shared" si="49"/>
        <v>22.002194431235701</v>
      </c>
      <c r="EH21" s="195">
        <f>Сят!C76</f>
        <v>812.43241999999998</v>
      </c>
      <c r="EI21" s="195">
        <f>Сят!D76</f>
        <v>532.25977</v>
      </c>
      <c r="EJ21" s="187">
        <f t="shared" si="50"/>
        <v>65.514343949986625</v>
      </c>
      <c r="EK21" s="195">
        <f>Сят!C80</f>
        <v>2099.85</v>
      </c>
      <c r="EL21" s="197">
        <f>Сят!D80</f>
        <v>1687.9379200000001</v>
      </c>
      <c r="EM21" s="187">
        <f t="shared" si="10"/>
        <v>80.383737886039484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26.315000000000001</v>
      </c>
      <c r="ES21" s="187">
        <f t="shared" si="51"/>
        <v>71.121621621621628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-449.50601999999981</v>
      </c>
      <c r="EX21" s="191">
        <f t="shared" si="13"/>
        <v>56.979060000000572</v>
      </c>
      <c r="EY21" s="184">
        <f t="shared" si="54"/>
        <v>-12.675928122164104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431">
        <f>F22+BZ22</f>
        <v>4948.7370000000001</v>
      </c>
      <c r="D22" s="433">
        <f t="shared" si="0"/>
        <v>3226.6459399999999</v>
      </c>
      <c r="E22" s="228">
        <f t="shared" si="1"/>
        <v>65.201402701335709</v>
      </c>
      <c r="F22" s="229">
        <f>I22+X22+AA22+AD22+AG22+AM22+AS22+BE22+BQ22+BN22+AJ22+AY22+L22+R22+O22+U22+AP22</f>
        <v>1873.5</v>
      </c>
      <c r="G22" s="229">
        <f t="shared" si="3"/>
        <v>1372.5013400000003</v>
      </c>
      <c r="H22" s="228">
        <f t="shared" si="15"/>
        <v>73.258678409394193</v>
      </c>
      <c r="I22" s="188">
        <f>Тор!C6</f>
        <v>104.8</v>
      </c>
      <c r="J22" s="188">
        <f>Тор!D6</f>
        <v>73.750969999999995</v>
      </c>
      <c r="K22" s="228">
        <f t="shared" si="16"/>
        <v>70.373062977099238</v>
      </c>
      <c r="L22" s="228">
        <f>Тор!C8</f>
        <v>269.94</v>
      </c>
      <c r="M22" s="228">
        <f>Тор!D8</f>
        <v>245.46850000000001</v>
      </c>
      <c r="N22" s="228">
        <f t="shared" si="17"/>
        <v>90.9344669185745</v>
      </c>
      <c r="O22" s="228">
        <f>Тор!C9</f>
        <v>2.9</v>
      </c>
      <c r="P22" s="228">
        <f>Тор!D9</f>
        <v>2.2264499999999998</v>
      </c>
      <c r="Q22" s="228">
        <f t="shared" si="18"/>
        <v>76.774137931034474</v>
      </c>
      <c r="R22" s="228">
        <f>Тор!C10</f>
        <v>450.86</v>
      </c>
      <c r="S22" s="228">
        <f>Тор!D10</f>
        <v>370.96226000000001</v>
      </c>
      <c r="T22" s="228">
        <f t="shared" si="19"/>
        <v>82.278813822472614</v>
      </c>
      <c r="U22" s="228">
        <f>Тор!C11</f>
        <v>0</v>
      </c>
      <c r="V22" s="452">
        <f>Тор!D11</f>
        <v>-54.984009999999998</v>
      </c>
      <c r="W22" s="228" t="e">
        <f t="shared" si="20"/>
        <v>#DIV/0!</v>
      </c>
      <c r="X22" s="188">
        <f>Тор!C13</f>
        <v>15</v>
      </c>
      <c r="Y22" s="188">
        <f>Тор!D13</f>
        <v>26.019300000000001</v>
      </c>
      <c r="Z22" s="228">
        <f t="shared" si="21"/>
        <v>173.46200000000002</v>
      </c>
      <c r="AA22" s="188">
        <f>Тор!C15</f>
        <v>160</v>
      </c>
      <c r="AB22" s="188">
        <f>Тор!D15</f>
        <v>38.391080000000002</v>
      </c>
      <c r="AC22" s="228">
        <f t="shared" si="22"/>
        <v>23.994425000000003</v>
      </c>
      <c r="AD22" s="188">
        <f>Тор!C16</f>
        <v>470</v>
      </c>
      <c r="AE22" s="188">
        <f>Тор!D16</f>
        <v>270.80718999999999</v>
      </c>
      <c r="AF22" s="228">
        <f t="shared" si="4"/>
        <v>57.618551063829784</v>
      </c>
      <c r="AG22" s="228">
        <f>Тор!C18</f>
        <v>10</v>
      </c>
      <c r="AH22" s="228">
        <f>Тор!D18</f>
        <v>5.0999999999999996</v>
      </c>
      <c r="AI22" s="228">
        <f t="shared" si="23"/>
        <v>51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305.50894</v>
      </c>
      <c r="AR22" s="228">
        <f t="shared" si="24"/>
        <v>101.83631333333334</v>
      </c>
      <c r="AS22" s="188">
        <f>Тор!C28</f>
        <v>40</v>
      </c>
      <c r="AT22" s="449">
        <f>Тор!D28</f>
        <v>57.77928</v>
      </c>
      <c r="AU22" s="228">
        <f t="shared" si="25"/>
        <v>144.44820000000001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31.729009999999999</v>
      </c>
      <c r="BA22" s="228">
        <f t="shared" si="27"/>
        <v>63.458019999999991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361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3075.2370000000001</v>
      </c>
      <c r="CA22" s="186">
        <f t="shared" si="35"/>
        <v>1854.1445999999996</v>
      </c>
      <c r="CB22" s="228">
        <f t="shared" si="53"/>
        <v>60.292738413332039</v>
      </c>
      <c r="CC22" s="228">
        <f>Тор!C42</f>
        <v>1351.8630000000001</v>
      </c>
      <c r="CD22" s="228">
        <f>Тор!D42</f>
        <v>1095.4549999999999</v>
      </c>
      <c r="CE22" s="228">
        <f t="shared" si="36"/>
        <v>81.032989289595164</v>
      </c>
      <c r="CF22" s="228">
        <f>Тор!C43</f>
        <v>714</v>
      </c>
      <c r="CG22" s="228">
        <f>Тор!D43</f>
        <v>340.5</v>
      </c>
      <c r="CH22" s="228">
        <f t="shared" si="37"/>
        <v>47.689075630252105</v>
      </c>
      <c r="CI22" s="228">
        <f>Тор!C44</f>
        <v>682.53499999999997</v>
      </c>
      <c r="CJ22" s="228">
        <f>Тор!D44</f>
        <v>237.059</v>
      </c>
      <c r="CK22" s="228">
        <f t="shared" si="7"/>
        <v>34.732138278623076</v>
      </c>
      <c r="CL22" s="228">
        <f>Тор!C45</f>
        <v>154.239</v>
      </c>
      <c r="CM22" s="228">
        <f>Тор!D45</f>
        <v>150.88</v>
      </c>
      <c r="CN22" s="228">
        <f t="shared" si="8"/>
        <v>97.822210984251711</v>
      </c>
      <c r="CO22" s="228">
        <f>Тор!C46</f>
        <v>120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>
        <f>Тор!D49</f>
        <v>-22.349399999999999</v>
      </c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5255.7742299999991</v>
      </c>
      <c r="DH22" s="188">
        <f t="shared" si="39"/>
        <v>2990.0741900000003</v>
      </c>
      <c r="DI22" s="228">
        <f t="shared" si="40"/>
        <v>56.89122209497954</v>
      </c>
      <c r="DJ22" s="188">
        <f t="shared" si="41"/>
        <v>1127.5119999999999</v>
      </c>
      <c r="DK22" s="188">
        <f t="shared" si="41"/>
        <v>779.28110000000004</v>
      </c>
      <c r="DL22" s="228">
        <f t="shared" si="42"/>
        <v>69.11510476163447</v>
      </c>
      <c r="DM22" s="228">
        <f>Тор!C58</f>
        <v>1096.463</v>
      </c>
      <c r="DN22" s="228">
        <f>Тор!D58</f>
        <v>759.22410000000002</v>
      </c>
      <c r="DO22" s="228">
        <f t="shared" si="43"/>
        <v>69.243020512320072</v>
      </c>
      <c r="DP22" s="228">
        <f>Тор!C61</f>
        <v>16.561</v>
      </c>
      <c r="DQ22" s="228">
        <f>Тор!D61</f>
        <v>16.561</v>
      </c>
      <c r="DR22" s="228">
        <f t="shared" si="44"/>
        <v>100</v>
      </c>
      <c r="DS22" s="228">
        <f>Тор!C62</f>
        <v>5</v>
      </c>
      <c r="DT22" s="228">
        <f>Тор!D62</f>
        <v>0</v>
      </c>
      <c r="DU22" s="228">
        <f t="shared" si="45"/>
        <v>0</v>
      </c>
      <c r="DV22" s="228">
        <f>Тор!C63</f>
        <v>9.4879999999999995</v>
      </c>
      <c r="DW22" s="228">
        <f>Тор!D63</f>
        <v>3.496</v>
      </c>
      <c r="DX22" s="228">
        <f t="shared" si="46"/>
        <v>36.846543001686342</v>
      </c>
      <c r="DY22" s="228">
        <f>Тор!C65</f>
        <v>150.88</v>
      </c>
      <c r="DZ22" s="228">
        <f>+Тор!D64</f>
        <v>120.32999</v>
      </c>
      <c r="EA22" s="228">
        <f t="shared" si="47"/>
        <v>79.75211426299046</v>
      </c>
      <c r="EB22" s="228">
        <f>Тор!C66</f>
        <v>7</v>
      </c>
      <c r="EC22" s="228">
        <f>Тор!D66</f>
        <v>0</v>
      </c>
      <c r="ED22" s="228">
        <f t="shared" si="48"/>
        <v>0</v>
      </c>
      <c r="EE22" s="188">
        <f>Тор!C71</f>
        <v>2387.02223</v>
      </c>
      <c r="EF22" s="188">
        <f>Тор!D71</f>
        <v>982.50531999999998</v>
      </c>
      <c r="EG22" s="228">
        <f t="shared" si="49"/>
        <v>41.16029200113482</v>
      </c>
      <c r="EH22" s="188">
        <f>Тор!C77</f>
        <v>341.76</v>
      </c>
      <c r="EI22" s="188">
        <f>Тор!D77</f>
        <v>216.49778000000001</v>
      </c>
      <c r="EJ22" s="228">
        <f t="shared" si="50"/>
        <v>63.347899110486892</v>
      </c>
      <c r="EK22" s="188">
        <f>Тор!C81</f>
        <v>1231.5999999999999</v>
      </c>
      <c r="EL22" s="231">
        <f>Тор!D81</f>
        <v>881.46</v>
      </c>
      <c r="EM22" s="228">
        <f t="shared" si="10"/>
        <v>71.5703150373498</v>
      </c>
      <c r="EN22" s="228">
        <f>Тор!C83</f>
        <v>0</v>
      </c>
      <c r="EO22" s="228">
        <f>Тор!D83</f>
        <v>0</v>
      </c>
      <c r="EP22" s="228" t="e">
        <f t="shared" si="11"/>
        <v>#DIV/0!</v>
      </c>
      <c r="EQ22" s="229">
        <f>Тор!C96</f>
        <v>10</v>
      </c>
      <c r="ER22" s="229">
        <f>Тор!D96</f>
        <v>10</v>
      </c>
      <c r="ES22" s="228">
        <f t="shared" si="51"/>
        <v>100</v>
      </c>
      <c r="ET22" s="228">
        <f>Тор!C94</f>
        <v>0</v>
      </c>
      <c r="EU22" s="228">
        <f>Тор!D94</f>
        <v>0</v>
      </c>
      <c r="EV22" s="228" t="e">
        <f t="shared" si="52"/>
        <v>#DIV/0!</v>
      </c>
      <c r="EW22" s="232">
        <f t="shared" si="12"/>
        <v>-307.037229999999</v>
      </c>
      <c r="EX22" s="232">
        <f t="shared" si="13"/>
        <v>236.57174999999961</v>
      </c>
      <c r="EY22" s="228">
        <f t="shared" si="54"/>
        <v>-77.049858090499441</v>
      </c>
      <c r="EZ22" s="233"/>
      <c r="FA22" s="234"/>
      <c r="FC22" s="234"/>
      <c r="FF22" s="327"/>
      <c r="FG22" s="327"/>
      <c r="FH22" s="327"/>
      <c r="FI22" s="327"/>
      <c r="FJ22" s="327"/>
      <c r="FK22" s="327"/>
      <c r="FL22" s="327"/>
      <c r="FM22" s="327"/>
      <c r="FN22" s="327"/>
    </row>
    <row r="23" spans="1:170" s="169" customFormat="1" ht="15" customHeight="1">
      <c r="A23" s="181">
        <v>10</v>
      </c>
      <c r="B23" s="194" t="s">
        <v>313</v>
      </c>
      <c r="C23" s="429">
        <f t="shared" si="14"/>
        <v>3801.5540000000001</v>
      </c>
      <c r="D23" s="432">
        <f t="shared" si="0"/>
        <v>2453.7593900000002</v>
      </c>
      <c r="E23" s="187">
        <f t="shared" si="1"/>
        <v>64.54621951970168</v>
      </c>
      <c r="F23" s="185">
        <f t="shared" si="2"/>
        <v>967.7</v>
      </c>
      <c r="G23" s="185">
        <f t="shared" si="3"/>
        <v>541.92839000000004</v>
      </c>
      <c r="H23" s="187">
        <f t="shared" si="15"/>
        <v>56.001693706727295</v>
      </c>
      <c r="I23" s="195">
        <f>Хор!C6</f>
        <v>85.8</v>
      </c>
      <c r="J23" s="195">
        <f>Хор!D6</f>
        <v>50.069600000000001</v>
      </c>
      <c r="K23" s="187">
        <f t="shared" si="16"/>
        <v>58.356177156177161</v>
      </c>
      <c r="L23" s="187">
        <f>Хор!C8</f>
        <v>123.43</v>
      </c>
      <c r="M23" s="187">
        <f>Хор!D8</f>
        <v>112.23487</v>
      </c>
      <c r="N23" s="184">
        <f t="shared" si="17"/>
        <v>90.92997650490156</v>
      </c>
      <c r="O23" s="184">
        <f>Хор!C9</f>
        <v>1.32</v>
      </c>
      <c r="P23" s="184">
        <f>Хор!D9</f>
        <v>1.0180400000000001</v>
      </c>
      <c r="Q23" s="184">
        <f t="shared" si="18"/>
        <v>77.124242424242425</v>
      </c>
      <c r="R23" s="184">
        <f>Хор!C10</f>
        <v>206.15</v>
      </c>
      <c r="S23" s="184">
        <f>Хор!D10</f>
        <v>169.61401000000001</v>
      </c>
      <c r="T23" s="184">
        <f t="shared" si="19"/>
        <v>82.276987630366236</v>
      </c>
      <c r="U23" s="184">
        <f>Хор!C11</f>
        <v>0</v>
      </c>
      <c r="V23" s="451">
        <f>Хор!D11</f>
        <v>-25.140180000000001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98</v>
      </c>
      <c r="AB23" s="195">
        <f>Хор!D15</f>
        <v>15.044600000000001</v>
      </c>
      <c r="AC23" s="187">
        <f t="shared" si="22"/>
        <v>15.351632653061225</v>
      </c>
      <c r="AD23" s="195">
        <f>Хор!C16</f>
        <v>390</v>
      </c>
      <c r="AE23" s="195">
        <f>Хор!D16</f>
        <v>191.37925000000001</v>
      </c>
      <c r="AF23" s="187">
        <f t="shared" si="4"/>
        <v>49.071602564102569</v>
      </c>
      <c r="AG23" s="187">
        <f>Хор!C18</f>
        <v>20</v>
      </c>
      <c r="AH23" s="187">
        <f>Хор!D18</f>
        <v>20</v>
      </c>
      <c r="AI23" s="187">
        <f t="shared" si="23"/>
        <v>100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448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60"/>
      <c r="BP23" s="187" t="e">
        <f t="shared" si="30"/>
        <v>#DIV/0!</v>
      </c>
      <c r="BQ23" s="187">
        <f>Хор!C34</f>
        <v>0</v>
      </c>
      <c r="BR23" s="187">
        <f>Хор!D34</f>
        <v>0.13930000000000001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2833.8540000000003</v>
      </c>
      <c r="CA23" s="186">
        <f t="shared" si="35"/>
        <v>1911.8310000000001</v>
      </c>
      <c r="CB23" s="187">
        <f t="shared" si="53"/>
        <v>67.463990734879076</v>
      </c>
      <c r="CC23" s="187">
        <f>Хор!C39</f>
        <v>1258.9960000000001</v>
      </c>
      <c r="CD23" s="187">
        <f>Хор!D39</f>
        <v>996.57399999999996</v>
      </c>
      <c r="CE23" s="187">
        <f t="shared" si="36"/>
        <v>79.156248312147127</v>
      </c>
      <c r="CF23" s="187">
        <f>Хор!C41</f>
        <v>930</v>
      </c>
      <c r="CG23" s="187">
        <f>Хор!D41</f>
        <v>322.5</v>
      </c>
      <c r="CH23" s="187">
        <f t="shared" si="37"/>
        <v>34.677419354838712</v>
      </c>
      <c r="CI23" s="187">
        <f>Хор!C42</f>
        <v>480.904</v>
      </c>
      <c r="CJ23" s="187">
        <f>Хор!D42</f>
        <v>435.16199999999998</v>
      </c>
      <c r="CK23" s="187">
        <f t="shared" si="7"/>
        <v>90.48833031124714</v>
      </c>
      <c r="CL23" s="187">
        <f>Хор!C43</f>
        <v>73.953999999999994</v>
      </c>
      <c r="CM23" s="187">
        <f>Хор!D43</f>
        <v>70.594999999999999</v>
      </c>
      <c r="CN23" s="187">
        <f t="shared" si="8"/>
        <v>95.457987397571472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3784.7935600000001</v>
      </c>
      <c r="DH23" s="195">
        <f t="shared" si="39"/>
        <v>2158.4085500000001</v>
      </c>
      <c r="DI23" s="187">
        <f t="shared" si="40"/>
        <v>57.028435389749497</v>
      </c>
      <c r="DJ23" s="195">
        <f t="shared" si="41"/>
        <v>1135.8050000000001</v>
      </c>
      <c r="DK23" s="195">
        <f t="shared" si="41"/>
        <v>635.54845</v>
      </c>
      <c r="DL23" s="187">
        <f t="shared" si="42"/>
        <v>55.955771457248382</v>
      </c>
      <c r="DM23" s="187">
        <f>Хор!C56</f>
        <v>1128.096</v>
      </c>
      <c r="DN23" s="187">
        <f>Хор!D56</f>
        <v>632.83995000000004</v>
      </c>
      <c r="DO23" s="187">
        <f t="shared" si="43"/>
        <v>56.09805814398775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70.594999999999999</v>
      </c>
      <c r="DZ23" s="187">
        <f>Хор!D63</f>
        <v>53.506489999999999</v>
      </c>
      <c r="EA23" s="187">
        <f t="shared" si="47"/>
        <v>75.793597280260641</v>
      </c>
      <c r="EB23" s="187">
        <f>Хор!C64</f>
        <v>4.8029999999999999</v>
      </c>
      <c r="EC23" s="187">
        <f>Хор!D64</f>
        <v>2</v>
      </c>
      <c r="ED23" s="187">
        <f t="shared" si="48"/>
        <v>41.640641265875495</v>
      </c>
      <c r="EE23" s="195">
        <f>Хор!C69</f>
        <v>906.68255999999997</v>
      </c>
      <c r="EF23" s="195">
        <f>Хор!D69</f>
        <v>758.28727000000003</v>
      </c>
      <c r="EG23" s="187">
        <f t="shared" si="49"/>
        <v>83.633159327560023</v>
      </c>
      <c r="EH23" s="195">
        <f>Хор!C74</f>
        <v>186.208</v>
      </c>
      <c r="EI23" s="195">
        <f>Хор!D74</f>
        <v>122.06634</v>
      </c>
      <c r="EJ23" s="187">
        <f t="shared" si="50"/>
        <v>65.553757088846879</v>
      </c>
      <c r="EK23" s="195">
        <f>Хор!C78</f>
        <v>1477.7</v>
      </c>
      <c r="EL23" s="197">
        <f>Хор!D78</f>
        <v>585</v>
      </c>
      <c r="EM23" s="187">
        <f t="shared" si="10"/>
        <v>39.588549773296336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295.35084000000006</v>
      </c>
      <c r="EY23" s="184">
        <f t="shared" si="54"/>
        <v>1762.190252761859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429">
        <f t="shared" si="14"/>
        <v>3713.627</v>
      </c>
      <c r="D24" s="432">
        <f t="shared" si="0"/>
        <v>2516.2001</v>
      </c>
      <c r="E24" s="187">
        <f t="shared" si="1"/>
        <v>67.755865088227765</v>
      </c>
      <c r="F24" s="185">
        <f t="shared" si="2"/>
        <v>1126.1199999999999</v>
      </c>
      <c r="G24" s="185">
        <f t="shared" si="3"/>
        <v>721.375</v>
      </c>
      <c r="H24" s="187">
        <f t="shared" si="15"/>
        <v>64.058448477959729</v>
      </c>
      <c r="I24" s="195">
        <f>Чум!C6</f>
        <v>95.3</v>
      </c>
      <c r="J24" s="195">
        <f>Чум!D6</f>
        <v>57.2515</v>
      </c>
      <c r="K24" s="187">
        <f t="shared" si="16"/>
        <v>60.075026232948581</v>
      </c>
      <c r="L24" s="187">
        <f>Чум!C8</f>
        <v>117.05</v>
      </c>
      <c r="M24" s="187">
        <f>Чум!D8</f>
        <v>106.44204999999999</v>
      </c>
      <c r="N24" s="184">
        <f t="shared" si="17"/>
        <v>90.937249038872267</v>
      </c>
      <c r="O24" s="184">
        <f>Чум!C9</f>
        <v>1.26</v>
      </c>
      <c r="P24" s="184">
        <f>Чум!D9</f>
        <v>0.96545000000000003</v>
      </c>
      <c r="Q24" s="184">
        <f t="shared" si="18"/>
        <v>76.623015873015873</v>
      </c>
      <c r="R24" s="184">
        <f>Чум!C10</f>
        <v>195.51</v>
      </c>
      <c r="S24" s="184">
        <f>Чум!D10</f>
        <v>160.85973999999999</v>
      </c>
      <c r="T24" s="184">
        <f t="shared" si="19"/>
        <v>82.276988389340701</v>
      </c>
      <c r="U24" s="184">
        <f>Чум!C11</f>
        <v>0</v>
      </c>
      <c r="V24" s="451">
        <f>Чум!D11</f>
        <v>-23.84262</v>
      </c>
      <c r="W24" s="184" t="e">
        <f t="shared" si="20"/>
        <v>#DIV/0!</v>
      </c>
      <c r="X24" s="195">
        <f>Чум!C13</f>
        <v>65</v>
      </c>
      <c r="Y24" s="195">
        <f>Чум!D13</f>
        <v>69.827370000000002</v>
      </c>
      <c r="Z24" s="187">
        <f t="shared" si="21"/>
        <v>107.42672307692307</v>
      </c>
      <c r="AA24" s="195">
        <f>Чум!C15</f>
        <v>75</v>
      </c>
      <c r="AB24" s="195">
        <f>Чум!D15</f>
        <v>36.227330000000002</v>
      </c>
      <c r="AC24" s="187">
        <f t="shared" si="22"/>
        <v>48.303106666666665</v>
      </c>
      <c r="AD24" s="195">
        <f>Чум!C16</f>
        <v>460</v>
      </c>
      <c r="AE24" s="195">
        <f>Чум!D16</f>
        <v>264.50238999999999</v>
      </c>
      <c r="AF24" s="187">
        <f t="shared" si="4"/>
        <v>57.500519565217388</v>
      </c>
      <c r="AG24" s="187">
        <f>Чум!C18</f>
        <v>10</v>
      </c>
      <c r="AH24" s="187">
        <f>Чум!D18</f>
        <v>8.5</v>
      </c>
      <c r="AI24" s="187">
        <f t="shared" si="23"/>
        <v>85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13.965</v>
      </c>
      <c r="AR24" s="187">
        <f t="shared" si="24"/>
        <v>17.456250000000001</v>
      </c>
      <c r="AS24" s="188">
        <f>Чум!C28</f>
        <v>2</v>
      </c>
      <c r="AT24" s="448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25</v>
      </c>
      <c r="AZ24" s="187">
        <f>Чум!D30</f>
        <v>26.677949999999999</v>
      </c>
      <c r="BA24" s="187">
        <f t="shared" si="27"/>
        <v>106.7118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60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2587.5070000000001</v>
      </c>
      <c r="CA24" s="186">
        <f t="shared" si="35"/>
        <v>1794.8251</v>
      </c>
      <c r="CB24" s="187">
        <f t="shared" si="53"/>
        <v>69.365033601841461</v>
      </c>
      <c r="CC24" s="187">
        <f>Чум!C42</f>
        <v>1906.663</v>
      </c>
      <c r="CD24" s="187">
        <f>Чум!D42</f>
        <v>1548.095</v>
      </c>
      <c r="CE24" s="187">
        <f t="shared" si="36"/>
        <v>81.193949848504957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73.953999999999994</v>
      </c>
      <c r="CM24" s="187">
        <f>Чум!D45</f>
        <v>71.632099999999994</v>
      </c>
      <c r="CN24" s="187">
        <f t="shared" si="8"/>
        <v>96.860345620250428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3787.2935300000008</v>
      </c>
      <c r="DH24" s="195">
        <f t="shared" si="39"/>
        <v>2248.81259</v>
      </c>
      <c r="DI24" s="187">
        <f t="shared" si="40"/>
        <v>59.377826730002617</v>
      </c>
      <c r="DJ24" s="195">
        <f t="shared" si="41"/>
        <v>1294.8660000000002</v>
      </c>
      <c r="DK24" s="195">
        <f t="shared" si="41"/>
        <v>864.69394999999997</v>
      </c>
      <c r="DL24" s="187">
        <f t="shared" si="42"/>
        <v>66.77864350442438</v>
      </c>
      <c r="DM24" s="187">
        <f>Чум!C58</f>
        <v>1274.5630000000001</v>
      </c>
      <c r="DN24" s="187">
        <f>Чум!D58</f>
        <v>853.34645</v>
      </c>
      <c r="DO24" s="187">
        <f t="shared" si="43"/>
        <v>66.952080830841624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15.303000000000001</v>
      </c>
      <c r="DW24" s="187">
        <f>Чум!D63</f>
        <v>11.3475</v>
      </c>
      <c r="DX24" s="187">
        <f t="shared" si="46"/>
        <v>74.152127033914923</v>
      </c>
      <c r="DY24" s="187">
        <f>Чум!C65</f>
        <v>70.594999999999999</v>
      </c>
      <c r="DZ24" s="187">
        <f>Чум!D65</f>
        <v>65.859790000000004</v>
      </c>
      <c r="EA24" s="187">
        <f t="shared" si="47"/>
        <v>93.292428642255118</v>
      </c>
      <c r="EB24" s="187">
        <f>Чум!C66</f>
        <v>4.25</v>
      </c>
      <c r="EC24" s="187">
        <f>Чум!D66</f>
        <v>2.0499999999999998</v>
      </c>
      <c r="ED24" s="187">
        <f t="shared" si="48"/>
        <v>48.235294117647051</v>
      </c>
      <c r="EE24" s="195">
        <f>Чум!C71</f>
        <v>1016.83253</v>
      </c>
      <c r="EF24" s="195">
        <f>Чум!D71</f>
        <v>319.66793000000001</v>
      </c>
      <c r="EG24" s="187">
        <f t="shared" si="49"/>
        <v>31.437618346061374</v>
      </c>
      <c r="EH24" s="195">
        <f>Чум!C76</f>
        <v>525.95000000000005</v>
      </c>
      <c r="EI24" s="195">
        <f>Чум!D76</f>
        <v>341.15392000000003</v>
      </c>
      <c r="EJ24" s="187">
        <f t="shared" si="50"/>
        <v>64.864325506226834</v>
      </c>
      <c r="EK24" s="195">
        <f>Чум!C80</f>
        <v>872.8</v>
      </c>
      <c r="EL24" s="197">
        <f>Чум!D80</f>
        <v>654.67200000000003</v>
      </c>
      <c r="EM24" s="187">
        <f t="shared" si="10"/>
        <v>75.008249312557297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-73.666530000000876</v>
      </c>
      <c r="EX24" s="191">
        <f t="shared" si="13"/>
        <v>267.38751000000002</v>
      </c>
      <c r="EY24" s="184">
        <f t="shared" si="54"/>
        <v>-362.97014397175604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431">
        <f t="shared" si="14"/>
        <v>3728.0690000000004</v>
      </c>
      <c r="D25" s="433">
        <f t="shared" si="0"/>
        <v>2326.26991</v>
      </c>
      <c r="E25" s="228">
        <f t="shared" si="1"/>
        <v>62.398789024559356</v>
      </c>
      <c r="F25" s="229">
        <f t="shared" si="2"/>
        <v>909.76</v>
      </c>
      <c r="G25" s="229">
        <f t="shared" si="3"/>
        <v>497.03481000000005</v>
      </c>
      <c r="H25" s="228">
        <f t="shared" si="15"/>
        <v>54.633618756595148</v>
      </c>
      <c r="I25" s="188">
        <f>Шать!C6</f>
        <v>33.4</v>
      </c>
      <c r="J25" s="188">
        <f>Шать!D6</f>
        <v>26.781230000000001</v>
      </c>
      <c r="K25" s="228">
        <f t="shared" si="16"/>
        <v>80.183323353293417</v>
      </c>
      <c r="L25" s="228">
        <f>Шать!C8</f>
        <v>120.24</v>
      </c>
      <c r="M25" s="228">
        <f>Шать!D8</f>
        <v>109.33848</v>
      </c>
      <c r="N25" s="228">
        <f t="shared" si="17"/>
        <v>90.933532934131748</v>
      </c>
      <c r="O25" s="228">
        <f>Шать!C9</f>
        <v>1.29</v>
      </c>
      <c r="P25" s="228">
        <f>Шать!D9</f>
        <v>0.99173</v>
      </c>
      <c r="Q25" s="228">
        <f t="shared" si="18"/>
        <v>76.878294573643416</v>
      </c>
      <c r="R25" s="228">
        <f>Шать!C10</f>
        <v>200.83</v>
      </c>
      <c r="S25" s="228">
        <f>Шать!D10</f>
        <v>165.23688000000001</v>
      </c>
      <c r="T25" s="228">
        <f t="shared" si="19"/>
        <v>82.276990489468702</v>
      </c>
      <c r="U25" s="228">
        <f>Шать!C11</f>
        <v>0</v>
      </c>
      <c r="V25" s="452">
        <f>Шать!D11</f>
        <v>-24.49146</v>
      </c>
      <c r="W25" s="228" t="e">
        <f t="shared" si="20"/>
        <v>#DIV/0!</v>
      </c>
      <c r="X25" s="188">
        <f>Шать!C13</f>
        <v>10</v>
      </c>
      <c r="Y25" s="188">
        <f>Шать!D13</f>
        <v>9.2697599999999998</v>
      </c>
      <c r="Z25" s="228">
        <f t="shared" si="21"/>
        <v>92.697600000000008</v>
      </c>
      <c r="AA25" s="188">
        <f>Шать!C15</f>
        <v>40</v>
      </c>
      <c r="AB25" s="188">
        <f>Шать!D15</f>
        <v>16.473089999999999</v>
      </c>
      <c r="AC25" s="228">
        <f t="shared" si="22"/>
        <v>41.182724999999998</v>
      </c>
      <c r="AD25" s="188">
        <f>Шать!C16</f>
        <v>315</v>
      </c>
      <c r="AE25" s="188">
        <f>Шать!D16</f>
        <v>144.84559999999999</v>
      </c>
      <c r="AF25" s="228">
        <f t="shared" si="4"/>
        <v>45.982730158730156</v>
      </c>
      <c r="AG25" s="228">
        <f>Шать!C18</f>
        <v>7</v>
      </c>
      <c r="AH25" s="228">
        <f>Шать!D18</f>
        <v>1.3</v>
      </c>
      <c r="AI25" s="228">
        <f t="shared" si="23"/>
        <v>18.571428571428573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8">
        <f t="shared" si="24"/>
        <v>5.6643478260869564</v>
      </c>
      <c r="AS25" s="188">
        <f>Шать!C28</f>
        <v>17</v>
      </c>
      <c r="AT25" s="449">
        <f>Шать!D28</f>
        <v>19.508400000000002</v>
      </c>
      <c r="AU25" s="228">
        <f t="shared" si="25"/>
        <v>114.75529411764707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21.386410000000001</v>
      </c>
      <c r="BA25" s="228">
        <f t="shared" si="27"/>
        <v>42.772820000000003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361">
        <f>Шать!D34</f>
        <v>8.7899999999999992E-3</v>
      </c>
      <c r="BP25" s="228" t="e">
        <f t="shared" si="30"/>
        <v>#DIV/0!</v>
      </c>
      <c r="BQ25" s="228">
        <f>Шать!C37</f>
        <v>0</v>
      </c>
      <c r="BR25" s="228">
        <f>Шать!D39</f>
        <v>-0.12809999999999999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2818.3090000000002</v>
      </c>
      <c r="CA25" s="186">
        <f t="shared" si="35"/>
        <v>1829.2350999999999</v>
      </c>
      <c r="CB25" s="228">
        <f t="shared" si="53"/>
        <v>64.905413139581199</v>
      </c>
      <c r="CC25" s="228">
        <f>Шать!C42</f>
        <v>1243.7660000000001</v>
      </c>
      <c r="CD25" s="228">
        <f>Шать!D42</f>
        <v>986.779</v>
      </c>
      <c r="CE25" s="228">
        <f t="shared" si="36"/>
        <v>79.337994445900591</v>
      </c>
      <c r="CF25" s="228">
        <f>Шать!C43</f>
        <v>400</v>
      </c>
      <c r="CG25" s="228">
        <f>Шать!D43</f>
        <v>300</v>
      </c>
      <c r="CH25" s="228">
        <f t="shared" si="37"/>
        <v>75</v>
      </c>
      <c r="CI25" s="228">
        <f>Шать!C44</f>
        <v>1004.188</v>
      </c>
      <c r="CJ25" s="228">
        <f>Шать!D44</f>
        <v>373.72300000000001</v>
      </c>
      <c r="CK25" s="228">
        <f t="shared" si="7"/>
        <v>37.216437559500818</v>
      </c>
      <c r="CL25" s="228">
        <f>Шать!C45</f>
        <v>73.254999999999995</v>
      </c>
      <c r="CM25" s="228">
        <f>Шать!D45</f>
        <v>71.633099999999999</v>
      </c>
      <c r="CN25" s="228">
        <f t="shared" si="8"/>
        <v>97.785953177257539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3674.6755299999995</v>
      </c>
      <c r="DH25" s="188">
        <f t="shared" si="39"/>
        <v>2145.3676600000003</v>
      </c>
      <c r="DI25" s="228">
        <f>DH25/DG25*100</f>
        <v>58.382505951484667</v>
      </c>
      <c r="DJ25" s="188">
        <f t="shared" si="41"/>
        <v>1139.7604999999999</v>
      </c>
      <c r="DK25" s="188">
        <f t="shared" si="41"/>
        <v>786.91849000000013</v>
      </c>
      <c r="DL25" s="228">
        <f t="shared" si="42"/>
        <v>69.042442688617498</v>
      </c>
      <c r="DM25" s="228">
        <f>Шать!C58</f>
        <v>1100.9659999999999</v>
      </c>
      <c r="DN25" s="228">
        <f>Шать!D58</f>
        <v>749.12399000000005</v>
      </c>
      <c r="DO25" s="228">
        <f t="shared" si="43"/>
        <v>68.042427286582878</v>
      </c>
      <c r="DP25" s="228">
        <f>Шать!C61</f>
        <v>32.152000000000001</v>
      </c>
      <c r="DQ25" s="228">
        <f>Шать!D61</f>
        <v>32.152000000000001</v>
      </c>
      <c r="DR25" s="228">
        <f t="shared" si="44"/>
        <v>100</v>
      </c>
      <c r="DS25" s="228">
        <f>Шать!C62</f>
        <v>1</v>
      </c>
      <c r="DT25" s="228">
        <f>Шать!D62</f>
        <v>0</v>
      </c>
      <c r="DU25" s="228">
        <f t="shared" si="45"/>
        <v>0</v>
      </c>
      <c r="DV25" s="228">
        <f>Шать!C63</f>
        <v>5.6425000000000001</v>
      </c>
      <c r="DW25" s="228">
        <f>Шать!D63</f>
        <v>5.6425000000000001</v>
      </c>
      <c r="DX25" s="228">
        <f t="shared" si="46"/>
        <v>100</v>
      </c>
      <c r="DY25" s="228">
        <f>Шать!C65</f>
        <v>70.596000000000004</v>
      </c>
      <c r="DZ25" s="228">
        <f>Шать!D65</f>
        <v>61.286279999999998</v>
      </c>
      <c r="EA25" s="228">
        <f t="shared" si="47"/>
        <v>86.812680605133437</v>
      </c>
      <c r="EB25" s="228">
        <f>Шать!C66</f>
        <v>8</v>
      </c>
      <c r="EC25" s="228">
        <f>Шать!D66</f>
        <v>0</v>
      </c>
      <c r="ED25" s="228">
        <f t="shared" si="48"/>
        <v>0</v>
      </c>
      <c r="EE25" s="188">
        <f>Шать!C71</f>
        <v>1549.45453</v>
      </c>
      <c r="EF25" s="188">
        <f>Шать!D71</f>
        <v>708.40427</v>
      </c>
      <c r="EG25" s="228">
        <f t="shared" si="49"/>
        <v>45.719590751720865</v>
      </c>
      <c r="EH25" s="188">
        <f>Шать!C76</f>
        <v>208.36099999999999</v>
      </c>
      <c r="EI25" s="188">
        <f>Шать!D76</f>
        <v>101.05762</v>
      </c>
      <c r="EJ25" s="228">
        <f t="shared" si="50"/>
        <v>48.501216638430414</v>
      </c>
      <c r="EK25" s="188">
        <f>Шать!C80</f>
        <v>689.50350000000003</v>
      </c>
      <c r="EL25" s="231">
        <f>Шать!D80</f>
        <v>478.70299999999997</v>
      </c>
      <c r="EM25" s="228">
        <f t="shared" si="10"/>
        <v>69.427203777790822</v>
      </c>
      <c r="EN25" s="228">
        <f>Шать!C82</f>
        <v>5</v>
      </c>
      <c r="EO25" s="228">
        <f>Шать!D82</f>
        <v>5</v>
      </c>
      <c r="EP25" s="228">
        <f t="shared" si="11"/>
        <v>100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53.393470000000889</v>
      </c>
      <c r="EX25" s="232">
        <f t="shared" si="13"/>
        <v>180.90224999999964</v>
      </c>
      <c r="EY25" s="228">
        <f t="shared" si="54"/>
        <v>338.80968964930844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429">
        <f t="shared" si="14"/>
        <v>4973.3999999999996</v>
      </c>
      <c r="D26" s="432">
        <f t="shared" si="0"/>
        <v>2837.8467400000004</v>
      </c>
      <c r="E26" s="187">
        <f t="shared" si="1"/>
        <v>57.060496642136172</v>
      </c>
      <c r="F26" s="185">
        <f t="shared" si="2"/>
        <v>2725.4100000000003</v>
      </c>
      <c r="G26" s="185">
        <f t="shared" si="3"/>
        <v>1686.1694900000002</v>
      </c>
      <c r="H26" s="187">
        <f t="shared" si="15"/>
        <v>61.868470798888978</v>
      </c>
      <c r="I26" s="195">
        <f>Юнг!C6</f>
        <v>114.5</v>
      </c>
      <c r="J26" s="195">
        <f>Юнг!D6</f>
        <v>88.813540000000003</v>
      </c>
      <c r="K26" s="187">
        <f t="shared" si="16"/>
        <v>77.566410480349347</v>
      </c>
      <c r="L26" s="187">
        <f>Юнг!C8</f>
        <v>185.53</v>
      </c>
      <c r="M26" s="187">
        <f>Юнг!D8</f>
        <v>168.71433999999999</v>
      </c>
      <c r="N26" s="184">
        <f t="shared" si="17"/>
        <v>90.936419985986092</v>
      </c>
      <c r="O26" s="184">
        <f>Юнг!C9</f>
        <v>2</v>
      </c>
      <c r="P26" s="184">
        <f>Юнг!D9</f>
        <v>1.53026</v>
      </c>
      <c r="Q26" s="184">
        <f t="shared" si="18"/>
        <v>76.512999999999991</v>
      </c>
      <c r="R26" s="184">
        <f>Юнг!C10</f>
        <v>309.88</v>
      </c>
      <c r="S26" s="184">
        <f>Юнг!D10</f>
        <v>254.96815000000001</v>
      </c>
      <c r="T26" s="184">
        <f t="shared" si="19"/>
        <v>82.279640506002323</v>
      </c>
      <c r="U26" s="184">
        <f>Юнг!C11</f>
        <v>0</v>
      </c>
      <c r="V26" s="451">
        <f>Юнг!D11</f>
        <v>-37.791370000000001</v>
      </c>
      <c r="W26" s="184" t="e">
        <f t="shared" si="20"/>
        <v>#DIV/0!</v>
      </c>
      <c r="X26" s="195">
        <f>Юнг!C13</f>
        <v>40</v>
      </c>
      <c r="Y26" s="195">
        <f>Юнг!D13</f>
        <v>42.170999999999999</v>
      </c>
      <c r="Z26" s="187">
        <f t="shared" si="21"/>
        <v>105.42750000000001</v>
      </c>
      <c r="AA26" s="195">
        <f>Юнг!C15</f>
        <v>150</v>
      </c>
      <c r="AB26" s="195">
        <f>Юнг!D15</f>
        <v>122.94259</v>
      </c>
      <c r="AC26" s="187">
        <f t="shared" si="22"/>
        <v>81.961726666666664</v>
      </c>
      <c r="AD26" s="195">
        <f>Юнг!C16</f>
        <v>1611.5</v>
      </c>
      <c r="AE26" s="195">
        <f>Юнг!D16</f>
        <v>912.87607000000003</v>
      </c>
      <c r="AF26" s="187">
        <f t="shared" si="4"/>
        <v>56.64759975178405</v>
      </c>
      <c r="AG26" s="187">
        <f>Юнг!C18</f>
        <v>12</v>
      </c>
      <c r="AH26" s="187">
        <f>Юнг!D18</f>
        <v>7.25</v>
      </c>
      <c r="AI26" s="187">
        <f t="shared" si="23"/>
        <v>60.416666666666664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46.853000000000002</v>
      </c>
      <c r="AR26" s="187">
        <f t="shared" si="24"/>
        <v>21.296818181818182</v>
      </c>
      <c r="AS26" s="188">
        <f>Юнг!C28</f>
        <v>30</v>
      </c>
      <c r="AT26" s="448">
        <f>Юнг!D28</f>
        <v>26.332750000000001</v>
      </c>
      <c r="AU26" s="187">
        <f t="shared" si="25"/>
        <v>87.775833333333324</v>
      </c>
      <c r="AV26" s="195"/>
      <c r="AW26" s="195"/>
      <c r="AX26" s="187" t="e">
        <f t="shared" si="26"/>
        <v>#DIV/0!</v>
      </c>
      <c r="AY26" s="187">
        <f>Юнг!C30</f>
        <v>50</v>
      </c>
      <c r="AZ26" s="187">
        <f>Юнг!D30</f>
        <v>50.333190000000002</v>
      </c>
      <c r="BA26" s="187">
        <f t="shared" si="27"/>
        <v>100.66638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60">
        <f>Юнг!D34</f>
        <v>1.17597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2247.9899999999998</v>
      </c>
      <c r="CA26" s="186">
        <f t="shared" si="35"/>
        <v>1151.6772500000002</v>
      </c>
      <c r="CB26" s="187">
        <f t="shared" si="53"/>
        <v>51.231422292803806</v>
      </c>
      <c r="CC26" s="187">
        <f>Юнг!C41</f>
        <v>859.154</v>
      </c>
      <c r="CD26" s="187">
        <f>Юнг!D41</f>
        <v>762.25699999999995</v>
      </c>
      <c r="CE26" s="187">
        <f t="shared" si="36"/>
        <v>88.721812387534698</v>
      </c>
      <c r="CF26" s="187">
        <f>Юнг!C42</f>
        <v>700</v>
      </c>
      <c r="CG26" s="187">
        <f>Юнг!D42</f>
        <v>0</v>
      </c>
      <c r="CH26" s="187">
        <f t="shared" si="37"/>
        <v>0</v>
      </c>
      <c r="CI26" s="187">
        <f>Юнг!C43</f>
        <v>457.16199999999998</v>
      </c>
      <c r="CJ26" s="187">
        <f>Юнг!D43</f>
        <v>421.51100000000002</v>
      </c>
      <c r="CK26" s="187">
        <f t="shared" si="7"/>
        <v>92.201670305055984</v>
      </c>
      <c r="CL26" s="187">
        <f>Юнг!C44</f>
        <v>71.573999999999998</v>
      </c>
      <c r="CM26" s="187">
        <f>Юнг!D44</f>
        <v>70.594999999999999</v>
      </c>
      <c r="CN26" s="187">
        <f t="shared" si="8"/>
        <v>98.632184871601424</v>
      </c>
      <c r="CO26" s="187">
        <f>Юнг!C45</f>
        <v>120</v>
      </c>
      <c r="CP26" s="187">
        <f>Юнг!D45</f>
        <v>120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5620.0489200000002</v>
      </c>
      <c r="DH26" s="195">
        <f t="shared" si="39"/>
        <v>2994.5490099999997</v>
      </c>
      <c r="DI26" s="187">
        <f t="shared" si="40"/>
        <v>53.283326402076938</v>
      </c>
      <c r="DJ26" s="195">
        <f t="shared" si="41"/>
        <v>1444.78</v>
      </c>
      <c r="DK26" s="195">
        <f t="shared" si="41"/>
        <v>981.35692000000006</v>
      </c>
      <c r="DL26" s="187">
        <f t="shared" si="42"/>
        <v>67.924315120641211</v>
      </c>
      <c r="DM26" s="187">
        <f>Юнг!C57</f>
        <v>1429.154</v>
      </c>
      <c r="DN26" s="187">
        <f>Юнг!D57</f>
        <v>977.59842000000003</v>
      </c>
      <c r="DO26" s="187">
        <f t="shared" si="43"/>
        <v>68.403994251144383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10.625999999999999</v>
      </c>
      <c r="DW26" s="187">
        <f>Юнг!D62</f>
        <v>3.7585000000000002</v>
      </c>
      <c r="DX26" s="187">
        <f t="shared" si="46"/>
        <v>35.370788631658201</v>
      </c>
      <c r="DY26" s="187">
        <f>Юнг!C64</f>
        <v>70.594999999999999</v>
      </c>
      <c r="DZ26" s="187">
        <f>Юнг!D64</f>
        <v>58.650849999999998</v>
      </c>
      <c r="EA26" s="187">
        <f t="shared" si="47"/>
        <v>83.080742262199863</v>
      </c>
      <c r="EB26" s="187">
        <f>Юнг!C65</f>
        <v>198.8</v>
      </c>
      <c r="EC26" s="187">
        <f>Юнг!D65</f>
        <v>13.25074</v>
      </c>
      <c r="ED26" s="187">
        <f t="shared" si="48"/>
        <v>6.6653621730382291</v>
      </c>
      <c r="EE26" s="195">
        <f>Юнг!C70</f>
        <v>2186.6479199999999</v>
      </c>
      <c r="EF26" s="195">
        <f>Юнг!D70</f>
        <v>1005.21591</v>
      </c>
      <c r="EG26" s="187">
        <f t="shared" si="49"/>
        <v>45.970633900678443</v>
      </c>
      <c r="EH26" s="195">
        <f>Юнг!C75</f>
        <v>759.98599999999999</v>
      </c>
      <c r="EI26" s="195">
        <f>Юнг!D75</f>
        <v>461.75261999999998</v>
      </c>
      <c r="EJ26" s="187">
        <f t="shared" si="50"/>
        <v>60.758042911316792</v>
      </c>
      <c r="EK26" s="195">
        <f>Юнг!C79</f>
        <v>949.6</v>
      </c>
      <c r="EL26" s="197">
        <f>Юнг!D79</f>
        <v>469.68196999999998</v>
      </c>
      <c r="EM26" s="187">
        <f t="shared" si="10"/>
        <v>49.461033066554336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9.64</v>
      </c>
      <c r="ER26" s="198">
        <f>Юнг!D86</f>
        <v>4.6399999999999997</v>
      </c>
      <c r="ES26" s="187">
        <f t="shared" si="51"/>
        <v>48.132780082987544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-646.64892000000054</v>
      </c>
      <c r="EX26" s="191">
        <f t="shared" si="13"/>
        <v>-156.70226999999932</v>
      </c>
      <c r="EY26" s="184">
        <f t="shared" si="54"/>
        <v>24.232974826587384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429">
        <f t="shared" si="14"/>
        <v>6777.0421000000006</v>
      </c>
      <c r="D27" s="432">
        <f t="shared" si="0"/>
        <v>5148.8808599999993</v>
      </c>
      <c r="E27" s="187">
        <f t="shared" si="1"/>
        <v>75.97534121855314</v>
      </c>
      <c r="F27" s="185">
        <f>I27+X27+AA27+AD27+AG27+AM27+AS27+BE27+BQ27+BN27+AJ27+AY27+L27+R27+O27+U27+AP27</f>
        <v>1723.5400000000002</v>
      </c>
      <c r="G27" s="185">
        <f t="shared" si="3"/>
        <v>1206.6683599999999</v>
      </c>
      <c r="H27" s="187">
        <f t="shared" si="15"/>
        <v>70.011044710305512</v>
      </c>
      <c r="I27" s="195">
        <f>Юсь!C6</f>
        <v>130.19999999999999</v>
      </c>
      <c r="J27" s="195">
        <f>Юсь!D6</f>
        <v>90.003339999999994</v>
      </c>
      <c r="K27" s="187">
        <f t="shared" si="16"/>
        <v>69.126989247311826</v>
      </c>
      <c r="L27" s="187">
        <f>Юсь!C8</f>
        <v>250.04</v>
      </c>
      <c r="M27" s="187">
        <f>Юсь!D8</f>
        <v>227.36609999999999</v>
      </c>
      <c r="N27" s="184">
        <f t="shared" si="17"/>
        <v>90.931890897456398</v>
      </c>
      <c r="O27" s="184">
        <f>Юсь!C9</f>
        <v>2.68</v>
      </c>
      <c r="P27" s="184">
        <f>Юсь!D9</f>
        <v>2.0622500000000001</v>
      </c>
      <c r="Q27" s="184">
        <f t="shared" si="18"/>
        <v>76.949626865671632</v>
      </c>
      <c r="R27" s="184">
        <f>Юсь!C10</f>
        <v>417.62</v>
      </c>
      <c r="S27" s="184">
        <f>Юсь!D10</f>
        <v>343.60514999999998</v>
      </c>
      <c r="T27" s="184">
        <f t="shared" si="19"/>
        <v>82.276986255447525</v>
      </c>
      <c r="U27" s="184">
        <f>Юсь!C11</f>
        <v>0</v>
      </c>
      <c r="V27" s="451">
        <f>Юсь!D11</f>
        <v>-50.929099999999998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59.277639999999998</v>
      </c>
      <c r="AC27" s="187">
        <f t="shared" si="22"/>
        <v>56.45489523809524</v>
      </c>
      <c r="AD27" s="195">
        <f>Юсь!C16</f>
        <v>420</v>
      </c>
      <c r="AE27" s="195">
        <f>Юсь!D16</f>
        <v>185.18765999999999</v>
      </c>
      <c r="AF27" s="187">
        <f t="shared" si="4"/>
        <v>44.092300000000002</v>
      </c>
      <c r="AG27" s="187">
        <f>Юсь!C18</f>
        <v>8</v>
      </c>
      <c r="AH27" s="187">
        <f>Юсь!D18</f>
        <v>4.3499999999999996</v>
      </c>
      <c r="AI27" s="187">
        <f t="shared" si="23"/>
        <v>54.374999999999993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448">
        <f>Юсь!D28</f>
        <v>24</v>
      </c>
      <c r="AU27" s="187">
        <f t="shared" si="25"/>
        <v>40</v>
      </c>
      <c r="AV27" s="195"/>
      <c r="AW27" s="195"/>
      <c r="AX27" s="187" t="e">
        <f t="shared" si="26"/>
        <v>#DIV/0!</v>
      </c>
      <c r="AY27" s="187">
        <f>Юсь!C30</f>
        <v>300</v>
      </c>
      <c r="AZ27" s="187">
        <f>Юсь!D30</f>
        <v>320.32810000000001</v>
      </c>
      <c r="BA27" s="187">
        <f t="shared" si="27"/>
        <v>106.77603333333334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60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5053.5021000000006</v>
      </c>
      <c r="CA27" s="186">
        <f t="shared" si="35"/>
        <v>3942.2124999999996</v>
      </c>
      <c r="CB27" s="187">
        <f t="shared" si="53"/>
        <v>78.009515420998824</v>
      </c>
      <c r="CC27" s="187">
        <f>Юсь!C39</f>
        <v>2768.5630000000001</v>
      </c>
      <c r="CD27" s="187">
        <f>Юсь!D39</f>
        <v>2251.2829999999999</v>
      </c>
      <c r="CE27" s="187">
        <f t="shared" si="36"/>
        <v>81.315938990732732</v>
      </c>
      <c r="CF27" s="360">
        <f>Юсь!C41</f>
        <v>546.88009999999997</v>
      </c>
      <c r="CG27" s="187">
        <f>Юсь!D41</f>
        <v>0</v>
      </c>
      <c r="CH27" s="187">
        <f t="shared" si="37"/>
        <v>0</v>
      </c>
      <c r="CI27" s="187">
        <f>Юсь!C42</f>
        <v>1502.36</v>
      </c>
      <c r="CJ27" s="187">
        <f>Юсь!D42</f>
        <v>1460.22</v>
      </c>
      <c r="CK27" s="187">
        <f t="shared" si="7"/>
        <v>97.195079741207181</v>
      </c>
      <c r="CL27" s="187">
        <f>Юсь!C43</f>
        <v>157.59899999999999</v>
      </c>
      <c r="CM27" s="187">
        <f>Юсь!D43</f>
        <v>152.6095</v>
      </c>
      <c r="CN27" s="187">
        <f t="shared" si="8"/>
        <v>96.834053515568002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7476.8584799999999</v>
      </c>
      <c r="DH27" s="195">
        <f t="shared" si="39"/>
        <v>5068.1413199999997</v>
      </c>
      <c r="DI27" s="187">
        <f t="shared" si="40"/>
        <v>67.784368709891638</v>
      </c>
      <c r="DJ27" s="195">
        <f t="shared" si="41"/>
        <v>1272.5335</v>
      </c>
      <c r="DK27" s="195">
        <f t="shared" si="41"/>
        <v>951.08078999999998</v>
      </c>
      <c r="DL27" s="187">
        <f t="shared" si="42"/>
        <v>74.739155393551528</v>
      </c>
      <c r="DM27" s="187">
        <f>Юсь!C59</f>
        <v>1247.5630000000001</v>
      </c>
      <c r="DN27" s="187">
        <f>Юсь!D59</f>
        <v>931.11028999999996</v>
      </c>
      <c r="DO27" s="187">
        <f t="shared" si="43"/>
        <v>74.634330290334034</v>
      </c>
      <c r="DP27" s="187">
        <f>Юсь!C62</f>
        <v>15.714</v>
      </c>
      <c r="DQ27" s="187">
        <f>Юсь!D62</f>
        <v>15.714</v>
      </c>
      <c r="DR27" s="187">
        <f t="shared" si="44"/>
        <v>100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150.881</v>
      </c>
      <c r="DZ27" s="187">
        <f>Юсь!D66</f>
        <v>121.31671</v>
      </c>
      <c r="EA27" s="187">
        <f t="shared" si="47"/>
        <v>80.405558022547581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1575.7813799999999</v>
      </c>
      <c r="EF27" s="195">
        <f>Юсь!D72</f>
        <v>1290.4383799999998</v>
      </c>
      <c r="EG27" s="187">
        <f t="shared" si="49"/>
        <v>81.891967780454408</v>
      </c>
      <c r="EH27" s="195">
        <f>Юсь!C77</f>
        <v>756.24</v>
      </c>
      <c r="EI27" s="195">
        <f>Юсь!D77</f>
        <v>583.54399999999998</v>
      </c>
      <c r="EJ27" s="187">
        <f t="shared" si="50"/>
        <v>77.163863323812549</v>
      </c>
      <c r="EK27" s="195">
        <f>Юсь!C81</f>
        <v>3714.4225999999999</v>
      </c>
      <c r="EL27" s="197">
        <f>Юсь!D81</f>
        <v>2121.7614400000002</v>
      </c>
      <c r="EM27" s="187">
        <f t="shared" si="10"/>
        <v>57.122241287246112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-699.8163799999993</v>
      </c>
      <c r="EX27" s="191">
        <f t="shared" si="13"/>
        <v>80.739539999999579</v>
      </c>
      <c r="EY27" s="184">
        <f t="shared" si="54"/>
        <v>-11.537246384544423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30">
        <f t="shared" si="14"/>
        <v>8695.4784899999995</v>
      </c>
      <c r="D28" s="432">
        <f>G28+CA28+CY28</f>
        <v>5917.8566700000001</v>
      </c>
      <c r="E28" s="187">
        <f>D28/C28*100</f>
        <v>68.05671104592659</v>
      </c>
      <c r="F28" s="185">
        <f t="shared" si="2"/>
        <v>2660.75</v>
      </c>
      <c r="G28" s="185">
        <f>J28+Y28+AB28+AE28+AH28+AN28+AT28+BF28+AK28+BR28+BO28+AZ28+M28+S28+P28+V28+AQ28</f>
        <v>1448.65787</v>
      </c>
      <c r="H28" s="187">
        <f>G28/F28*100</f>
        <v>54.445471013811897</v>
      </c>
      <c r="I28" s="195">
        <f>Яра!C6</f>
        <v>121.5</v>
      </c>
      <c r="J28" s="195">
        <f>Яра!D6</f>
        <v>89.151420000000002</v>
      </c>
      <c r="K28" s="187">
        <f t="shared" si="16"/>
        <v>73.375654320987664</v>
      </c>
      <c r="L28" s="187">
        <f>Яра!C8</f>
        <v>273.13</v>
      </c>
      <c r="M28" s="187">
        <f>Яра!D8</f>
        <v>248.36489</v>
      </c>
      <c r="N28" s="184">
        <f t="shared" si="17"/>
        <v>90.932848826566101</v>
      </c>
      <c r="O28" s="184">
        <f>Яра!C9</f>
        <v>2.93</v>
      </c>
      <c r="P28" s="184">
        <f>Яра!D9</f>
        <v>2.2527200000000001</v>
      </c>
      <c r="Q28" s="184">
        <f t="shared" si="18"/>
        <v>76.884641638225247</v>
      </c>
      <c r="R28" s="184">
        <f>Яра!C10</f>
        <v>456.19</v>
      </c>
      <c r="S28" s="184">
        <f>Яра!D10</f>
        <v>375.33938999999998</v>
      </c>
      <c r="T28" s="184">
        <f t="shared" si="19"/>
        <v>82.276987658650995</v>
      </c>
      <c r="U28" s="184">
        <f>Яра!C11</f>
        <v>0</v>
      </c>
      <c r="V28" s="451">
        <f>Яра!D11</f>
        <v>-55.632829999999998</v>
      </c>
      <c r="W28" s="184" t="e">
        <f t="shared" si="20"/>
        <v>#DIV/0!</v>
      </c>
      <c r="X28" s="195">
        <f>Яра!C13</f>
        <v>25</v>
      </c>
      <c r="Y28" s="195">
        <f>Яра!D13</f>
        <v>21.4968</v>
      </c>
      <c r="Z28" s="187">
        <f t="shared" si="21"/>
        <v>85.987200000000001</v>
      </c>
      <c r="AA28" s="195">
        <f>Яра!C15</f>
        <v>155</v>
      </c>
      <c r="AB28" s="195">
        <f>Яра!D15</f>
        <v>56.718710000000002</v>
      </c>
      <c r="AC28" s="187">
        <f t="shared" si="22"/>
        <v>36.592716129032262</v>
      </c>
      <c r="AD28" s="195">
        <f>Яра!C16</f>
        <v>1500</v>
      </c>
      <c r="AE28" s="195">
        <f>Яра!D16</f>
        <v>592.53562999999997</v>
      </c>
      <c r="AF28" s="187">
        <f t="shared" si="4"/>
        <v>39.502375333333333</v>
      </c>
      <c r="AG28" s="187">
        <f>Яра!C18</f>
        <v>12</v>
      </c>
      <c r="AH28" s="187">
        <f>Яра!D18</f>
        <v>12.68721</v>
      </c>
      <c r="AI28" s="187">
        <f t="shared" si="23"/>
        <v>105.72675000000001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8.5763599999999993</v>
      </c>
      <c r="AR28" s="187">
        <f t="shared" si="24"/>
        <v>28.587866666666667</v>
      </c>
      <c r="AS28" s="188">
        <f>Яра!C28</f>
        <v>55</v>
      </c>
      <c r="AT28" s="448">
        <f>Яра!D28</f>
        <v>53.003459999999997</v>
      </c>
      <c r="AU28" s="187">
        <f t="shared" si="25"/>
        <v>96.369927272727267</v>
      </c>
      <c r="AV28" s="195"/>
      <c r="AW28" s="195"/>
      <c r="AX28" s="187" t="e">
        <f t="shared" si="26"/>
        <v>#DIV/0!</v>
      </c>
      <c r="AY28" s="187">
        <f>Яра!C31</f>
        <v>30</v>
      </c>
      <c r="AZ28" s="187">
        <f>Яра!D31</f>
        <v>30.340229999999998</v>
      </c>
      <c r="BA28" s="187">
        <f t="shared" si="27"/>
        <v>101.1341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60">
        <f>Яра!D35</f>
        <v>12.99113</v>
      </c>
      <c r="BP28" s="187" t="e">
        <f t="shared" si="30"/>
        <v>#DIV/0!</v>
      </c>
      <c r="BQ28" s="187">
        <f>Яра!C37</f>
        <v>0</v>
      </c>
      <c r="BR28" s="187">
        <f>Яра!D37</f>
        <v>0.83274999999999999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6034.7284899999995</v>
      </c>
      <c r="CA28" s="186">
        <f t="shared" si="35"/>
        <v>4469.1988000000001</v>
      </c>
      <c r="CB28" s="187">
        <f t="shared" si="53"/>
        <v>74.05799295537156</v>
      </c>
      <c r="CC28" s="187">
        <f>Яра!C42</f>
        <v>1821.173</v>
      </c>
      <c r="CD28" s="187">
        <f>Яра!D42</f>
        <v>1381.5889999999999</v>
      </c>
      <c r="CE28" s="187">
        <f t="shared" si="36"/>
        <v>75.862589660619832</v>
      </c>
      <c r="CF28" s="187">
        <f>Яра!C43</f>
        <v>154.66300000000001</v>
      </c>
      <c r="CG28" s="187">
        <f>Яра!D43</f>
        <v>0</v>
      </c>
      <c r="CH28" s="187">
        <f t="shared" si="37"/>
        <v>0</v>
      </c>
      <c r="CI28" s="187">
        <f>Яра!C44</f>
        <v>3239.2814899999998</v>
      </c>
      <c r="CJ28" s="187">
        <f>Яра!D44</f>
        <v>2271.9996999999998</v>
      </c>
      <c r="CK28" s="187">
        <f t="shared" si="7"/>
        <v>70.139001720409297</v>
      </c>
      <c r="CL28" s="187">
        <f>Яра!C45</f>
        <v>155.91800000000001</v>
      </c>
      <c r="CM28" s="187">
        <f>Яра!D45</f>
        <v>151.9171</v>
      </c>
      <c r="CN28" s="187">
        <f t="shared" si="8"/>
        <v>97.43397170307469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663.69299999999998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10894.063819999999</v>
      </c>
      <c r="DH28" s="195">
        <f t="shared" si="39"/>
        <v>7420.0354600000001</v>
      </c>
      <c r="DI28" s="187">
        <f t="shared" si="40"/>
        <v>68.110813215338766</v>
      </c>
      <c r="DJ28" s="195">
        <f t="shared" si="41"/>
        <v>1309.998</v>
      </c>
      <c r="DK28" s="195">
        <f t="shared" si="41"/>
        <v>810.92173000000003</v>
      </c>
      <c r="DL28" s="187">
        <f t="shared" si="42"/>
        <v>61.902516645063578</v>
      </c>
      <c r="DM28" s="187">
        <f>Яра!C59</f>
        <v>1283.673</v>
      </c>
      <c r="DN28" s="187">
        <f>Яра!D59</f>
        <v>794.11473000000001</v>
      </c>
      <c r="DO28" s="187">
        <f t="shared" si="43"/>
        <v>61.862696340890558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21.324999999999999</v>
      </c>
      <c r="DW28" s="187">
        <f>Яра!D64</f>
        <v>16.806999999999999</v>
      </c>
      <c r="DX28" s="187">
        <f t="shared" si="46"/>
        <v>78.813599062133648</v>
      </c>
      <c r="DY28" s="187">
        <f>Яра!C66</f>
        <v>150.88</v>
      </c>
      <c r="DZ28" s="187">
        <f>Яра!D65</f>
        <v>123.18142</v>
      </c>
      <c r="EA28" s="187">
        <f t="shared" si="47"/>
        <v>81.641980381760348</v>
      </c>
      <c r="EB28" s="187">
        <f>Яра!C67</f>
        <v>43.72813</v>
      </c>
      <c r="EC28" s="187">
        <f>Яра!D67</f>
        <v>5.7750000000000004</v>
      </c>
      <c r="ED28" s="187">
        <f t="shared" si="48"/>
        <v>13.206601791569867</v>
      </c>
      <c r="EE28" s="195">
        <f>Яра!C73</f>
        <v>5740.15769</v>
      </c>
      <c r="EF28" s="195">
        <f>Яра!D73</f>
        <v>3848.5074300000001</v>
      </c>
      <c r="EG28" s="187">
        <f t="shared" si="49"/>
        <v>67.045325892432061</v>
      </c>
      <c r="EH28" s="195">
        <f>Яра!C78</f>
        <v>513.27499999999998</v>
      </c>
      <c r="EI28" s="195">
        <f>Яра!D78</f>
        <v>325.37968000000001</v>
      </c>
      <c r="EJ28" s="187">
        <f t="shared" si="50"/>
        <v>63.392855681652136</v>
      </c>
      <c r="EK28" s="195">
        <f>Яра!C82</f>
        <v>3080.5250000000001</v>
      </c>
      <c r="EL28" s="197">
        <f>Яра!D82</f>
        <v>2263.9481999999998</v>
      </c>
      <c r="EM28" s="187">
        <f t="shared" si="10"/>
        <v>73.492284594346728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55.5</v>
      </c>
      <c r="ER28" s="198">
        <f>Яра!D89</f>
        <v>42.322000000000003</v>
      </c>
      <c r="ES28" s="187">
        <f t="shared" si="51"/>
        <v>76.255855855855856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-1502.1787899999999</v>
      </c>
      <c r="EY28" s="184">
        <f t="shared" si="54"/>
        <v>68.324789104273691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429">
        <f t="shared" si="14"/>
        <v>9261.3479999999981</v>
      </c>
      <c r="D29" s="287">
        <f t="shared" si="0"/>
        <v>3166.72633</v>
      </c>
      <c r="E29" s="184">
        <f t="shared" si="1"/>
        <v>34.192930985856492</v>
      </c>
      <c r="F29" s="185">
        <f t="shared" si="2"/>
        <v>1870.1619999999998</v>
      </c>
      <c r="G29" s="185">
        <f t="shared" si="3"/>
        <v>1045.59413</v>
      </c>
      <c r="H29" s="184">
        <f t="shared" si="15"/>
        <v>55.90928112110074</v>
      </c>
      <c r="I29" s="186">
        <f>Яро!C6</f>
        <v>101.6</v>
      </c>
      <c r="J29" s="195">
        <f>Яро!D6</f>
        <v>72.913489999999996</v>
      </c>
      <c r="K29" s="184">
        <f t="shared" si="16"/>
        <v>71.765246062992134</v>
      </c>
      <c r="L29" s="184">
        <f>Яро!C8</f>
        <v>156.87</v>
      </c>
      <c r="M29" s="184">
        <f>Яро!D8</f>
        <v>142.64689000000001</v>
      </c>
      <c r="N29" s="184">
        <f t="shared" si="17"/>
        <v>90.933186715114431</v>
      </c>
      <c r="O29" s="184">
        <f>Яро!C9</f>
        <v>1.68</v>
      </c>
      <c r="P29" s="184">
        <f>Яро!D9</f>
        <v>1.29386</v>
      </c>
      <c r="Q29" s="184">
        <f t="shared" si="18"/>
        <v>77.015476190476193</v>
      </c>
      <c r="R29" s="184">
        <f>Яро!C10</f>
        <v>262.01</v>
      </c>
      <c r="S29" s="184">
        <f>Яро!D10</f>
        <v>215.57393999999999</v>
      </c>
      <c r="T29" s="184">
        <f t="shared" si="19"/>
        <v>82.27698942788443</v>
      </c>
      <c r="U29" s="184">
        <f>Яро!C11</f>
        <v>0</v>
      </c>
      <c r="V29" s="451">
        <f>Яро!D11</f>
        <v>-31.952390000000001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42.747839999999997</v>
      </c>
      <c r="AC29" s="184">
        <f t="shared" si="22"/>
        <v>18.190570212765955</v>
      </c>
      <c r="AD29" s="186">
        <f>Яро!C16</f>
        <v>1000</v>
      </c>
      <c r="AE29" s="186">
        <f>Яро!D16</f>
        <v>493.98858000000001</v>
      </c>
      <c r="AF29" s="184">
        <f t="shared" si="4"/>
        <v>49.398858000000004</v>
      </c>
      <c r="AG29" s="184">
        <f>Яро!C18</f>
        <v>8.0020000000000007</v>
      </c>
      <c r="AH29" s="184">
        <f>Яро!D18</f>
        <v>3.1309999999999998</v>
      </c>
      <c r="AI29" s="184">
        <f t="shared" si="23"/>
        <v>39.127718070482373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100</v>
      </c>
      <c r="AQ29" s="186">
        <f>Яро!D27</f>
        <v>105.14712</v>
      </c>
      <c r="AR29" s="184">
        <f t="shared" si="24"/>
        <v>105.14712</v>
      </c>
      <c r="AS29" s="188">
        <v>0</v>
      </c>
      <c r="AT29" s="204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7391.1859999999988</v>
      </c>
      <c r="CA29" s="186">
        <f t="shared" si="35"/>
        <v>2121.1322</v>
      </c>
      <c r="CB29" s="184">
        <f t="shared" si="53"/>
        <v>28.698130448888719</v>
      </c>
      <c r="CC29" s="187">
        <f>Яро!C39</f>
        <v>975.07100000000003</v>
      </c>
      <c r="CD29" s="187">
        <f>Яро!D39</f>
        <v>767.09</v>
      </c>
      <c r="CE29" s="184">
        <f t="shared" si="36"/>
        <v>78.670168633873843</v>
      </c>
      <c r="CF29" s="184">
        <f>Яро!C40</f>
        <v>584</v>
      </c>
      <c r="CG29" s="184">
        <f>Яро!D40</f>
        <v>584</v>
      </c>
      <c r="CH29" s="184">
        <f t="shared" si="37"/>
        <v>100</v>
      </c>
      <c r="CI29" s="184">
        <f>Яро!C41</f>
        <v>5457.0300900000002</v>
      </c>
      <c r="CJ29" s="184">
        <f>Яро!D41</f>
        <v>449.45</v>
      </c>
      <c r="CK29" s="184">
        <f t="shared" si="7"/>
        <v>8.2361649576317433</v>
      </c>
      <c r="CL29" s="184">
        <f>Яро!C42</f>
        <v>74.096000000000004</v>
      </c>
      <c r="CM29" s="184">
        <f>Яро!D42</f>
        <v>72.670199999999994</v>
      </c>
      <c r="CN29" s="184">
        <f t="shared" si="8"/>
        <v>98.075739581083994</v>
      </c>
      <c r="CO29" s="184">
        <f>Яро!C44</f>
        <v>46.06691</v>
      </c>
      <c r="CP29" s="184">
        <f>Яро!D44</f>
        <v>0</v>
      </c>
      <c r="CQ29" s="184">
        <f>Яро!E44</f>
        <v>0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9315.0078699999995</v>
      </c>
      <c r="DH29" s="186">
        <f t="shared" si="39"/>
        <v>2799.6716799999999</v>
      </c>
      <c r="DI29" s="184">
        <f t="shared" si="40"/>
        <v>30.055494521015362</v>
      </c>
      <c r="DJ29" s="186">
        <f t="shared" si="41"/>
        <v>1308.865</v>
      </c>
      <c r="DK29" s="186">
        <f t="shared" si="41"/>
        <v>895.66387000000009</v>
      </c>
      <c r="DL29" s="184">
        <f t="shared" si="42"/>
        <v>68.430576873856367</v>
      </c>
      <c r="DM29" s="184">
        <f>Яро!C55</f>
        <v>1295.6110000000001</v>
      </c>
      <c r="DN29" s="184">
        <f>Яро!D55</f>
        <v>892.44987000000003</v>
      </c>
      <c r="DO29" s="184">
        <f t="shared" si="43"/>
        <v>68.882548079631917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8.2539999999999996</v>
      </c>
      <c r="DW29" s="184">
        <f>Яро!D60</f>
        <v>3.214</v>
      </c>
      <c r="DX29" s="184">
        <f t="shared" si="46"/>
        <v>38.938696389629271</v>
      </c>
      <c r="DY29" s="184">
        <f>Яро!C61</f>
        <v>70.596000000000004</v>
      </c>
      <c r="DZ29" s="184">
        <f>Яро!D61</f>
        <v>60.032769999999999</v>
      </c>
      <c r="EA29" s="184">
        <f t="shared" si="47"/>
        <v>85.037070088956881</v>
      </c>
      <c r="EB29" s="184">
        <f>Яро!C63</f>
        <v>30.7</v>
      </c>
      <c r="EC29" s="184">
        <f>Яро!D63</f>
        <v>14.436</v>
      </c>
      <c r="ED29" s="184">
        <f t="shared" si="48"/>
        <v>47.022801302931597</v>
      </c>
      <c r="EE29" s="186">
        <f>Яро!C68</f>
        <v>2092.9008699999999</v>
      </c>
      <c r="EF29" s="186">
        <f>Яро!D68</f>
        <v>1026.45552</v>
      </c>
      <c r="EG29" s="184">
        <f t="shared" si="49"/>
        <v>49.04463153097165</v>
      </c>
      <c r="EH29" s="186">
        <f>Яро!C73</f>
        <v>462.44600000000003</v>
      </c>
      <c r="EI29" s="186">
        <f>Яро!D73</f>
        <v>278.99752000000001</v>
      </c>
      <c r="EJ29" s="184">
        <f t="shared" si="50"/>
        <v>60.330832140401256</v>
      </c>
      <c r="EK29" s="186">
        <f>Яро!C78</f>
        <v>5344.5</v>
      </c>
      <c r="EL29" s="190">
        <f>Яро!D77</f>
        <v>522.07100000000003</v>
      </c>
      <c r="EM29" s="184">
        <f t="shared" si="10"/>
        <v>9.7683787070820465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-53.65987000000132</v>
      </c>
      <c r="EX29" s="191">
        <f t="shared" si="13"/>
        <v>367.05465000000004</v>
      </c>
      <c r="EY29" s="184">
        <f t="shared" si="54"/>
        <v>-684.03939480284055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88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451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4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86" t="s">
        <v>180</v>
      </c>
      <c r="B31" s="487"/>
      <c r="C31" s="289">
        <f>SUM(C14:C29)</f>
        <v>106763.88332999998</v>
      </c>
      <c r="D31" s="289">
        <f>SUM(D14:D29)</f>
        <v>67817.237480000011</v>
      </c>
      <c r="E31" s="205">
        <f>D31/C31*100</f>
        <v>63.520766915513448</v>
      </c>
      <c r="F31" s="237">
        <f>SUM(F14:F29)</f>
        <v>37950.171999999991</v>
      </c>
      <c r="G31" s="236">
        <f>SUM(G14:G29)</f>
        <v>22791.775180000001</v>
      </c>
      <c r="H31" s="239">
        <f>G31/F31*100</f>
        <v>60.057106407844493</v>
      </c>
      <c r="I31" s="236">
        <f>SUM(I14:I29)</f>
        <v>5201.9000000000005</v>
      </c>
      <c r="J31" s="236">
        <f>SUM(J14:J29)</f>
        <v>3614.3827499999998</v>
      </c>
      <c r="K31" s="239">
        <f>J31/I31*100</f>
        <v>69.481972932966784</v>
      </c>
      <c r="L31" s="239">
        <f>SUM(L14:L29)</f>
        <v>3011.7400000000002</v>
      </c>
      <c r="M31" s="239">
        <f>SUM(M14:M29)</f>
        <v>2732.7378499999995</v>
      </c>
      <c r="N31" s="239">
        <f>M31/L31*100</f>
        <v>90.7361807460139</v>
      </c>
      <c r="O31" s="239">
        <f>SUM(O14:O29)</f>
        <v>32.24</v>
      </c>
      <c r="P31" s="239">
        <f>SUM(P14:P29)</f>
        <v>24.786529999999996</v>
      </c>
      <c r="Q31" s="239">
        <f>P31/O31*100</f>
        <v>76.88129652605457</v>
      </c>
      <c r="R31" s="239">
        <f>SUM(R14:R29)</f>
        <v>5019.3900000000003</v>
      </c>
      <c r="S31" s="239">
        <f>SUM(S14:S29)</f>
        <v>4129.8275699999995</v>
      </c>
      <c r="T31" s="239">
        <f>S31/R31*100</f>
        <v>82.27747933513831</v>
      </c>
      <c r="U31" s="239">
        <f>SUM(U14:U29)</f>
        <v>0</v>
      </c>
      <c r="V31" s="454">
        <f>SUM(V14:V29)</f>
        <v>-612.12275999999997</v>
      </c>
      <c r="W31" s="239" t="e">
        <f>V31/U31*100</f>
        <v>#DIV/0!</v>
      </c>
      <c r="X31" s="236">
        <f>SUM(X14:X29)</f>
        <v>470</v>
      </c>
      <c r="Y31" s="236">
        <f>SUM(Y14:Y29)</f>
        <v>410.31963999999999</v>
      </c>
      <c r="Z31" s="239">
        <f>Y31/X31*100</f>
        <v>87.302051063829794</v>
      </c>
      <c r="AA31" s="236">
        <f>SUM(AA14:AA29)</f>
        <v>2821.4</v>
      </c>
      <c r="AB31" s="236">
        <f>SUM(AB14:AB29)</f>
        <v>1108.9307999999999</v>
      </c>
      <c r="AC31" s="239">
        <f>AB31/AA31*100</f>
        <v>39.304274473665551</v>
      </c>
      <c r="AD31" s="236">
        <f>SUM(AD14:AD29)</f>
        <v>17949.2</v>
      </c>
      <c r="AE31" s="236">
        <f>SUM(AE14:AE29)</f>
        <v>9521.6747799999976</v>
      </c>
      <c r="AF31" s="239">
        <f>AE31/AD31*100</f>
        <v>53.047906201947704</v>
      </c>
      <c r="AG31" s="362">
        <f>SUM(AG14:AG29)</f>
        <v>162.00200000000001</v>
      </c>
      <c r="AH31" s="239">
        <f>SUM(AH14:AH29)</f>
        <v>112.60320999999999</v>
      </c>
      <c r="AI31" s="184">
        <f t="shared" si="23"/>
        <v>69.507296206219678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1571.3</v>
      </c>
      <c r="AQ31" s="236">
        <f>SUM(AQ14:AQ29)</f>
        <v>295.35608000000002</v>
      </c>
      <c r="AR31" s="239">
        <f>AQ31/AP31*100</f>
        <v>18.796924839305035</v>
      </c>
      <c r="AS31" s="236">
        <f>SUM(AS14:AS29)</f>
        <v>360</v>
      </c>
      <c r="AT31" s="390">
        <f>SUM(AT14:AT29)</f>
        <v>282.93856</v>
      </c>
      <c r="AU31" s="239">
        <f>AT31/AS31*100</f>
        <v>78.594044444444449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765</v>
      </c>
      <c r="AZ31" s="239">
        <f>SUM(AZ14:AZ29)</f>
        <v>671.26726000000008</v>
      </c>
      <c r="BA31" s="184">
        <f t="shared" si="27"/>
        <v>87.747354248366022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591.20000000000005</v>
      </c>
      <c r="BG31" s="236">
        <f t="shared" si="28"/>
        <v>100.88737201365188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14.175890000000001</v>
      </c>
      <c r="BP31" s="239" t="e">
        <f>BO31/BN31*100</f>
        <v>#DIV/0!</v>
      </c>
      <c r="BQ31" s="236">
        <f>SUM(BQ14:BQ29)</f>
        <v>0</v>
      </c>
      <c r="BR31" s="358">
        <f>SUM(BR14:BR29)</f>
        <v>-106.30297999999999</v>
      </c>
      <c r="BS31" s="239" t="e">
        <f>BR31/BQ31*100</f>
        <v>#DIV/0!</v>
      </c>
      <c r="BT31" s="239">
        <f t="shared" ref="BT31:BY31" si="55">SUM(BT14:BT29)</f>
        <v>0</v>
      </c>
      <c r="BU31" s="239"/>
      <c r="BV31" s="239" t="e">
        <f t="shared" si="55"/>
        <v>#DIV/0!</v>
      </c>
      <c r="BW31" s="239">
        <f t="shared" si="55"/>
        <v>0</v>
      </c>
      <c r="BX31" s="239">
        <f t="shared" si="55"/>
        <v>0</v>
      </c>
      <c r="BY31" s="291" t="e">
        <f t="shared" si="55"/>
        <v>#DIV/0!</v>
      </c>
      <c r="BZ31" s="237">
        <f>SUM(BZ14:BZ29)</f>
        <v>68813.711329999991</v>
      </c>
      <c r="CA31" s="236">
        <f>SUM(CA14:CA29)</f>
        <v>45025.462299999999</v>
      </c>
      <c r="CB31" s="236">
        <f t="shared" si="53"/>
        <v>65.430945998651183</v>
      </c>
      <c r="CC31" s="236">
        <f>SUM(CC14:CC29)</f>
        <v>28718.623999999996</v>
      </c>
      <c r="CD31" s="236">
        <f>SUM(CD14:CD29)</f>
        <v>22961.200000000001</v>
      </c>
      <c r="CE31" s="236">
        <f>CD31/CC31*100</f>
        <v>79.952298550236961</v>
      </c>
      <c r="CF31" s="455">
        <f>SUM(CF14:CF29)</f>
        <v>5786.1481000000003</v>
      </c>
      <c r="CG31" s="236">
        <f>SUM(CG14:CG29)</f>
        <v>2492</v>
      </c>
      <c r="CH31" s="236">
        <f>CG31/CF31*100</f>
        <v>43.068375660830391</v>
      </c>
      <c r="CI31" s="236">
        <f>SUM(CI14:CI29)</f>
        <v>28847.862340000003</v>
      </c>
      <c r="CJ31" s="236">
        <f>SUM(CJ14:CJ29)</f>
        <v>14854.970959999999</v>
      </c>
      <c r="CK31" s="236">
        <f>CJ31/CI31*100</f>
        <v>51.494182774861365</v>
      </c>
      <c r="CL31" s="236">
        <f>SUM(CL14:CL29)</f>
        <v>1856.7999999999997</v>
      </c>
      <c r="CM31" s="236">
        <f>SUM(CM14:CM29)</f>
        <v>1791.8710000000001</v>
      </c>
      <c r="CN31" s="236">
        <f t="shared" si="8"/>
        <v>96.503177509694112</v>
      </c>
      <c r="CO31" s="236">
        <f>SUM(CO14:CO29)</f>
        <v>390.00589000000002</v>
      </c>
      <c r="CP31" s="236">
        <f>SUM(CP14:CP29)</f>
        <v>120</v>
      </c>
      <c r="CQ31" s="236">
        <f>CP31/CO31*100</f>
        <v>30.768766081968657</v>
      </c>
      <c r="CR31" s="236">
        <f>SUM(CR14:CR29)</f>
        <v>3214.2710000000002</v>
      </c>
      <c r="CS31" s="236">
        <f>SUM(CS14:CS29)</f>
        <v>3172.3895799999996</v>
      </c>
      <c r="CT31" s="236">
        <f t="shared" si="9"/>
        <v>98.697016524120073</v>
      </c>
      <c r="CU31" s="236">
        <f>SUM(CU14:CU29)</f>
        <v>0</v>
      </c>
      <c r="CV31" s="236">
        <f>SUM(CV14:CV29)</f>
        <v>-366.96924000000001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112525.99979999998</v>
      </c>
      <c r="DH31" s="237">
        <f>SUM(DH14:DH29)</f>
        <v>66474.139280000003</v>
      </c>
      <c r="DI31" s="239">
        <f>DH31/DG31*100</f>
        <v>59.074471142801634</v>
      </c>
      <c r="DJ31" s="237">
        <f>SUM(DJ14:DJ29)</f>
        <v>22309.701500000003</v>
      </c>
      <c r="DK31" s="237">
        <f>SUM(DK14:DK29)</f>
        <v>15083.193880000003</v>
      </c>
      <c r="DL31" s="239">
        <f>DK31/DJ31*100</f>
        <v>67.608228106503361</v>
      </c>
      <c r="DM31" s="236">
        <f>SUM(DM14:DM29)</f>
        <v>21854.038</v>
      </c>
      <c r="DN31" s="237">
        <f>SUM(DN14:DN29)</f>
        <v>14792.112420000001</v>
      </c>
      <c r="DO31" s="239">
        <f>DN31/DM31*100</f>
        <v>67.68594627683909</v>
      </c>
      <c r="DP31" s="236">
        <f>SUM(DP14:DP29)</f>
        <v>168.8</v>
      </c>
      <c r="DQ31" s="236">
        <f>SUM(DQ14:DQ29)</f>
        <v>168.8</v>
      </c>
      <c r="DR31" s="239">
        <f>DQ31/DP31*100</f>
        <v>100</v>
      </c>
      <c r="DS31" s="254">
        <f>SUM(DS14:DS29)</f>
        <v>106.01</v>
      </c>
      <c r="DT31" s="239">
        <f>SUM(DT14:DT29)</f>
        <v>0</v>
      </c>
      <c r="DU31" s="239">
        <f>DT31/DS31*100</f>
        <v>0</v>
      </c>
      <c r="DV31" s="363">
        <f>SUM(DV14:DV29)</f>
        <v>180.8535</v>
      </c>
      <c r="DW31" s="239">
        <f>SUM(DW14:DW29)</f>
        <v>122.28146</v>
      </c>
      <c r="DX31" s="184">
        <f>DW31/DV31*100</f>
        <v>67.613543558736765</v>
      </c>
      <c r="DY31" s="239">
        <f>SUM(DY14:DY29)</f>
        <v>1781.5</v>
      </c>
      <c r="DZ31" s="254">
        <f>SUM(DZ14:DZ29)</f>
        <v>1433.1994099999999</v>
      </c>
      <c r="EA31" s="236">
        <f t="shared" si="47"/>
        <v>80.449026662924496</v>
      </c>
      <c r="EB31" s="254">
        <f>SUM(EB14:EB29)</f>
        <v>409.02954999999997</v>
      </c>
      <c r="EC31" s="254">
        <f>SUM(EC14:EC29)</f>
        <v>55.349609999999998</v>
      </c>
      <c r="ED31" s="184">
        <f t="shared" si="48"/>
        <v>13.53193430645781</v>
      </c>
      <c r="EE31" s="236">
        <f>SUM(EE14:EE29)</f>
        <v>36254.901839999991</v>
      </c>
      <c r="EF31" s="237">
        <f>SUM(EF14:EF29)</f>
        <v>19199.408459999999</v>
      </c>
      <c r="EG31" s="239">
        <f>EF31/EE31*100</f>
        <v>52.956724430618408</v>
      </c>
      <c r="EH31" s="236">
        <f>SUM(EH14:EH29)</f>
        <v>19072.975810000004</v>
      </c>
      <c r="EI31" s="237">
        <f>SUM(EI14:EI29)</f>
        <v>12693.825480000001</v>
      </c>
      <c r="EJ31" s="239">
        <f>EI31/EH31*100</f>
        <v>66.553985106742502</v>
      </c>
      <c r="EK31" s="237">
        <f>SUM(EK14:EK29)</f>
        <v>32471.449099999998</v>
      </c>
      <c r="EL31" s="237">
        <f>SUM(EL14:EL29)</f>
        <v>17876.172439999998</v>
      </c>
      <c r="EM31" s="239">
        <f>EL31/EK31*100</f>
        <v>55.051970070531894</v>
      </c>
      <c r="EN31" s="237">
        <f>SUM(EN14:EN29)</f>
        <v>10</v>
      </c>
      <c r="EO31" s="237">
        <f>SUM(EO14:EO29)</f>
        <v>10</v>
      </c>
      <c r="EP31" s="239">
        <f>EO31/EN31*100</f>
        <v>100</v>
      </c>
      <c r="EQ31" s="236">
        <f>SUM(EQ14:EQ29)</f>
        <v>216.44200000000001</v>
      </c>
      <c r="ER31" s="236">
        <f>SUM(ER14:ER29)</f>
        <v>122.99000000000002</v>
      </c>
      <c r="ES31" s="239">
        <f>ER31/EQ31*100</f>
        <v>56.823537021465341</v>
      </c>
      <c r="ET31" s="239">
        <f>SUM(ET14:ET29)</f>
        <v>0</v>
      </c>
      <c r="EU31" s="290">
        <f>SUM(EU14:EU29)</f>
        <v>0</v>
      </c>
      <c r="EV31" s="184" t="e">
        <f>EU31/ET31*100</f>
        <v>#DIV/0!</v>
      </c>
      <c r="EW31" s="254">
        <f>SUM(EW14:EW29)</f>
        <v>-5762.116469999999</v>
      </c>
      <c r="EX31" s="239">
        <f>SUM(EX14:EX29)</f>
        <v>1343.0982000000026</v>
      </c>
      <c r="EY31" s="184">
        <f>EX31/EW31*100</f>
        <v>-23.309112319973686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214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-21341.114329999982</v>
      </c>
      <c r="D33" s="210">
        <f t="shared" ref="D33:BO33" si="56">D32-D31</f>
        <v>-60845.364880000008</v>
      </c>
      <c r="E33" s="210"/>
      <c r="F33" s="210">
        <f t="shared" si="56"/>
        <v>-8236.1719999999914</v>
      </c>
      <c r="G33" s="210">
        <f t="shared" si="56"/>
        <v>-20650.673580000002</v>
      </c>
      <c r="H33" s="210"/>
      <c r="I33" s="210">
        <f t="shared" si="56"/>
        <v>-1178.9000000000005</v>
      </c>
      <c r="J33" s="210">
        <f t="shared" si="56"/>
        <v>-3096.5495599999999</v>
      </c>
      <c r="K33" s="210"/>
      <c r="L33" s="210">
        <f t="shared" si="56"/>
        <v>-363.44000000000005</v>
      </c>
      <c r="M33" s="210">
        <f t="shared" si="56"/>
        <v>-2457.4579099999996</v>
      </c>
      <c r="N33" s="210"/>
      <c r="O33" s="210">
        <f t="shared" si="56"/>
        <v>39.82</v>
      </c>
      <c r="P33" s="210">
        <f t="shared" si="56"/>
        <v>-19.194589999999994</v>
      </c>
      <c r="Q33" s="210"/>
      <c r="R33" s="210">
        <f t="shared" si="56"/>
        <v>266.04999999999927</v>
      </c>
      <c r="S33" s="210">
        <f t="shared" si="56"/>
        <v>-3692.1831399999996</v>
      </c>
      <c r="T33" s="210"/>
      <c r="U33" s="210">
        <f t="shared" si="56"/>
        <v>0</v>
      </c>
      <c r="V33" s="210">
        <f t="shared" si="56"/>
        <v>554.75625000000002</v>
      </c>
      <c r="W33" s="210" t="e">
        <f t="shared" si="56"/>
        <v>#DIV/0!</v>
      </c>
      <c r="X33" s="210">
        <f t="shared" si="56"/>
        <v>-20</v>
      </c>
      <c r="Y33" s="210">
        <f t="shared" si="56"/>
        <v>-359.74750999999998</v>
      </c>
      <c r="Z33" s="210"/>
      <c r="AA33" s="210">
        <f t="shared" si="56"/>
        <v>-1269.4000000000001</v>
      </c>
      <c r="AB33" s="210">
        <f t="shared" si="56"/>
        <v>-1075.0010399999999</v>
      </c>
      <c r="AC33" s="210"/>
      <c r="AD33" s="210">
        <f t="shared" si="56"/>
        <v>-3635.2000000000007</v>
      </c>
      <c r="AE33" s="210">
        <f t="shared" si="56"/>
        <v>-8756.4074399999972</v>
      </c>
      <c r="AF33" s="210"/>
      <c r="AG33" s="210">
        <f t="shared" si="56"/>
        <v>101.99799999999999</v>
      </c>
      <c r="AH33" s="210">
        <f t="shared" si="56"/>
        <v>-84.153209999999987</v>
      </c>
      <c r="AI33" s="210"/>
      <c r="AJ33" s="210">
        <f t="shared" si="56"/>
        <v>0</v>
      </c>
      <c r="AK33" s="210">
        <f t="shared" si="56"/>
        <v>4.1130100000000001</v>
      </c>
      <c r="AL33" s="210"/>
      <c r="AM33" s="210">
        <f t="shared" si="56"/>
        <v>2902</v>
      </c>
      <c r="AN33" s="210">
        <f t="shared" si="56"/>
        <v>0</v>
      </c>
      <c r="AO33" s="210" t="e">
        <f t="shared" si="56"/>
        <v>#DIV/0!</v>
      </c>
      <c r="AP33" s="210">
        <f t="shared" si="56"/>
        <v>-1171.3</v>
      </c>
      <c r="AQ33" s="210">
        <f t="shared" si="56"/>
        <v>-193.35608000000002</v>
      </c>
      <c r="AR33" s="210"/>
      <c r="AS33" s="210">
        <f t="shared" si="56"/>
        <v>-34.800000000000011</v>
      </c>
      <c r="AT33" s="210">
        <f t="shared" si="56"/>
        <v>-68.938559999999995</v>
      </c>
      <c r="AU33" s="210"/>
      <c r="AV33" s="210">
        <f t="shared" si="56"/>
        <v>0</v>
      </c>
      <c r="AW33" s="210">
        <f t="shared" si="56"/>
        <v>0</v>
      </c>
      <c r="AX33" s="210" t="e">
        <f t="shared" si="56"/>
        <v>#DIV/0!</v>
      </c>
      <c r="AY33" s="210">
        <f t="shared" si="56"/>
        <v>-765</v>
      </c>
      <c r="AZ33" s="210">
        <f t="shared" si="56"/>
        <v>-671.26726000000008</v>
      </c>
      <c r="BA33" s="210"/>
      <c r="BB33" s="210">
        <f t="shared" si="56"/>
        <v>0</v>
      </c>
      <c r="BC33" s="210">
        <f t="shared" si="56"/>
        <v>0</v>
      </c>
      <c r="BD33" s="210" t="e">
        <f t="shared" si="56"/>
        <v>#DIV/0!</v>
      </c>
      <c r="BE33" s="210">
        <f t="shared" si="56"/>
        <v>-206</v>
      </c>
      <c r="BF33" s="210">
        <f t="shared" si="56"/>
        <v>-591.20000000000005</v>
      </c>
      <c r="BG33" s="210">
        <f t="shared" si="56"/>
        <v>-100.88737201365188</v>
      </c>
      <c r="BH33" s="210">
        <f t="shared" si="56"/>
        <v>0</v>
      </c>
      <c r="BI33" s="210">
        <f t="shared" si="56"/>
        <v>0</v>
      </c>
      <c r="BJ33" s="210" t="e">
        <f t="shared" si="56"/>
        <v>#DIV/0!</v>
      </c>
      <c r="BK33" s="210">
        <f t="shared" si="56"/>
        <v>0</v>
      </c>
      <c r="BL33" s="210">
        <f t="shared" si="56"/>
        <v>0</v>
      </c>
      <c r="BM33" s="210" t="e">
        <f t="shared" si="56"/>
        <v>#DIV/0!</v>
      </c>
      <c r="BN33" s="210">
        <f t="shared" si="56"/>
        <v>0</v>
      </c>
      <c r="BO33" s="210">
        <f t="shared" si="56"/>
        <v>5.8241099999999992</v>
      </c>
      <c r="BP33" s="210"/>
      <c r="BQ33" s="210">
        <f t="shared" ref="BQ33:DZ33" si="57">BQ32-BQ31</f>
        <v>0</v>
      </c>
      <c r="BR33" s="210">
        <f t="shared" si="57"/>
        <v>120.11852999999999</v>
      </c>
      <c r="BS33" s="210"/>
      <c r="BT33" s="210">
        <f t="shared" si="57"/>
        <v>0</v>
      </c>
      <c r="BU33" s="210">
        <f t="shared" si="57"/>
        <v>0</v>
      </c>
      <c r="BV33" s="210" t="e">
        <f t="shared" si="57"/>
        <v>#DIV/0!</v>
      </c>
      <c r="BW33" s="210">
        <f t="shared" si="57"/>
        <v>0</v>
      </c>
      <c r="BX33" s="210">
        <f t="shared" si="57"/>
        <v>0</v>
      </c>
      <c r="BY33" s="210" t="e">
        <f t="shared" si="57"/>
        <v>#DIV/0!</v>
      </c>
      <c r="BZ33" s="210">
        <f t="shared" si="57"/>
        <v>-13104.942329999991</v>
      </c>
      <c r="CA33" s="210">
        <f t="shared" si="57"/>
        <v>-40194.691299999999</v>
      </c>
      <c r="CB33" s="210"/>
      <c r="CC33" s="210">
        <f t="shared" si="57"/>
        <v>-2525.2239999999947</v>
      </c>
      <c r="CD33" s="210">
        <f t="shared" si="57"/>
        <v>-18595.617000000002</v>
      </c>
      <c r="CE33" s="210"/>
      <c r="CF33" s="210">
        <f t="shared" si="57"/>
        <v>-2986.1481000000003</v>
      </c>
      <c r="CG33" s="210">
        <f t="shared" si="57"/>
        <v>-2492</v>
      </c>
      <c r="CH33" s="210"/>
      <c r="CI33" s="210">
        <f t="shared" si="57"/>
        <v>-7859.5733400000026</v>
      </c>
      <c r="CJ33" s="210">
        <f t="shared" si="57"/>
        <v>-14628.182959999998</v>
      </c>
      <c r="CK33" s="210"/>
      <c r="CL33" s="210">
        <f t="shared" si="57"/>
        <v>3870.28</v>
      </c>
      <c r="CM33" s="210">
        <f t="shared" si="57"/>
        <v>-1553.471</v>
      </c>
      <c r="CN33" s="210"/>
      <c r="CO33" s="210">
        <f t="shared" si="57"/>
        <v>-390.00589000000002</v>
      </c>
      <c r="CP33" s="210">
        <f t="shared" si="57"/>
        <v>-120</v>
      </c>
      <c r="CQ33" s="210"/>
      <c r="CR33" s="210">
        <f t="shared" si="57"/>
        <v>-3214.2710000000002</v>
      </c>
      <c r="CS33" s="210">
        <f t="shared" si="57"/>
        <v>-3172.3895799999996</v>
      </c>
      <c r="CT33" s="210"/>
      <c r="CU33" s="210">
        <f t="shared" si="57"/>
        <v>0</v>
      </c>
      <c r="CV33" s="210">
        <f t="shared" si="57"/>
        <v>366.96924000000001</v>
      </c>
      <c r="CW33" s="210" t="e">
        <f t="shared" si="57"/>
        <v>#DIV/0!</v>
      </c>
      <c r="CX33" s="210">
        <f t="shared" si="57"/>
        <v>0</v>
      </c>
      <c r="CY33" s="210">
        <f t="shared" si="57"/>
        <v>0</v>
      </c>
      <c r="CZ33" s="210" t="e">
        <f t="shared" si="57"/>
        <v>#DIV/0!</v>
      </c>
      <c r="DA33" s="210">
        <f t="shared" si="57"/>
        <v>0</v>
      </c>
      <c r="DB33" s="210">
        <f t="shared" si="57"/>
        <v>0</v>
      </c>
      <c r="DC33" s="210" t="e">
        <f t="shared" si="57"/>
        <v>#DIV/0!</v>
      </c>
      <c r="DD33" s="210">
        <f t="shared" si="57"/>
        <v>0</v>
      </c>
      <c r="DE33" s="210">
        <f t="shared" si="57"/>
        <v>0</v>
      </c>
      <c r="DF33" s="210">
        <f t="shared" si="57"/>
        <v>0</v>
      </c>
      <c r="DG33" s="210">
        <f t="shared" si="57"/>
        <v>-26058.38079999997</v>
      </c>
      <c r="DH33" s="210">
        <f t="shared" si="57"/>
        <v>-58429.825320000004</v>
      </c>
      <c r="DI33" s="210"/>
      <c r="DJ33" s="210">
        <f t="shared" si="57"/>
        <v>-3650.4155000000028</v>
      </c>
      <c r="DK33" s="210">
        <f t="shared" si="57"/>
        <v>-13089.539670000002</v>
      </c>
      <c r="DL33" s="210"/>
      <c r="DM33" s="210">
        <f t="shared" si="57"/>
        <v>-3274.7520000000004</v>
      </c>
      <c r="DN33" s="210">
        <f t="shared" si="57"/>
        <v>-12798.458210000001</v>
      </c>
      <c r="DO33" s="210"/>
      <c r="DP33" s="210">
        <f t="shared" si="57"/>
        <v>-168.8</v>
      </c>
      <c r="DQ33" s="210">
        <f t="shared" si="57"/>
        <v>-168.8</v>
      </c>
      <c r="DR33" s="210">
        <f t="shared" si="57"/>
        <v>-100</v>
      </c>
      <c r="DS33" s="210">
        <f t="shared" si="57"/>
        <v>-26.010000000000005</v>
      </c>
      <c r="DT33" s="210">
        <f t="shared" si="57"/>
        <v>0</v>
      </c>
      <c r="DU33" s="210">
        <f t="shared" si="57"/>
        <v>0</v>
      </c>
      <c r="DV33" s="210">
        <f t="shared" si="57"/>
        <v>-180.8535</v>
      </c>
      <c r="DW33" s="210">
        <f t="shared" si="57"/>
        <v>-122.28146</v>
      </c>
      <c r="DX33" s="210"/>
      <c r="DY33" s="210">
        <f t="shared" si="57"/>
        <v>-99</v>
      </c>
      <c r="DZ33" s="210">
        <f t="shared" si="57"/>
        <v>-1291.66281</v>
      </c>
      <c r="EA33" s="210"/>
      <c r="EB33" s="210">
        <f t="shared" ref="EB33:EX33" si="58">EB32-EB31</f>
        <v>-217.72954999999996</v>
      </c>
      <c r="EC33" s="210">
        <f t="shared" si="58"/>
        <v>-46.849609999999998</v>
      </c>
      <c r="ED33" s="210"/>
      <c r="EE33" s="210">
        <f t="shared" si="58"/>
        <v>-6866.5128399999921</v>
      </c>
      <c r="EF33" s="210">
        <f t="shared" si="58"/>
        <v>-18121.695089999997</v>
      </c>
      <c r="EG33" s="210"/>
      <c r="EH33" s="210">
        <f t="shared" si="58"/>
        <v>-3668.1638100000037</v>
      </c>
      <c r="EI33" s="210">
        <f t="shared" si="58"/>
        <v>-11364.885230000002</v>
      </c>
      <c r="EJ33" s="210"/>
      <c r="EK33" s="210">
        <f t="shared" si="58"/>
        <v>-8342.7490999999973</v>
      </c>
      <c r="EL33" s="210">
        <f t="shared" si="58"/>
        <v>-14387.001909999999</v>
      </c>
      <c r="EM33" s="210"/>
      <c r="EN33" s="210">
        <f t="shared" si="58"/>
        <v>-10</v>
      </c>
      <c r="EO33" s="210">
        <f t="shared" si="58"/>
        <v>-10</v>
      </c>
      <c r="EP33" s="210"/>
      <c r="EQ33" s="210">
        <f t="shared" si="58"/>
        <v>-104.44200000000001</v>
      </c>
      <c r="ER33" s="210">
        <f t="shared" si="58"/>
        <v>-118.19000000000003</v>
      </c>
      <c r="ES33" s="210"/>
      <c r="ET33" s="210">
        <f t="shared" si="58"/>
        <v>0</v>
      </c>
      <c r="EU33" s="210">
        <f t="shared" si="58"/>
        <v>0</v>
      </c>
      <c r="EV33" s="210"/>
      <c r="EW33" s="210">
        <f t="shared" si="58"/>
        <v>5762.116469999999</v>
      </c>
      <c r="EX33" s="210">
        <f t="shared" si="58"/>
        <v>-1343.0982000000026</v>
      </c>
      <c r="EY33" s="210"/>
    </row>
    <row r="34" spans="3:155" ht="21.75" customHeight="1">
      <c r="C34" s="153">
        <v>106763.88333</v>
      </c>
      <c r="D34" s="224">
        <v>67817.237479999996</v>
      </c>
      <c r="F34" s="153">
        <v>37950.171999999999</v>
      </c>
      <c r="G34" s="153">
        <v>22791.775180000001</v>
      </c>
      <c r="I34" s="213">
        <v>5201.8999999999996</v>
      </c>
      <c r="J34" s="212">
        <v>3614.3827500000002</v>
      </c>
      <c r="L34" s="153">
        <v>3011.74</v>
      </c>
      <c r="M34" s="153">
        <v>2732.73785</v>
      </c>
      <c r="O34" s="153">
        <v>32.24</v>
      </c>
      <c r="P34" s="153">
        <v>24.786529999999999</v>
      </c>
      <c r="R34" s="153">
        <v>5019.3900000000003</v>
      </c>
      <c r="S34" s="153">
        <v>4129.8275700000004</v>
      </c>
      <c r="U34" s="153">
        <v>0</v>
      </c>
      <c r="V34" s="153">
        <v>-612.12275999999997</v>
      </c>
      <c r="X34" s="153">
        <v>470</v>
      </c>
      <c r="Y34" s="210">
        <v>410.31963999999999</v>
      </c>
      <c r="AA34" s="153">
        <v>2821.4</v>
      </c>
      <c r="AB34" s="153">
        <v>1108.9308000000001</v>
      </c>
      <c r="AD34" s="153">
        <v>17949.2</v>
      </c>
      <c r="AE34" s="153">
        <v>9521.6747799999994</v>
      </c>
      <c r="AG34" s="153">
        <v>162.00200000000001</v>
      </c>
      <c r="AH34" s="153">
        <v>112.60321</v>
      </c>
      <c r="AK34" s="153">
        <v>0</v>
      </c>
      <c r="AN34" s="210"/>
      <c r="AP34" s="153">
        <v>1571.3</v>
      </c>
      <c r="AQ34" s="153">
        <v>295.35608000000002</v>
      </c>
      <c r="AS34" s="153">
        <v>360</v>
      </c>
      <c r="AT34" s="153">
        <v>229.93510000000001</v>
      </c>
      <c r="AY34" s="153">
        <v>765</v>
      </c>
      <c r="AZ34" s="153">
        <v>671.26725999999996</v>
      </c>
      <c r="BE34" s="153">
        <v>586</v>
      </c>
      <c r="BF34" s="153">
        <v>591.20000000000005</v>
      </c>
      <c r="BN34" s="153">
        <v>0</v>
      </c>
      <c r="BO34" s="153">
        <v>14.175890000000001</v>
      </c>
      <c r="BR34" s="211">
        <v>-106.30298000000001</v>
      </c>
      <c r="BZ34" s="153">
        <v>68813.711330000006</v>
      </c>
      <c r="CA34" s="153">
        <v>45025.462299999999</v>
      </c>
      <c r="CC34" s="153">
        <v>28718.624</v>
      </c>
      <c r="CD34" s="153">
        <v>22961.200000000001</v>
      </c>
      <c r="CF34" s="153">
        <v>5786.1481000000003</v>
      </c>
      <c r="CG34" s="153">
        <v>2492</v>
      </c>
      <c r="CI34" s="211">
        <v>29173.917389999999</v>
      </c>
      <c r="CJ34" s="153">
        <v>8124.3405700000003</v>
      </c>
      <c r="CL34" s="153">
        <v>1856.8</v>
      </c>
      <c r="CM34" s="153">
        <v>1492.1410000000001</v>
      </c>
      <c r="CO34" s="153">
        <v>390</v>
      </c>
      <c r="CP34" s="153">
        <v>120</v>
      </c>
      <c r="CR34" s="153">
        <v>3214.2710000000002</v>
      </c>
      <c r="CS34" s="153">
        <v>3172.38958</v>
      </c>
      <c r="CU34" s="153">
        <v>0</v>
      </c>
      <c r="CV34" s="153">
        <v>-366.96924000000001</v>
      </c>
      <c r="DG34" s="213">
        <v>112525.99980000001</v>
      </c>
      <c r="DH34" s="213">
        <v>66474.139280000003</v>
      </c>
      <c r="DI34" s="213"/>
      <c r="DJ34" s="213">
        <v>22309.701499999999</v>
      </c>
      <c r="DK34" s="213">
        <v>15083.193880000001</v>
      </c>
      <c r="DL34" s="213"/>
      <c r="DM34" s="213">
        <v>21854.038</v>
      </c>
      <c r="DN34" s="213">
        <v>14792.112419999999</v>
      </c>
      <c r="DO34" s="213"/>
      <c r="DP34" s="213">
        <v>168.8</v>
      </c>
      <c r="DQ34" s="213">
        <v>168.8</v>
      </c>
      <c r="DR34" s="213"/>
      <c r="DS34" s="213">
        <v>106.01</v>
      </c>
      <c r="DT34" s="213">
        <v>0</v>
      </c>
      <c r="DU34" s="213"/>
      <c r="DV34" s="213">
        <v>129.95349999999999</v>
      </c>
      <c r="DW34" s="213">
        <v>122.28146</v>
      </c>
      <c r="DX34" s="213"/>
      <c r="DY34" s="213">
        <v>1781.5</v>
      </c>
      <c r="DZ34" s="213">
        <v>1150.5051000000001</v>
      </c>
      <c r="EA34" s="213"/>
      <c r="EB34" s="213">
        <v>226.7655</v>
      </c>
      <c r="EC34" s="213">
        <v>53.549610000000001</v>
      </c>
      <c r="ED34" s="213"/>
      <c r="EE34" s="213">
        <v>34886.041469999996</v>
      </c>
      <c r="EF34" s="213">
        <v>17581.038140000001</v>
      </c>
      <c r="EG34" s="213"/>
      <c r="EH34" s="213">
        <v>18779.829389999999</v>
      </c>
      <c r="EI34" s="213">
        <v>6710.6686799999998</v>
      </c>
      <c r="EJ34" s="213"/>
      <c r="EK34" s="213">
        <v>32684.446</v>
      </c>
      <c r="EL34" s="213">
        <v>15548.120150000001</v>
      </c>
      <c r="EM34" s="213"/>
      <c r="EN34" s="213">
        <v>10</v>
      </c>
      <c r="EO34" s="213">
        <v>10</v>
      </c>
      <c r="EP34" s="213"/>
      <c r="EQ34" s="213">
        <v>230.30199999999999</v>
      </c>
      <c r="ER34" s="213">
        <v>105.62</v>
      </c>
      <c r="ES34" s="213"/>
      <c r="ET34" s="213">
        <v>0</v>
      </c>
      <c r="EU34" s="213">
        <v>0</v>
      </c>
      <c r="EV34" s="213"/>
      <c r="EW34" s="153">
        <v>-5562.1164699999999</v>
      </c>
      <c r="EX34" s="153">
        <v>592.88325999999995</v>
      </c>
    </row>
    <row r="35" spans="3:155" s="221" customFormat="1" ht="27.75" customHeight="1">
      <c r="C35" s="210">
        <f>C34-C31</f>
        <v>0</v>
      </c>
      <c r="D35" s="210">
        <f>D34-D31</f>
        <v>0</v>
      </c>
      <c r="E35" s="210"/>
      <c r="F35" s="210">
        <f t="shared" ref="F35:BO35" si="59">F34-F31</f>
        <v>0</v>
      </c>
      <c r="G35" s="210">
        <f>G34-G31</f>
        <v>0</v>
      </c>
      <c r="H35" s="210"/>
      <c r="I35" s="210">
        <f t="shared" si="59"/>
        <v>0</v>
      </c>
      <c r="J35" s="210">
        <f>J34-J31</f>
        <v>0</v>
      </c>
      <c r="K35" s="210"/>
      <c r="L35" s="210">
        <f t="shared" si="59"/>
        <v>0</v>
      </c>
      <c r="M35" s="210">
        <f t="shared" si="59"/>
        <v>0</v>
      </c>
      <c r="N35" s="210"/>
      <c r="O35" s="210">
        <f t="shared" si="59"/>
        <v>0</v>
      </c>
      <c r="P35" s="210">
        <f t="shared" si="59"/>
        <v>0</v>
      </c>
      <c r="Q35" s="210"/>
      <c r="R35" s="210">
        <f t="shared" si="59"/>
        <v>0</v>
      </c>
      <c r="S35" s="210">
        <f t="shared" si="59"/>
        <v>0</v>
      </c>
      <c r="T35" s="210"/>
      <c r="U35" s="210">
        <f t="shared" si="59"/>
        <v>0</v>
      </c>
      <c r="V35" s="210">
        <f t="shared" si="59"/>
        <v>0</v>
      </c>
      <c r="W35" s="210" t="e">
        <f t="shared" si="59"/>
        <v>#DIV/0!</v>
      </c>
      <c r="X35" s="210">
        <f t="shared" si="59"/>
        <v>0</v>
      </c>
      <c r="Y35" s="210">
        <f t="shared" si="59"/>
        <v>0</v>
      </c>
      <c r="Z35" s="210"/>
      <c r="AA35" s="210">
        <f t="shared" si="59"/>
        <v>0</v>
      </c>
      <c r="AB35" s="210">
        <f t="shared" si="59"/>
        <v>0</v>
      </c>
      <c r="AC35" s="210"/>
      <c r="AD35" s="210">
        <f t="shared" si="59"/>
        <v>0</v>
      </c>
      <c r="AE35" s="210">
        <f t="shared" si="59"/>
        <v>0</v>
      </c>
      <c r="AF35" s="210"/>
      <c r="AG35" s="210">
        <f t="shared" si="59"/>
        <v>0</v>
      </c>
      <c r="AH35" s="210">
        <f t="shared" si="59"/>
        <v>0</v>
      </c>
      <c r="AI35" s="210"/>
      <c r="AJ35" s="210">
        <f t="shared" si="59"/>
        <v>0</v>
      </c>
      <c r="AK35" s="210">
        <f t="shared" si="59"/>
        <v>0</v>
      </c>
      <c r="AL35" s="210"/>
      <c r="AM35" s="210">
        <f t="shared" si="59"/>
        <v>0</v>
      </c>
      <c r="AN35" s="210">
        <f t="shared" si="59"/>
        <v>0</v>
      </c>
      <c r="AO35" s="210"/>
      <c r="AP35" s="210">
        <f t="shared" si="59"/>
        <v>0</v>
      </c>
      <c r="AQ35" s="210">
        <f t="shared" si="59"/>
        <v>0</v>
      </c>
      <c r="AR35" s="210"/>
      <c r="AS35" s="210">
        <f t="shared" si="59"/>
        <v>0</v>
      </c>
      <c r="AT35" s="210">
        <f t="shared" si="59"/>
        <v>-53.00345999999999</v>
      </c>
      <c r="AU35" s="210"/>
      <c r="AV35" s="210">
        <f t="shared" si="59"/>
        <v>0</v>
      </c>
      <c r="AW35" s="210">
        <f t="shared" si="59"/>
        <v>0</v>
      </c>
      <c r="AX35" s="210" t="e">
        <f t="shared" si="59"/>
        <v>#DIV/0!</v>
      </c>
      <c r="AY35" s="210">
        <f t="shared" si="59"/>
        <v>0</v>
      </c>
      <c r="AZ35" s="210">
        <f t="shared" si="59"/>
        <v>0</v>
      </c>
      <c r="BA35" s="210"/>
      <c r="BB35" s="210">
        <f t="shared" si="59"/>
        <v>0</v>
      </c>
      <c r="BC35" s="210">
        <f t="shared" si="59"/>
        <v>0</v>
      </c>
      <c r="BD35" s="210" t="e">
        <f t="shared" si="59"/>
        <v>#DIV/0!</v>
      </c>
      <c r="BE35" s="210">
        <f>BE34-BE31</f>
        <v>0</v>
      </c>
      <c r="BF35" s="210">
        <f t="shared" si="59"/>
        <v>0</v>
      </c>
      <c r="BG35" s="210"/>
      <c r="BH35" s="210">
        <f t="shared" si="59"/>
        <v>0</v>
      </c>
      <c r="BI35" s="210">
        <f t="shared" si="59"/>
        <v>0</v>
      </c>
      <c r="BJ35" s="210" t="e">
        <f t="shared" si="59"/>
        <v>#DIV/0!</v>
      </c>
      <c r="BK35" s="210">
        <f t="shared" si="59"/>
        <v>0</v>
      </c>
      <c r="BL35" s="210">
        <f t="shared" si="59"/>
        <v>0</v>
      </c>
      <c r="BM35" s="210" t="e">
        <f t="shared" si="59"/>
        <v>#DIV/0!</v>
      </c>
      <c r="BN35" s="210">
        <f t="shared" si="59"/>
        <v>0</v>
      </c>
      <c r="BO35" s="210">
        <f t="shared" si="59"/>
        <v>0</v>
      </c>
      <c r="BP35" s="210"/>
      <c r="BQ35" s="210">
        <f t="shared" ref="BQ35:DZ35" si="60">BQ34-BQ31</f>
        <v>0</v>
      </c>
      <c r="BR35" s="210">
        <f t="shared" si="60"/>
        <v>0</v>
      </c>
      <c r="BS35" s="210"/>
      <c r="BT35" s="210">
        <f t="shared" si="60"/>
        <v>0</v>
      </c>
      <c r="BU35" s="210">
        <f t="shared" si="60"/>
        <v>0</v>
      </c>
      <c r="BV35" s="210" t="e">
        <f t="shared" si="60"/>
        <v>#DIV/0!</v>
      </c>
      <c r="BW35" s="210">
        <f t="shared" si="60"/>
        <v>0</v>
      </c>
      <c r="BX35" s="210">
        <f t="shared" si="60"/>
        <v>0</v>
      </c>
      <c r="BY35" s="210" t="e">
        <f t="shared" si="60"/>
        <v>#DIV/0!</v>
      </c>
      <c r="BZ35" s="210">
        <f t="shared" si="60"/>
        <v>0</v>
      </c>
      <c r="CA35" s="210">
        <f t="shared" si="60"/>
        <v>0</v>
      </c>
      <c r="CB35" s="210"/>
      <c r="CC35" s="210">
        <f>CC34-CC31</f>
        <v>0</v>
      </c>
      <c r="CD35" s="210">
        <f t="shared" si="60"/>
        <v>0</v>
      </c>
      <c r="CE35" s="210"/>
      <c r="CF35" s="210">
        <f t="shared" si="60"/>
        <v>0</v>
      </c>
      <c r="CG35" s="210">
        <f t="shared" si="60"/>
        <v>0</v>
      </c>
      <c r="CH35" s="210"/>
      <c r="CI35" s="210">
        <f t="shared" si="60"/>
        <v>326.05504999999539</v>
      </c>
      <c r="CJ35" s="210">
        <f t="shared" si="60"/>
        <v>-6730.6303899999984</v>
      </c>
      <c r="CK35" s="210"/>
      <c r="CL35" s="210">
        <f t="shared" si="60"/>
        <v>0</v>
      </c>
      <c r="CM35" s="210">
        <f t="shared" si="60"/>
        <v>-299.73</v>
      </c>
      <c r="CN35" s="210"/>
      <c r="CO35" s="210">
        <f t="shared" si="60"/>
        <v>-5.8900000000221553E-3</v>
      </c>
      <c r="CP35" s="210">
        <f t="shared" si="60"/>
        <v>0</v>
      </c>
      <c r="CQ35" s="210"/>
      <c r="CR35" s="210">
        <f t="shared" si="60"/>
        <v>0</v>
      </c>
      <c r="CS35" s="210">
        <f t="shared" si="60"/>
        <v>0</v>
      </c>
      <c r="CT35" s="210"/>
      <c r="CU35" s="210">
        <f t="shared" si="60"/>
        <v>0</v>
      </c>
      <c r="CV35" s="210">
        <f>-(CV34-CV31)</f>
        <v>0</v>
      </c>
      <c r="CW35" s="210" t="e">
        <f t="shared" si="60"/>
        <v>#DIV/0!</v>
      </c>
      <c r="CX35" s="210">
        <f t="shared" si="60"/>
        <v>0</v>
      </c>
      <c r="CY35" s="210">
        <f t="shared" si="60"/>
        <v>0</v>
      </c>
      <c r="CZ35" s="210" t="e">
        <f t="shared" si="60"/>
        <v>#DIV/0!</v>
      </c>
      <c r="DA35" s="210">
        <f t="shared" si="60"/>
        <v>0</v>
      </c>
      <c r="DB35" s="210">
        <f t="shared" si="60"/>
        <v>0</v>
      </c>
      <c r="DC35" s="210" t="e">
        <f t="shared" si="60"/>
        <v>#DIV/0!</v>
      </c>
      <c r="DD35" s="210">
        <f t="shared" si="60"/>
        <v>0</v>
      </c>
      <c r="DE35" s="210">
        <f t="shared" si="60"/>
        <v>0</v>
      </c>
      <c r="DF35" s="210"/>
      <c r="DG35" s="210">
        <f t="shared" si="60"/>
        <v>0</v>
      </c>
      <c r="DH35" s="210">
        <f t="shared" si="60"/>
        <v>0</v>
      </c>
      <c r="DI35" s="210"/>
      <c r="DJ35" s="210">
        <f t="shared" si="60"/>
        <v>0</v>
      </c>
      <c r="DK35" s="210">
        <f t="shared" si="60"/>
        <v>0</v>
      </c>
      <c r="DL35" s="210"/>
      <c r="DM35" s="210">
        <f>DM34-DM31</f>
        <v>0</v>
      </c>
      <c r="DN35" s="210">
        <f>DN34-DN31</f>
        <v>0</v>
      </c>
      <c r="DO35" s="210"/>
      <c r="DP35" s="210">
        <f t="shared" si="60"/>
        <v>0</v>
      </c>
      <c r="DQ35" s="210">
        <f t="shared" si="60"/>
        <v>0</v>
      </c>
      <c r="DR35" s="210"/>
      <c r="DS35" s="210">
        <f t="shared" si="60"/>
        <v>0</v>
      </c>
      <c r="DT35" s="210">
        <f t="shared" si="60"/>
        <v>0</v>
      </c>
      <c r="DU35" s="210"/>
      <c r="DV35" s="210">
        <f t="shared" si="60"/>
        <v>-50.900000000000006</v>
      </c>
      <c r="DW35" s="210">
        <f t="shared" si="60"/>
        <v>0</v>
      </c>
      <c r="DX35" s="210"/>
      <c r="DY35" s="210">
        <f t="shared" si="60"/>
        <v>0</v>
      </c>
      <c r="DZ35" s="210">
        <f t="shared" si="60"/>
        <v>-282.69430999999986</v>
      </c>
      <c r="EA35" s="210"/>
      <c r="EB35" s="210">
        <f>EB34-EB31</f>
        <v>-182.26404999999997</v>
      </c>
      <c r="EC35" s="210">
        <f>EC34-EC31</f>
        <v>-1.7999999999999972</v>
      </c>
      <c r="ED35" s="210"/>
      <c r="EE35" s="210">
        <f>EE34-EE31</f>
        <v>-1368.8603699999949</v>
      </c>
      <c r="EF35" s="210">
        <f>EF34-EF31</f>
        <v>-1618.3703199999982</v>
      </c>
      <c r="EG35" s="210"/>
      <c r="EH35" s="210">
        <f>EH34-EH31</f>
        <v>-293.14642000000458</v>
      </c>
      <c r="EI35" s="210">
        <f>EI34-EI31</f>
        <v>-5983.1568000000016</v>
      </c>
      <c r="EJ35" s="210"/>
      <c r="EK35" s="210">
        <f t="shared" ref="EK35:EX35" si="61">EK34-EK31</f>
        <v>212.99690000000192</v>
      </c>
      <c r="EL35" s="210">
        <f t="shared" si="61"/>
        <v>-2328.0522899999978</v>
      </c>
      <c r="EM35" s="210"/>
      <c r="EN35" s="210">
        <f t="shared" si="61"/>
        <v>0</v>
      </c>
      <c r="EO35" s="210">
        <f t="shared" si="61"/>
        <v>0</v>
      </c>
      <c r="EP35" s="210"/>
      <c r="EQ35" s="210">
        <f>EQ34-EQ31</f>
        <v>13.859999999999985</v>
      </c>
      <c r="ER35" s="210">
        <f t="shared" si="61"/>
        <v>-17.370000000000019</v>
      </c>
      <c r="ES35" s="210"/>
      <c r="ET35" s="210">
        <f t="shared" si="61"/>
        <v>0</v>
      </c>
      <c r="EU35" s="210">
        <f t="shared" si="61"/>
        <v>0</v>
      </c>
      <c r="EV35" s="210"/>
      <c r="EW35" s="210">
        <f t="shared" si="61"/>
        <v>199.99999999999909</v>
      </c>
      <c r="EX35" s="210">
        <f t="shared" si="61"/>
        <v>-750.21494000000268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E271257C-1B5C-4EEE-899F-E7A422E6A72D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I6" sqref="I6:X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A54C432C-6C68-4B53-A75C-446EB3A61B2B}" scale="75" showPageBreaks="1" printArea="1" hiddenRows="1" hiddenColumns="1" view="pageBreakPreview" topLeftCell="A10">
      <pane xSplit="2" ySplit="4" topLeftCell="C17" activePane="bottomRight" state="frozen"/>
      <selection pane="bottomRight" activeCell="DP15" sqref="DP15:DP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5BFCA170-DEAE-4D2C-98A0-1E68B427AC01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7"/>
  <colBreaks count="6" manualBreakCount="6">
    <brk id="17" max="30" man="1"/>
    <brk id="35" max="30" man="1"/>
    <brk id="59" max="30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364</v>
      </c>
      <c r="AO1" t="s">
        <v>365</v>
      </c>
      <c r="AP1" t="s">
        <v>366</v>
      </c>
      <c r="AS1" t="s">
        <v>367</v>
      </c>
      <c r="AW1">
        <v>187.4</v>
      </c>
      <c r="AX1" t="s">
        <v>368</v>
      </c>
      <c r="AY1" t="s">
        <v>369</v>
      </c>
    </row>
    <row r="2" spans="32:51">
      <c r="AF2" t="s">
        <v>370</v>
      </c>
      <c r="AJ2" t="s">
        <v>371</v>
      </c>
    </row>
    <row r="3" spans="32:51">
      <c r="AF3" t="s">
        <v>373</v>
      </c>
      <c r="AH3" t="s">
        <v>372</v>
      </c>
      <c r="AJ3" t="s">
        <v>373</v>
      </c>
      <c r="AN3" t="s">
        <v>372</v>
      </c>
      <c r="AO3" t="s">
        <v>372</v>
      </c>
      <c r="AP3" t="s">
        <v>372</v>
      </c>
      <c r="AS3" t="s">
        <v>374</v>
      </c>
      <c r="AT3" t="s">
        <v>375</v>
      </c>
      <c r="AU3" t="s">
        <v>376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377</v>
      </c>
      <c r="AU4" t="s">
        <v>378</v>
      </c>
      <c r="AV4" t="s">
        <v>379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380</v>
      </c>
      <c r="AU5" t="s">
        <v>378</v>
      </c>
      <c r="AV5" t="s">
        <v>381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382</v>
      </c>
      <c r="AU6" t="s">
        <v>378</v>
      </c>
      <c r="AV6" t="s">
        <v>381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383</v>
      </c>
      <c r="AU7" t="s">
        <v>378</v>
      </c>
      <c r="AV7" t="s">
        <v>384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385</v>
      </c>
      <c r="AU8" t="s">
        <v>378</v>
      </c>
      <c r="AV8" t="s">
        <v>386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387</v>
      </c>
      <c r="AU9" t="s">
        <v>378</v>
      </c>
      <c r="AV9" t="s">
        <v>388</v>
      </c>
      <c r="AW9" t="s">
        <v>389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390</v>
      </c>
      <c r="AU10" t="s">
        <v>378</v>
      </c>
      <c r="AV10" t="s">
        <v>391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392</v>
      </c>
      <c r="AU11" t="s">
        <v>378</v>
      </c>
      <c r="AV11" t="s">
        <v>393</v>
      </c>
      <c r="AW11" t="s">
        <v>389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394</v>
      </c>
      <c r="AU12" t="s">
        <v>378</v>
      </c>
      <c r="AV12" t="s">
        <v>395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396</v>
      </c>
      <c r="AU13" t="s">
        <v>378</v>
      </c>
      <c r="AV13" t="s">
        <v>397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398</v>
      </c>
      <c r="AU14" t="s">
        <v>378</v>
      </c>
      <c r="AV14" t="s">
        <v>384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399</v>
      </c>
      <c r="AU15" t="s">
        <v>378</v>
      </c>
      <c r="AV15" t="s">
        <v>400</v>
      </c>
      <c r="AW15" t="s">
        <v>401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402</v>
      </c>
      <c r="AU16" t="s">
        <v>378</v>
      </c>
      <c r="AV16" t="s">
        <v>381</v>
      </c>
      <c r="AW16" t="s">
        <v>403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404</v>
      </c>
      <c r="AU17" t="s">
        <v>378</v>
      </c>
      <c r="AV17" t="s">
        <v>405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406</v>
      </c>
      <c r="AU18" t="s">
        <v>378</v>
      </c>
      <c r="AV18" t="s">
        <v>381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407</v>
      </c>
      <c r="AU19" t="s">
        <v>408</v>
      </c>
      <c r="AV19" t="s">
        <v>391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409</v>
      </c>
      <c r="AY20" t="s">
        <v>410</v>
      </c>
    </row>
    <row r="82" hidden="1"/>
    <row r="83" hidden="1"/>
    <row r="84" hidden="1"/>
  </sheetData>
  <customSheetViews>
    <customSheetView guid="{E271257C-1B5C-4EEE-899F-E7A422E6A72D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</customSheetViews>
  <pageMargins left="0.7" right="0.7" top="0.75" bottom="0.75" header="0.3" footer="0.3"/>
  <pageSetup paperSize="9" orientation="portrait" verticalDpi="0" r:id="rId5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E271257C-1B5C-4EEE-899F-E7A422E6A72D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BFCA170-DEAE-4D2C-98A0-1E68B427AC01}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5"/>
  <sheetViews>
    <sheetView view="pageBreakPreview" topLeftCell="A70" zoomScale="67" workbookViewId="0">
      <selection activeCell="C103" sqref="C103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00" t="s">
        <v>0</v>
      </c>
      <c r="B1" s="500"/>
      <c r="C1" s="500"/>
      <c r="D1" s="500"/>
      <c r="E1" s="500"/>
      <c r="F1" s="500"/>
    </row>
    <row r="2" spans="1:6">
      <c r="A2" s="500" t="s">
        <v>418</v>
      </c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103" t="s">
        <v>413</v>
      </c>
      <c r="E3" s="72" t="s">
        <v>3</v>
      </c>
      <c r="F3" s="74" t="s">
        <v>4</v>
      </c>
    </row>
    <row r="4" spans="1:6" s="6" customFormat="1" ht="22.5">
      <c r="A4" s="3"/>
      <c r="B4" s="256" t="s">
        <v>5</v>
      </c>
      <c r="C4" s="296">
        <f>C5+C12+C16+C21+C23+C27+C7</f>
        <v>125474</v>
      </c>
      <c r="D4" s="296">
        <f>D5+D12+D16+D21+D23+D27+D7</f>
        <v>90250.484299999996</v>
      </c>
      <c r="E4" s="296">
        <f>SUM(D4/C4*100)</f>
        <v>71.927637837320873</v>
      </c>
      <c r="F4" s="296">
        <f>SUM(D4-C4)</f>
        <v>-35223.515700000004</v>
      </c>
    </row>
    <row r="5" spans="1:6" s="6" customFormat="1" ht="22.5">
      <c r="A5" s="68">
        <v>1010000000</v>
      </c>
      <c r="B5" s="256" t="s">
        <v>6</v>
      </c>
      <c r="C5" s="296">
        <f>C6</f>
        <v>104690</v>
      </c>
      <c r="D5" s="296">
        <f>D6</f>
        <v>74200.214930000002</v>
      </c>
      <c r="E5" s="296">
        <f t="shared" ref="E5:E81" si="0">SUM(D5/C5*100)</f>
        <v>70.876124682395641</v>
      </c>
      <c r="F5" s="296">
        <f t="shared" ref="F5:F81" si="1">SUM(D5-C5)</f>
        <v>-30489.785069999998</v>
      </c>
    </row>
    <row r="6" spans="1:6" ht="23.25">
      <c r="A6" s="7">
        <v>1010200001</v>
      </c>
      <c r="B6" s="257" t="s">
        <v>229</v>
      </c>
      <c r="C6" s="297">
        <v>104690</v>
      </c>
      <c r="D6" s="364">
        <v>74200.214930000002</v>
      </c>
      <c r="E6" s="297">
        <f t="shared" ref="E6:E11" si="2">SUM(D6/C6*100)</f>
        <v>70.876124682395641</v>
      </c>
      <c r="F6" s="297">
        <f t="shared" si="1"/>
        <v>-30489.785069999998</v>
      </c>
    </row>
    <row r="7" spans="1:6" ht="37.5">
      <c r="A7" s="68">
        <v>1030000000</v>
      </c>
      <c r="B7" s="258" t="s">
        <v>281</v>
      </c>
      <c r="C7" s="296">
        <f>C8+C10+C9</f>
        <v>4417.8600000000006</v>
      </c>
      <c r="D7" s="296">
        <f>D8+D10+D9+D11</f>
        <v>3401.9923099999996</v>
      </c>
      <c r="E7" s="297">
        <f t="shared" si="2"/>
        <v>77.005434984358928</v>
      </c>
      <c r="F7" s="297">
        <f t="shared" si="1"/>
        <v>-1015.8676900000009</v>
      </c>
    </row>
    <row r="8" spans="1:6" ht="23.25">
      <c r="A8" s="7">
        <v>1030223001</v>
      </c>
      <c r="B8" s="257" t="s">
        <v>283</v>
      </c>
      <c r="C8" s="297">
        <v>1460.394</v>
      </c>
      <c r="D8" s="364">
        <v>1481.5001999999999</v>
      </c>
      <c r="E8" s="297">
        <f t="shared" si="2"/>
        <v>101.44524012013196</v>
      </c>
      <c r="F8" s="297">
        <f>SUM(D8-C8)</f>
        <v>21.106199999999944</v>
      </c>
    </row>
    <row r="9" spans="1:6" ht="23.25">
      <c r="A9" s="7">
        <v>1030224001</v>
      </c>
      <c r="B9" s="257" t="s">
        <v>289</v>
      </c>
      <c r="C9" s="297">
        <v>25.545999999999999</v>
      </c>
      <c r="D9" s="364">
        <v>13.4375</v>
      </c>
      <c r="E9" s="297">
        <f t="shared" si="2"/>
        <v>52.601190010177724</v>
      </c>
      <c r="F9" s="297">
        <f>SUM(D9-C9)</f>
        <v>-12.108499999999999</v>
      </c>
    </row>
    <row r="10" spans="1:6" ht="23.25">
      <c r="A10" s="7">
        <v>1030225001</v>
      </c>
      <c r="B10" s="257" t="s">
        <v>282</v>
      </c>
      <c r="C10" s="297">
        <v>2931.92</v>
      </c>
      <c r="D10" s="364">
        <v>2238.9049399999999</v>
      </c>
      <c r="E10" s="297">
        <f t="shared" si="2"/>
        <v>76.363097901716287</v>
      </c>
      <c r="F10" s="297">
        <f t="shared" si="1"/>
        <v>-693.01506000000018</v>
      </c>
    </row>
    <row r="11" spans="1:6" ht="23.25">
      <c r="A11" s="7">
        <v>1030226001</v>
      </c>
      <c r="B11" s="257" t="s">
        <v>291</v>
      </c>
      <c r="C11" s="297">
        <v>0</v>
      </c>
      <c r="D11" s="364">
        <v>-331.85032999999999</v>
      </c>
      <c r="E11" s="297" t="e">
        <f t="shared" si="2"/>
        <v>#DIV/0!</v>
      </c>
      <c r="F11" s="297">
        <f t="shared" si="1"/>
        <v>-331.85032999999999</v>
      </c>
    </row>
    <row r="12" spans="1:6" s="6" customFormat="1" ht="22.5">
      <c r="A12" s="68">
        <v>1050000000</v>
      </c>
      <c r="B12" s="256" t="s">
        <v>7</v>
      </c>
      <c r="C12" s="296">
        <f>SUM(C13:C15)</f>
        <v>11852</v>
      </c>
      <c r="D12" s="296">
        <f>SUM(D13:D15)</f>
        <v>9602.7625799999987</v>
      </c>
      <c r="E12" s="296">
        <f t="shared" si="0"/>
        <v>81.022296490043871</v>
      </c>
      <c r="F12" s="296">
        <f t="shared" si="1"/>
        <v>-2249.2374200000013</v>
      </c>
    </row>
    <row r="13" spans="1:6" ht="23.25">
      <c r="A13" s="7">
        <v>1050200000</v>
      </c>
      <c r="B13" s="259" t="s">
        <v>239</v>
      </c>
      <c r="C13" s="365">
        <v>10415</v>
      </c>
      <c r="D13" s="364">
        <v>8532.01433</v>
      </c>
      <c r="E13" s="297">
        <f t="shared" si="0"/>
        <v>81.920444839174266</v>
      </c>
      <c r="F13" s="297">
        <f t="shared" si="1"/>
        <v>-1882.98567</v>
      </c>
    </row>
    <row r="14" spans="1:6" ht="23.25" customHeight="1">
      <c r="A14" s="7">
        <v>1050300000</v>
      </c>
      <c r="B14" s="259" t="s">
        <v>230</v>
      </c>
      <c r="C14" s="365">
        <v>1087</v>
      </c>
      <c r="D14" s="364">
        <v>957.41153999999995</v>
      </c>
      <c r="E14" s="297">
        <f t="shared" si="0"/>
        <v>88.078338546458141</v>
      </c>
      <c r="F14" s="297">
        <f t="shared" si="1"/>
        <v>-129.58846000000005</v>
      </c>
    </row>
    <row r="15" spans="1:6" ht="37.5">
      <c r="A15" s="7">
        <v>1050400002</v>
      </c>
      <c r="B15" s="257" t="s">
        <v>266</v>
      </c>
      <c r="C15" s="365">
        <v>350</v>
      </c>
      <c r="D15" s="364">
        <v>113.33671</v>
      </c>
      <c r="E15" s="297">
        <f t="shared" si="0"/>
        <v>32.381917142857141</v>
      </c>
      <c r="F15" s="297">
        <f t="shared" si="1"/>
        <v>-236.66329000000002</v>
      </c>
    </row>
    <row r="16" spans="1:6" s="6" customFormat="1" ht="24" customHeight="1">
      <c r="A16" s="68">
        <v>1060000000</v>
      </c>
      <c r="B16" s="256" t="s">
        <v>136</v>
      </c>
      <c r="C16" s="296">
        <f>SUM(C17:C20)</f>
        <v>1915</v>
      </c>
      <c r="D16" s="296">
        <f>SUM(D17:D20)</f>
        <v>883.94755999999995</v>
      </c>
      <c r="E16" s="296">
        <f t="shared" si="0"/>
        <v>46.159141514360314</v>
      </c>
      <c r="F16" s="296">
        <f t="shared" si="1"/>
        <v>-1031.0524399999999</v>
      </c>
    </row>
    <row r="17" spans="1:6" s="6" customFormat="1" ht="18" hidden="1" customHeight="1">
      <c r="A17" s="7">
        <v>1060100000</v>
      </c>
      <c r="B17" s="259" t="s">
        <v>9</v>
      </c>
      <c r="C17" s="297"/>
      <c r="D17" s="364"/>
      <c r="E17" s="296" t="e">
        <f t="shared" si="0"/>
        <v>#DIV/0!</v>
      </c>
      <c r="F17" s="296">
        <f t="shared" si="1"/>
        <v>0</v>
      </c>
    </row>
    <row r="18" spans="1:6" s="6" customFormat="1" ht="17.25" hidden="1" customHeight="1">
      <c r="A18" s="7">
        <v>1060200000</v>
      </c>
      <c r="B18" s="259" t="s">
        <v>123</v>
      </c>
      <c r="C18" s="297"/>
      <c r="D18" s="364"/>
      <c r="E18" s="296" t="e">
        <f t="shared" si="0"/>
        <v>#DIV/0!</v>
      </c>
      <c r="F18" s="296">
        <f t="shared" si="1"/>
        <v>0</v>
      </c>
    </row>
    <row r="19" spans="1:6" s="6" customFormat="1" ht="21.75" customHeight="1">
      <c r="A19" s="7">
        <v>1060400000</v>
      </c>
      <c r="B19" s="259" t="s">
        <v>280</v>
      </c>
      <c r="C19" s="297">
        <v>1915</v>
      </c>
      <c r="D19" s="364">
        <v>883.94755999999995</v>
      </c>
      <c r="E19" s="297">
        <f t="shared" si="0"/>
        <v>46.159141514360314</v>
      </c>
      <c r="F19" s="297">
        <f t="shared" si="1"/>
        <v>-1031.0524399999999</v>
      </c>
    </row>
    <row r="20" spans="1:6" ht="15.75" hidden="1" customHeight="1">
      <c r="A20" s="7">
        <v>1060600000</v>
      </c>
      <c r="B20" s="259" t="s">
        <v>8</v>
      </c>
      <c r="C20" s="297"/>
      <c r="D20" s="364"/>
      <c r="E20" s="297" t="e">
        <f t="shared" si="0"/>
        <v>#DIV/0!</v>
      </c>
      <c r="F20" s="297">
        <f t="shared" si="1"/>
        <v>0</v>
      </c>
    </row>
    <row r="21" spans="1:6" s="6" customFormat="1" ht="42" customHeight="1">
      <c r="A21" s="68">
        <v>1070000000</v>
      </c>
      <c r="B21" s="258" t="s">
        <v>10</v>
      </c>
      <c r="C21" s="296">
        <f>SUM(C22)</f>
        <v>399.14</v>
      </c>
      <c r="D21" s="296">
        <f>SUM(D22)</f>
        <v>136.06823</v>
      </c>
      <c r="E21" s="296">
        <f t="shared" si="0"/>
        <v>34.090351756275993</v>
      </c>
      <c r="F21" s="296">
        <f t="shared" si="1"/>
        <v>-263.07177000000001</v>
      </c>
    </row>
    <row r="22" spans="1:6" ht="41.25" customHeight="1">
      <c r="A22" s="7">
        <v>1070102001</v>
      </c>
      <c r="B22" s="257" t="s">
        <v>240</v>
      </c>
      <c r="C22" s="297">
        <v>399.14</v>
      </c>
      <c r="D22" s="364">
        <v>136.06823</v>
      </c>
      <c r="E22" s="297">
        <f t="shared" si="0"/>
        <v>34.090351756275993</v>
      </c>
      <c r="F22" s="297">
        <f t="shared" si="1"/>
        <v>-263.07177000000001</v>
      </c>
    </row>
    <row r="23" spans="1:6" s="6" customFormat="1" ht="22.5">
      <c r="A23" s="3">
        <v>1080000000</v>
      </c>
      <c r="B23" s="256" t="s">
        <v>11</v>
      </c>
      <c r="C23" s="296">
        <f>C24+C25+C26</f>
        <v>2200</v>
      </c>
      <c r="D23" s="296">
        <f>D24+D25+D26</f>
        <v>2025.4986899999999</v>
      </c>
      <c r="E23" s="296">
        <f t="shared" si="0"/>
        <v>92.068122272727265</v>
      </c>
      <c r="F23" s="296">
        <f t="shared" si="1"/>
        <v>-174.5013100000001</v>
      </c>
    </row>
    <row r="24" spans="1:6" ht="36.75" customHeight="1">
      <c r="A24" s="7">
        <v>1080300001</v>
      </c>
      <c r="B24" s="257" t="s">
        <v>241</v>
      </c>
      <c r="C24" s="297">
        <v>1600</v>
      </c>
      <c r="D24" s="364">
        <v>1540.49452</v>
      </c>
      <c r="E24" s="297">
        <f t="shared" si="0"/>
        <v>96.280907499999998</v>
      </c>
      <c r="F24" s="297">
        <f t="shared" si="1"/>
        <v>-59.505480000000034</v>
      </c>
    </row>
    <row r="25" spans="1:6" ht="33.75" customHeight="1">
      <c r="A25" s="7">
        <v>1080600001</v>
      </c>
      <c r="B25" s="257" t="s">
        <v>228</v>
      </c>
      <c r="C25" s="297">
        <v>0</v>
      </c>
      <c r="D25" s="364">
        <v>0</v>
      </c>
      <c r="E25" s="297" t="e">
        <f>SUM(D25/C25*100)</f>
        <v>#DIV/0!</v>
      </c>
      <c r="F25" s="297">
        <f t="shared" si="1"/>
        <v>0</v>
      </c>
    </row>
    <row r="26" spans="1:6" ht="69.75" customHeight="1">
      <c r="A26" s="7">
        <v>1080714001</v>
      </c>
      <c r="B26" s="257" t="s">
        <v>227</v>
      </c>
      <c r="C26" s="297">
        <v>600</v>
      </c>
      <c r="D26" s="364">
        <v>485.00416999999999</v>
      </c>
      <c r="E26" s="297">
        <f t="shared" si="0"/>
        <v>80.834028333333336</v>
      </c>
      <c r="F26" s="297">
        <f t="shared" si="1"/>
        <v>-114.99583000000001</v>
      </c>
    </row>
    <row r="27" spans="1:6" s="15" customFormat="1" ht="0.75" customHeight="1">
      <c r="A27" s="68">
        <v>1090000000</v>
      </c>
      <c r="B27" s="258" t="s">
        <v>231</v>
      </c>
      <c r="C27" s="296">
        <f>C28+C29+C30+C31</f>
        <v>0</v>
      </c>
      <c r="D27" s="296">
        <f>D28+D29+D30+D31</f>
        <v>0</v>
      </c>
      <c r="E27" s="297" t="e">
        <f t="shared" si="0"/>
        <v>#DIV/0!</v>
      </c>
      <c r="F27" s="296">
        <f t="shared" si="1"/>
        <v>0</v>
      </c>
    </row>
    <row r="28" spans="1:6" s="15" customFormat="1" ht="17.25" hidden="1" customHeight="1">
      <c r="A28" s="7">
        <v>1090100000</v>
      </c>
      <c r="B28" s="257" t="s">
        <v>125</v>
      </c>
      <c r="C28" s="297">
        <v>0</v>
      </c>
      <c r="D28" s="364">
        <v>0</v>
      </c>
      <c r="E28" s="297" t="e">
        <f t="shared" si="0"/>
        <v>#DIV/0!</v>
      </c>
      <c r="F28" s="297">
        <f t="shared" si="1"/>
        <v>0</v>
      </c>
    </row>
    <row r="29" spans="1:6" s="15" customFormat="1" ht="17.25" hidden="1" customHeight="1">
      <c r="A29" s="7">
        <v>1090400000</v>
      </c>
      <c r="B29" s="257" t="s">
        <v>126</v>
      </c>
      <c r="C29" s="297">
        <v>0</v>
      </c>
      <c r="D29" s="364">
        <v>0</v>
      </c>
      <c r="E29" s="297" t="e">
        <f t="shared" si="0"/>
        <v>#DIV/0!</v>
      </c>
      <c r="F29" s="297">
        <f t="shared" si="1"/>
        <v>0</v>
      </c>
    </row>
    <row r="30" spans="1:6" s="15" customFormat="1" ht="15.75" hidden="1" customHeight="1">
      <c r="A30" s="7">
        <v>1090600000</v>
      </c>
      <c r="B30" s="257" t="s">
        <v>127</v>
      </c>
      <c r="C30" s="297">
        <v>0</v>
      </c>
      <c r="D30" s="364">
        <v>0</v>
      </c>
      <c r="E30" s="297" t="e">
        <f t="shared" si="0"/>
        <v>#DIV/0!</v>
      </c>
      <c r="F30" s="297">
        <f t="shared" si="1"/>
        <v>0</v>
      </c>
    </row>
    <row r="31" spans="1:6" s="15" customFormat="1" ht="42" customHeight="1">
      <c r="A31" s="7">
        <v>1090700000</v>
      </c>
      <c r="B31" s="257" t="s">
        <v>128</v>
      </c>
      <c r="C31" s="297">
        <v>0</v>
      </c>
      <c r="D31" s="364">
        <v>0</v>
      </c>
      <c r="E31" s="297" t="e">
        <f t="shared" si="0"/>
        <v>#DIV/0!</v>
      </c>
      <c r="F31" s="297">
        <f t="shared" si="1"/>
        <v>0</v>
      </c>
    </row>
    <row r="32" spans="1:6" s="6" customFormat="1" ht="33.75" customHeight="1">
      <c r="A32" s="3"/>
      <c r="B32" s="256" t="s">
        <v>13</v>
      </c>
      <c r="C32" s="296">
        <f>C33+C41+C43+C46+C49+C51+C68</f>
        <v>33910.277000000002</v>
      </c>
      <c r="D32" s="296">
        <f>D33+D41+D43+D46+D49+D51+D68</f>
        <v>19008.97421</v>
      </c>
      <c r="E32" s="296">
        <f t="shared" si="0"/>
        <v>56.056676299046451</v>
      </c>
      <c r="F32" s="296">
        <f t="shared" si="1"/>
        <v>-14901.302790000002</v>
      </c>
    </row>
    <row r="33" spans="1:6" s="6" customFormat="1" ht="60.75" customHeight="1">
      <c r="A33" s="3">
        <v>1110000000</v>
      </c>
      <c r="B33" s="258" t="s">
        <v>129</v>
      </c>
      <c r="C33" s="296">
        <f>C35+C36+C37+C39+C38+C34+C40</f>
        <v>10436.299999999999</v>
      </c>
      <c r="D33" s="296">
        <f>D35+D36+D37+D39+D38+D34+D40</f>
        <v>7802.38202</v>
      </c>
      <c r="E33" s="296">
        <f t="shared" si="0"/>
        <v>74.761956057223358</v>
      </c>
      <c r="F33" s="296">
        <f t="shared" si="1"/>
        <v>-2633.9179799999993</v>
      </c>
    </row>
    <row r="34" spans="1:6" s="6" customFormat="1" ht="34.5" customHeight="1">
      <c r="A34" s="7">
        <v>1110105005</v>
      </c>
      <c r="B34" s="257" t="s">
        <v>320</v>
      </c>
      <c r="C34" s="297">
        <v>10</v>
      </c>
      <c r="D34" s="297">
        <v>16.89</v>
      </c>
      <c r="E34" s="297">
        <f t="shared" si="0"/>
        <v>168.9</v>
      </c>
      <c r="F34" s="297">
        <f t="shared" si="1"/>
        <v>6.8900000000000006</v>
      </c>
    </row>
    <row r="35" spans="1:6" ht="27.75" customHeight="1">
      <c r="A35" s="7">
        <v>1110305005</v>
      </c>
      <c r="B35" s="259" t="s">
        <v>242</v>
      </c>
      <c r="C35" s="297">
        <v>0</v>
      </c>
      <c r="D35" s="364">
        <v>0</v>
      </c>
      <c r="E35" s="297" t="e">
        <f t="shared" si="0"/>
        <v>#DIV/0!</v>
      </c>
      <c r="F35" s="297">
        <f t="shared" si="1"/>
        <v>0</v>
      </c>
    </row>
    <row r="36" spans="1:6" ht="23.25">
      <c r="A36" s="16">
        <v>1110501101</v>
      </c>
      <c r="B36" s="260" t="s">
        <v>226</v>
      </c>
      <c r="C36" s="365">
        <v>9636.2999999999993</v>
      </c>
      <c r="D36" s="364">
        <v>7057.8888999999999</v>
      </c>
      <c r="E36" s="297">
        <f t="shared" si="0"/>
        <v>73.242726980272522</v>
      </c>
      <c r="F36" s="297">
        <f t="shared" si="1"/>
        <v>-2578.4110999999994</v>
      </c>
    </row>
    <row r="37" spans="1:6" ht="21.75" customHeight="1">
      <c r="A37" s="7">
        <v>1110503505</v>
      </c>
      <c r="B37" s="259" t="s">
        <v>225</v>
      </c>
      <c r="C37" s="365">
        <v>400</v>
      </c>
      <c r="D37" s="364">
        <v>274.9171</v>
      </c>
      <c r="E37" s="297">
        <f t="shared" si="0"/>
        <v>68.729275000000001</v>
      </c>
      <c r="F37" s="297">
        <f t="shared" si="1"/>
        <v>-125.0829</v>
      </c>
    </row>
    <row r="38" spans="1:6" ht="0.75" customHeight="1">
      <c r="A38" s="7">
        <v>1110502000</v>
      </c>
      <c r="B38" s="257" t="s">
        <v>277</v>
      </c>
      <c r="C38" s="366">
        <v>0</v>
      </c>
      <c r="D38" s="364">
        <v>0</v>
      </c>
      <c r="E38" s="297" t="e">
        <f t="shared" si="0"/>
        <v>#DIV/0!</v>
      </c>
      <c r="F38" s="297">
        <f t="shared" si="1"/>
        <v>0</v>
      </c>
    </row>
    <row r="39" spans="1:6" s="15" customFormat="1" ht="23.25">
      <c r="A39" s="7">
        <v>1110701505</v>
      </c>
      <c r="B39" s="259" t="s">
        <v>243</v>
      </c>
      <c r="C39" s="365">
        <v>20</v>
      </c>
      <c r="D39" s="364">
        <v>17.364999999999998</v>
      </c>
      <c r="E39" s="297">
        <f t="shared" si="0"/>
        <v>86.825000000000003</v>
      </c>
      <c r="F39" s="297">
        <f t="shared" si="1"/>
        <v>-2.6350000000000016</v>
      </c>
    </row>
    <row r="40" spans="1:6" s="15" customFormat="1" ht="23.25">
      <c r="A40" s="7">
        <v>1110904505</v>
      </c>
      <c r="B40" s="259" t="s">
        <v>334</v>
      </c>
      <c r="C40" s="365">
        <v>370</v>
      </c>
      <c r="D40" s="364">
        <v>435.32101999999998</v>
      </c>
      <c r="E40" s="297">
        <f t="shared" si="0"/>
        <v>117.65432972972974</v>
      </c>
      <c r="F40" s="297">
        <f t="shared" si="1"/>
        <v>65.321019999999976</v>
      </c>
    </row>
    <row r="41" spans="1:6" s="15" customFormat="1" ht="37.5">
      <c r="A41" s="68">
        <v>1120000000</v>
      </c>
      <c r="B41" s="258" t="s">
        <v>130</v>
      </c>
      <c r="C41" s="367">
        <f>C42</f>
        <v>490</v>
      </c>
      <c r="D41" s="367">
        <f>D42</f>
        <v>588.74239</v>
      </c>
      <c r="E41" s="296">
        <f t="shared" si="0"/>
        <v>120.15150816326529</v>
      </c>
      <c r="F41" s="296">
        <f t="shared" si="1"/>
        <v>98.74239</v>
      </c>
    </row>
    <row r="42" spans="1:6" s="15" customFormat="1" ht="37.5">
      <c r="A42" s="7">
        <v>1120100001</v>
      </c>
      <c r="B42" s="257" t="s">
        <v>244</v>
      </c>
      <c r="C42" s="297">
        <v>490</v>
      </c>
      <c r="D42" s="364">
        <v>588.74239</v>
      </c>
      <c r="E42" s="297">
        <f t="shared" si="0"/>
        <v>120.15150816326529</v>
      </c>
      <c r="F42" s="297">
        <f t="shared" si="1"/>
        <v>98.74239</v>
      </c>
    </row>
    <row r="43" spans="1:6" s="255" customFormat="1" ht="21.75" customHeight="1">
      <c r="A43" s="324">
        <v>1130000000</v>
      </c>
      <c r="B43" s="261" t="s">
        <v>131</v>
      </c>
      <c r="C43" s="296">
        <f>C44+C45</f>
        <v>459</v>
      </c>
      <c r="D43" s="296">
        <f>D44+D45</f>
        <v>113.39815</v>
      </c>
      <c r="E43" s="296">
        <f t="shared" si="0"/>
        <v>24.705479302832245</v>
      </c>
      <c r="F43" s="296">
        <f t="shared" si="1"/>
        <v>-345.60185000000001</v>
      </c>
    </row>
    <row r="44" spans="1:6" s="15" customFormat="1" ht="36" customHeight="1">
      <c r="A44" s="7">
        <v>1130200000</v>
      </c>
      <c r="B44" s="257" t="s">
        <v>330</v>
      </c>
      <c r="C44" s="297">
        <v>459</v>
      </c>
      <c r="D44" s="297">
        <v>113.39815</v>
      </c>
      <c r="E44" s="297">
        <f>SUM(D44/C44*100)</f>
        <v>24.705479302832245</v>
      </c>
      <c r="F44" s="297">
        <f>SUM(D44-C44)</f>
        <v>-345.60185000000001</v>
      </c>
    </row>
    <row r="45" spans="1:6" ht="25.5" customHeight="1">
      <c r="A45" s="7">
        <v>1130305005</v>
      </c>
      <c r="B45" s="257" t="s">
        <v>224</v>
      </c>
      <c r="C45" s="297">
        <v>0</v>
      </c>
      <c r="D45" s="364">
        <v>0</v>
      </c>
      <c r="E45" s="297"/>
      <c r="F45" s="297">
        <f t="shared" si="1"/>
        <v>0</v>
      </c>
    </row>
    <row r="46" spans="1:6" ht="20.25" customHeight="1">
      <c r="A46" s="109">
        <v>1140000000</v>
      </c>
      <c r="B46" s="262" t="s">
        <v>132</v>
      </c>
      <c r="C46" s="296">
        <f>C47+C48</f>
        <v>12928.977000000001</v>
      </c>
      <c r="D46" s="296">
        <f>D47+D48</f>
        <v>1729.4181999999998</v>
      </c>
      <c r="E46" s="296">
        <f t="shared" si="0"/>
        <v>13.376295742501512</v>
      </c>
      <c r="F46" s="296">
        <f t="shared" si="1"/>
        <v>-11199.558800000001</v>
      </c>
    </row>
    <row r="47" spans="1:6" ht="23.25">
      <c r="A47" s="16">
        <v>1140200000</v>
      </c>
      <c r="B47" s="263" t="s">
        <v>222</v>
      </c>
      <c r="C47" s="297">
        <v>300</v>
      </c>
      <c r="D47" s="364">
        <v>96.781000000000006</v>
      </c>
      <c r="E47" s="297">
        <f t="shared" si="0"/>
        <v>32.260333333333335</v>
      </c>
      <c r="F47" s="297">
        <f t="shared" si="1"/>
        <v>-203.21899999999999</v>
      </c>
    </row>
    <row r="48" spans="1:6" ht="24" customHeight="1">
      <c r="A48" s="7">
        <v>1140600000</v>
      </c>
      <c r="B48" s="257" t="s">
        <v>223</v>
      </c>
      <c r="C48" s="297">
        <v>12628.977000000001</v>
      </c>
      <c r="D48" s="364">
        <v>1632.6371999999999</v>
      </c>
      <c r="E48" s="297">
        <f t="shared" si="0"/>
        <v>12.927707446137561</v>
      </c>
      <c r="F48" s="297">
        <f t="shared" si="1"/>
        <v>-10996.339800000002</v>
      </c>
    </row>
    <row r="49" spans="1:8" ht="37.5" hidden="1">
      <c r="A49" s="3">
        <v>1150000000</v>
      </c>
      <c r="B49" s="258" t="s">
        <v>235</v>
      </c>
      <c r="C49" s="296">
        <f>C50</f>
        <v>0</v>
      </c>
      <c r="D49" s="296">
        <f>D50</f>
        <v>0</v>
      </c>
      <c r="E49" s="296" t="e">
        <f t="shared" si="0"/>
        <v>#DIV/0!</v>
      </c>
      <c r="F49" s="296">
        <f t="shared" si="1"/>
        <v>0</v>
      </c>
    </row>
    <row r="50" spans="1:8" ht="56.25" hidden="1">
      <c r="A50" s="7">
        <v>1150205005</v>
      </c>
      <c r="B50" s="257" t="s">
        <v>236</v>
      </c>
      <c r="C50" s="297">
        <v>0</v>
      </c>
      <c r="D50" s="364">
        <v>0</v>
      </c>
      <c r="E50" s="297" t="e">
        <f t="shared" si="0"/>
        <v>#DIV/0!</v>
      </c>
      <c r="F50" s="297">
        <f t="shared" si="1"/>
        <v>0</v>
      </c>
    </row>
    <row r="51" spans="1:8" ht="37.5">
      <c r="A51" s="3">
        <v>1160000000</v>
      </c>
      <c r="B51" s="258" t="s">
        <v>134</v>
      </c>
      <c r="C51" s="424">
        <f>C52+C53+C54+C55+C56+C57+C58+C59+C60+C61+C62+C63+C64+C65+C66+C67</f>
        <v>9596</v>
      </c>
      <c r="D51" s="424">
        <f>D52+D53+D54+D55+D56+D57+D58+D59+D60+D61+D62+D63+D64+D65+D66+D67</f>
        <v>8775.0334500000008</v>
      </c>
      <c r="E51" s="296">
        <f>SUM(D51/C51*100)</f>
        <v>91.444700395998353</v>
      </c>
      <c r="F51" s="296">
        <f t="shared" si="1"/>
        <v>-820.96654999999919</v>
      </c>
      <c r="H51" s="152"/>
    </row>
    <row r="52" spans="1:8" ht="23.25">
      <c r="A52" s="7">
        <v>1160301001</v>
      </c>
      <c r="B52" s="257" t="s">
        <v>245</v>
      </c>
      <c r="C52" s="297">
        <v>12</v>
      </c>
      <c r="D52" s="368">
        <v>7.5190000000000001</v>
      </c>
      <c r="E52" s="297">
        <f>SUM(D52/C52*100)</f>
        <v>62.658333333333339</v>
      </c>
      <c r="F52" s="297">
        <f t="shared" si="1"/>
        <v>-4.4809999999999999</v>
      </c>
    </row>
    <row r="53" spans="1:8" ht="21" customHeight="1">
      <c r="A53" s="7">
        <v>1160303001</v>
      </c>
      <c r="B53" s="257" t="s">
        <v>246</v>
      </c>
      <c r="C53" s="297">
        <v>8</v>
      </c>
      <c r="D53" s="369">
        <v>4.5999999999999996</v>
      </c>
      <c r="E53" s="297">
        <f t="shared" si="0"/>
        <v>57.499999999999993</v>
      </c>
      <c r="F53" s="297">
        <f t="shared" si="1"/>
        <v>-3.4000000000000004</v>
      </c>
    </row>
    <row r="54" spans="1:8" ht="23.25" customHeight="1">
      <c r="A54" s="7">
        <v>1160600000</v>
      </c>
      <c r="B54" s="257" t="s">
        <v>247</v>
      </c>
      <c r="C54" s="297">
        <v>44</v>
      </c>
      <c r="D54" s="369">
        <v>0</v>
      </c>
      <c r="E54" s="297">
        <f t="shared" si="0"/>
        <v>0</v>
      </c>
      <c r="F54" s="297">
        <f t="shared" si="1"/>
        <v>-44</v>
      </c>
    </row>
    <row r="55" spans="1:8" s="15" customFormat="1" ht="48" customHeight="1">
      <c r="A55" s="7">
        <v>1160800001</v>
      </c>
      <c r="B55" s="257" t="s">
        <v>248</v>
      </c>
      <c r="C55" s="297">
        <v>220</v>
      </c>
      <c r="D55" s="369">
        <v>460</v>
      </c>
      <c r="E55" s="297">
        <f t="shared" si="0"/>
        <v>209.09090909090909</v>
      </c>
      <c r="F55" s="297">
        <f t="shared" si="1"/>
        <v>240</v>
      </c>
    </row>
    <row r="56" spans="1:8" ht="35.25" customHeight="1">
      <c r="A56" s="7">
        <v>1160802001</v>
      </c>
      <c r="B56" s="257" t="s">
        <v>342</v>
      </c>
      <c r="C56" s="297">
        <v>35</v>
      </c>
      <c r="D56" s="364">
        <v>0</v>
      </c>
      <c r="E56" s="297">
        <f t="shared" si="0"/>
        <v>0</v>
      </c>
      <c r="F56" s="297">
        <f t="shared" si="1"/>
        <v>-35</v>
      </c>
    </row>
    <row r="57" spans="1:8" ht="35.25" customHeight="1">
      <c r="A57" s="7">
        <v>1162105005</v>
      </c>
      <c r="B57" s="257" t="s">
        <v>16</v>
      </c>
      <c r="C57" s="297">
        <v>165</v>
      </c>
      <c r="D57" s="364">
        <v>154.60119</v>
      </c>
      <c r="E57" s="297">
        <f t="shared" si="0"/>
        <v>93.697690909090909</v>
      </c>
      <c r="F57" s="297">
        <f t="shared" si="1"/>
        <v>-10.398809999999997</v>
      </c>
    </row>
    <row r="58" spans="1:8" ht="35.25" customHeight="1">
      <c r="A58" s="16">
        <v>1162503001</v>
      </c>
      <c r="B58" s="263" t="s">
        <v>333</v>
      </c>
      <c r="C58" s="297">
        <v>140</v>
      </c>
      <c r="D58" s="364">
        <v>0.1</v>
      </c>
      <c r="E58" s="297">
        <f t="shared" si="0"/>
        <v>7.1428571428571425E-2</v>
      </c>
      <c r="F58" s="297">
        <f t="shared" si="1"/>
        <v>-139.9</v>
      </c>
    </row>
    <row r="59" spans="1:8" ht="21.75" customHeight="1">
      <c r="A59" s="16">
        <v>1162505001</v>
      </c>
      <c r="B59" s="263" t="s">
        <v>345</v>
      </c>
      <c r="C59" s="297">
        <v>20</v>
      </c>
      <c r="D59" s="364">
        <v>20</v>
      </c>
      <c r="E59" s="297">
        <f t="shared" si="0"/>
        <v>100</v>
      </c>
      <c r="F59" s="297">
        <f t="shared" si="1"/>
        <v>0</v>
      </c>
    </row>
    <row r="60" spans="1:8" ht="20.25" customHeight="1">
      <c r="A60" s="16">
        <v>1162506001</v>
      </c>
      <c r="B60" s="263" t="s">
        <v>269</v>
      </c>
      <c r="C60" s="297">
        <v>385</v>
      </c>
      <c r="D60" s="364">
        <v>66.060460000000006</v>
      </c>
      <c r="E60" s="297">
        <f t="shared" si="0"/>
        <v>17.158561038961039</v>
      </c>
      <c r="F60" s="297">
        <f t="shared" si="1"/>
        <v>-318.93953999999997</v>
      </c>
    </row>
    <row r="61" spans="1:8" ht="0.75" customHeight="1">
      <c r="A61" s="7">
        <v>1162700001</v>
      </c>
      <c r="B61" s="257" t="s">
        <v>249</v>
      </c>
      <c r="C61" s="297">
        <v>0</v>
      </c>
      <c r="D61" s="364">
        <v>0</v>
      </c>
      <c r="E61" s="297" t="e">
        <f t="shared" si="0"/>
        <v>#DIV/0!</v>
      </c>
      <c r="F61" s="297">
        <f t="shared" si="1"/>
        <v>0</v>
      </c>
    </row>
    <row r="62" spans="1:8" ht="37.5" customHeight="1">
      <c r="A62" s="7">
        <v>1162800001</v>
      </c>
      <c r="B62" s="257" t="s">
        <v>238</v>
      </c>
      <c r="C62" s="297">
        <v>370</v>
      </c>
      <c r="D62" s="364">
        <v>391.31344999999999</v>
      </c>
      <c r="E62" s="297">
        <f>SUM(D62/C62*100)</f>
        <v>105.76039189189189</v>
      </c>
      <c r="F62" s="297">
        <f>SUM(D62-C62)</f>
        <v>21.313449999999989</v>
      </c>
    </row>
    <row r="63" spans="1:8" ht="36" customHeight="1">
      <c r="A63" s="7">
        <v>1163003001</v>
      </c>
      <c r="B63" s="257" t="s">
        <v>270</v>
      </c>
      <c r="C63" s="297">
        <v>167</v>
      </c>
      <c r="D63" s="364">
        <v>167</v>
      </c>
      <c r="E63" s="297">
        <f>SUM(D63/C63*100)</f>
        <v>100</v>
      </c>
      <c r="F63" s="297">
        <f>SUM(D63-C63)</f>
        <v>0</v>
      </c>
    </row>
    <row r="64" spans="1:8" ht="56.25">
      <c r="A64" s="7">
        <v>1164300001</v>
      </c>
      <c r="B64" s="264" t="s">
        <v>262</v>
      </c>
      <c r="C64" s="297">
        <v>300</v>
      </c>
      <c r="D64" s="364">
        <v>238.22174000000001</v>
      </c>
      <c r="E64" s="297">
        <f t="shared" si="0"/>
        <v>79.40724666666668</v>
      </c>
      <c r="F64" s="297">
        <f t="shared" si="1"/>
        <v>-61.778259999999989</v>
      </c>
    </row>
    <row r="65" spans="1:8" ht="73.5" customHeight="1">
      <c r="A65" s="7">
        <v>1163305005</v>
      </c>
      <c r="B65" s="257" t="s">
        <v>17</v>
      </c>
      <c r="C65" s="297">
        <v>5135</v>
      </c>
      <c r="D65" s="364">
        <v>5120.5715399999999</v>
      </c>
      <c r="E65" s="297">
        <f t="shared" si="0"/>
        <v>99.719017332035051</v>
      </c>
      <c r="F65" s="297">
        <f t="shared" si="1"/>
        <v>-14.428460000000086</v>
      </c>
    </row>
    <row r="66" spans="1:8" ht="23.25">
      <c r="A66" s="7">
        <v>1163500000</v>
      </c>
      <c r="B66" s="257" t="s">
        <v>331</v>
      </c>
      <c r="C66" s="297">
        <v>0</v>
      </c>
      <c r="D66" s="364">
        <v>0</v>
      </c>
      <c r="E66" s="297" t="e">
        <f t="shared" si="0"/>
        <v>#DIV/0!</v>
      </c>
      <c r="F66" s="297">
        <f t="shared" si="1"/>
        <v>0</v>
      </c>
    </row>
    <row r="67" spans="1:8" ht="35.25" customHeight="1">
      <c r="A67" s="7">
        <v>1169000000</v>
      </c>
      <c r="B67" s="257" t="s">
        <v>237</v>
      </c>
      <c r="C67" s="297">
        <v>2595</v>
      </c>
      <c r="D67" s="364">
        <v>2145.0460699999999</v>
      </c>
      <c r="E67" s="297">
        <f t="shared" si="0"/>
        <v>82.660734874759143</v>
      </c>
      <c r="F67" s="297">
        <f t="shared" si="1"/>
        <v>-449.95393000000013</v>
      </c>
    </row>
    <row r="68" spans="1:8" ht="25.5" customHeight="1">
      <c r="A68" s="3">
        <v>1170000000</v>
      </c>
      <c r="B68" s="258" t="s">
        <v>135</v>
      </c>
      <c r="C68" s="296">
        <f>C69+C70</f>
        <v>0</v>
      </c>
      <c r="D68" s="296">
        <f>D69+D70</f>
        <v>0</v>
      </c>
      <c r="E68" s="297" t="e">
        <f t="shared" si="0"/>
        <v>#DIV/0!</v>
      </c>
      <c r="F68" s="296">
        <f t="shared" si="1"/>
        <v>0</v>
      </c>
    </row>
    <row r="69" spans="1:8" ht="23.25">
      <c r="A69" s="7">
        <v>1170105005</v>
      </c>
      <c r="B69" s="257" t="s">
        <v>18</v>
      </c>
      <c r="C69" s="297">
        <v>0</v>
      </c>
      <c r="D69" s="297">
        <v>0</v>
      </c>
      <c r="E69" s="297" t="e">
        <f t="shared" si="0"/>
        <v>#DIV/0!</v>
      </c>
      <c r="F69" s="297">
        <f t="shared" si="1"/>
        <v>0</v>
      </c>
    </row>
    <row r="70" spans="1:8" ht="23.25">
      <c r="A70" s="7">
        <v>1170505005</v>
      </c>
      <c r="B70" s="259" t="s">
        <v>221</v>
      </c>
      <c r="C70" s="297">
        <v>0</v>
      </c>
      <c r="D70" s="364">
        <v>0</v>
      </c>
      <c r="E70" s="297" t="e">
        <f t="shared" si="0"/>
        <v>#DIV/0!</v>
      </c>
      <c r="F70" s="297">
        <f t="shared" si="1"/>
        <v>0</v>
      </c>
    </row>
    <row r="71" spans="1:8" s="6" customFormat="1" ht="22.5">
      <c r="A71" s="3">
        <v>1000000000</v>
      </c>
      <c r="B71" s="256" t="s">
        <v>19</v>
      </c>
      <c r="C71" s="370">
        <f>SUM(C4,C32)</f>
        <v>159384.277</v>
      </c>
      <c r="D71" s="370">
        <f>SUM(D4,D32)</f>
        <v>109259.45851</v>
      </c>
      <c r="E71" s="296">
        <f>SUM(D71/C71*100)</f>
        <v>68.550964101684883</v>
      </c>
      <c r="F71" s="296">
        <f>SUM(D71-C71)</f>
        <v>-50124.818490000005</v>
      </c>
      <c r="G71" s="94"/>
      <c r="H71" s="94"/>
    </row>
    <row r="72" spans="1:8" s="6" customFormat="1" ht="30" customHeight="1">
      <c r="A72" s="3">
        <v>2000000000</v>
      </c>
      <c r="B72" s="256" t="s">
        <v>20</v>
      </c>
      <c r="C72" s="296">
        <f>C73+C76+C77+C78+C80+C75+C79</f>
        <v>591622.02116</v>
      </c>
      <c r="D72" s="296">
        <f>D73+D76+D77+D78+D80+D75+D79</f>
        <v>424535.25674000004</v>
      </c>
      <c r="E72" s="296">
        <f t="shared" si="0"/>
        <v>71.757852405089466</v>
      </c>
      <c r="F72" s="296">
        <f t="shared" si="1"/>
        <v>-167086.76441999996</v>
      </c>
      <c r="G72" s="94"/>
      <c r="H72" s="94"/>
    </row>
    <row r="73" spans="1:8" ht="21.75" customHeight="1">
      <c r="A73" s="16">
        <v>2021000000</v>
      </c>
      <c r="B73" s="260" t="s">
        <v>21</v>
      </c>
      <c r="C73" s="365">
        <v>12497.1</v>
      </c>
      <c r="D73" s="371">
        <v>8088</v>
      </c>
      <c r="E73" s="297">
        <f t="shared" si="0"/>
        <v>64.719014811436253</v>
      </c>
      <c r="F73" s="297">
        <f t="shared" si="1"/>
        <v>-4409.1000000000004</v>
      </c>
    </row>
    <row r="74" spans="1:8" ht="32.25" hidden="1" customHeight="1">
      <c r="A74" s="16">
        <v>2020100905</v>
      </c>
      <c r="B74" s="263" t="s">
        <v>276</v>
      </c>
      <c r="C74" s="365">
        <v>0</v>
      </c>
      <c r="D74" s="371">
        <v>0</v>
      </c>
      <c r="E74" s="297" t="e">
        <f t="shared" si="0"/>
        <v>#DIV/0!</v>
      </c>
      <c r="F74" s="297">
        <f t="shared" si="1"/>
        <v>0</v>
      </c>
    </row>
    <row r="75" spans="1:8" ht="21.75" customHeight="1">
      <c r="A75" s="16">
        <v>2020100310</v>
      </c>
      <c r="B75" s="260" t="s">
        <v>232</v>
      </c>
      <c r="C75" s="365">
        <v>17580</v>
      </c>
      <c r="D75" s="371">
        <v>14650</v>
      </c>
      <c r="E75" s="297">
        <f t="shared" si="0"/>
        <v>83.333333333333343</v>
      </c>
      <c r="F75" s="297">
        <f t="shared" si="1"/>
        <v>-2930</v>
      </c>
    </row>
    <row r="76" spans="1:8" ht="23.25">
      <c r="A76" s="16">
        <v>2022000000</v>
      </c>
      <c r="B76" s="260" t="s">
        <v>22</v>
      </c>
      <c r="C76" s="365">
        <v>211329.31232999999</v>
      </c>
      <c r="D76" s="364">
        <v>143294.76094000001</v>
      </c>
      <c r="E76" s="297">
        <f t="shared" si="0"/>
        <v>67.806382067925796</v>
      </c>
      <c r="F76" s="297">
        <f t="shared" si="1"/>
        <v>-68034.551389999979</v>
      </c>
    </row>
    <row r="77" spans="1:8" ht="23.25">
      <c r="A77" s="16">
        <v>2023000000</v>
      </c>
      <c r="B77" s="260" t="s">
        <v>23</v>
      </c>
      <c r="C77" s="365">
        <v>329567.17882999999</v>
      </c>
      <c r="D77" s="372">
        <v>244046.83621000001</v>
      </c>
      <c r="E77" s="297">
        <f t="shared" si="0"/>
        <v>74.050710109056766</v>
      </c>
      <c r="F77" s="297">
        <f t="shared" si="1"/>
        <v>-85520.342619999981</v>
      </c>
    </row>
    <row r="78" spans="1:8" ht="19.5" customHeight="1">
      <c r="A78" s="16">
        <v>2024000000</v>
      </c>
      <c r="B78" s="263" t="s">
        <v>24</v>
      </c>
      <c r="C78" s="365">
        <v>20652.650000000001</v>
      </c>
      <c r="D78" s="373">
        <v>14457.712</v>
      </c>
      <c r="E78" s="297">
        <f t="shared" si="0"/>
        <v>70.004149588551584</v>
      </c>
      <c r="F78" s="297">
        <f t="shared" si="1"/>
        <v>-6194.9380000000019</v>
      </c>
    </row>
    <row r="79" spans="1:8" ht="23.25">
      <c r="A79" s="16">
        <v>2180500005</v>
      </c>
      <c r="B79" s="263" t="s">
        <v>325</v>
      </c>
      <c r="C79" s="365">
        <v>0</v>
      </c>
      <c r="D79" s="373">
        <v>366.96924000000001</v>
      </c>
      <c r="E79" s="297" t="e">
        <f t="shared" si="0"/>
        <v>#DIV/0!</v>
      </c>
      <c r="F79" s="297">
        <f t="shared" si="1"/>
        <v>366.96924000000001</v>
      </c>
    </row>
    <row r="80" spans="1:8" ht="22.5" customHeight="1">
      <c r="A80" s="7">
        <v>2196001005</v>
      </c>
      <c r="B80" s="259" t="s">
        <v>26</v>
      </c>
      <c r="C80" s="364">
        <v>-4.22</v>
      </c>
      <c r="D80" s="364">
        <v>-369.02165000000002</v>
      </c>
      <c r="E80" s="297">
        <f t="shared" si="0"/>
        <v>8744.5888625592434</v>
      </c>
      <c r="F80" s="297">
        <f>SUM(D80-C80)</f>
        <v>-364.80165</v>
      </c>
    </row>
    <row r="81" spans="1:8" s="6" customFormat="1" ht="56.25" hidden="1">
      <c r="A81" s="3">
        <v>3000000000</v>
      </c>
      <c r="B81" s="258" t="s">
        <v>27</v>
      </c>
      <c r="C81" s="367">
        <v>0</v>
      </c>
      <c r="D81" s="374">
        <v>0</v>
      </c>
      <c r="E81" s="297" t="e">
        <f t="shared" si="0"/>
        <v>#DIV/0!</v>
      </c>
      <c r="F81" s="296">
        <f t="shared" si="1"/>
        <v>0</v>
      </c>
    </row>
    <row r="82" spans="1:8" s="6" customFormat="1" ht="22.5" customHeight="1">
      <c r="A82" s="3"/>
      <c r="B82" s="256" t="s">
        <v>28</v>
      </c>
      <c r="C82" s="425">
        <f>C71+C72</f>
        <v>751006.29816000001</v>
      </c>
      <c r="D82" s="425">
        <f>D71+D72</f>
        <v>533794.71525000001</v>
      </c>
      <c r="E82" s="297">
        <f>SUM(D82/C82*100)</f>
        <v>71.077262142517526</v>
      </c>
      <c r="F82" s="296">
        <f>SUM(D83-C82)</f>
        <v>-740565.3541600001</v>
      </c>
      <c r="G82" s="325"/>
      <c r="H82" s="94"/>
    </row>
    <row r="83" spans="1:8" s="6" customFormat="1" ht="22.5">
      <c r="A83" s="3"/>
      <c r="B83" s="265" t="s">
        <v>321</v>
      </c>
      <c r="C83" s="376">
        <f>C82-C142</f>
        <v>-9930.6300000000047</v>
      </c>
      <c r="D83" s="296">
        <f>D82-D142</f>
        <v>10440.943999999959</v>
      </c>
      <c r="E83" s="298"/>
      <c r="F83" s="298"/>
      <c r="G83" s="94"/>
      <c r="H83" s="94"/>
    </row>
    <row r="84" spans="1:8" ht="23.25">
      <c r="A84" s="23"/>
      <c r="B84" s="24"/>
      <c r="C84" s="377"/>
      <c r="D84" s="377"/>
      <c r="E84" s="299"/>
      <c r="F84" s="299"/>
    </row>
    <row r="85" spans="1:8" ht="63">
      <c r="A85" s="28" t="s">
        <v>1</v>
      </c>
      <c r="B85" s="28" t="s">
        <v>29</v>
      </c>
      <c r="C85" s="300" t="s">
        <v>346</v>
      </c>
      <c r="D85" s="378" t="s">
        <v>419</v>
      </c>
      <c r="E85" s="300" t="s">
        <v>3</v>
      </c>
      <c r="F85" s="301" t="s">
        <v>4</v>
      </c>
    </row>
    <row r="86" spans="1:8" ht="22.5">
      <c r="A86" s="29">
        <v>1</v>
      </c>
      <c r="B86" s="28">
        <v>2</v>
      </c>
      <c r="C86" s="302">
        <v>3</v>
      </c>
      <c r="D86" s="302">
        <v>4</v>
      </c>
      <c r="E86" s="302">
        <v>5</v>
      </c>
      <c r="F86" s="302">
        <v>6</v>
      </c>
    </row>
    <row r="87" spans="1:8" s="6" customFormat="1" ht="22.5">
      <c r="A87" s="30" t="s">
        <v>30</v>
      </c>
      <c r="B87" s="266" t="s">
        <v>31</v>
      </c>
      <c r="C87" s="298">
        <f>SUM(C88:C94)</f>
        <v>41696.35959</v>
      </c>
      <c r="D87" s="298">
        <f>SUM(D88:D94)</f>
        <v>25970.857169999999</v>
      </c>
      <c r="E87" s="303">
        <f>SUM(D87/C87*100)</f>
        <v>62.285670560622677</v>
      </c>
      <c r="F87" s="303">
        <f>SUM(D87-C87)</f>
        <v>-15725.502420000001</v>
      </c>
    </row>
    <row r="88" spans="1:8" s="6" customFormat="1" ht="37.5">
      <c r="A88" s="35" t="s">
        <v>32</v>
      </c>
      <c r="B88" s="267" t="s">
        <v>33</v>
      </c>
      <c r="C88" s="379">
        <v>50</v>
      </c>
      <c r="D88" s="379">
        <v>6.7743000000000002</v>
      </c>
      <c r="E88" s="303">
        <f>SUM(D88/C88*100)</f>
        <v>13.5486</v>
      </c>
      <c r="F88" s="303">
        <f>SUM(D88-C88)</f>
        <v>-43.225700000000003</v>
      </c>
    </row>
    <row r="89" spans="1:8" ht="21.75" customHeight="1">
      <c r="A89" s="35" t="s">
        <v>34</v>
      </c>
      <c r="B89" s="268" t="s">
        <v>35</v>
      </c>
      <c r="C89" s="379">
        <v>22153.892</v>
      </c>
      <c r="D89" s="379">
        <v>15794.22962</v>
      </c>
      <c r="E89" s="304">
        <f t="shared" ref="E89:E142" si="3">SUM(D89/C89*100)</f>
        <v>71.29325005285753</v>
      </c>
      <c r="F89" s="304">
        <f t="shared" ref="F89:F142" si="4">SUM(D89-C89)</f>
        <v>-6359.6623799999998</v>
      </c>
    </row>
    <row r="90" spans="1:8" ht="19.5" customHeight="1">
      <c r="A90" s="35" t="s">
        <v>36</v>
      </c>
      <c r="B90" s="268" t="s">
        <v>37</v>
      </c>
      <c r="C90" s="379">
        <v>126.8</v>
      </c>
      <c r="D90" s="379">
        <v>0</v>
      </c>
      <c r="E90" s="304">
        <f t="shared" si="3"/>
        <v>0</v>
      </c>
      <c r="F90" s="304">
        <f t="shared" si="4"/>
        <v>-126.8</v>
      </c>
    </row>
    <row r="91" spans="1:8" ht="38.25" customHeight="1">
      <c r="A91" s="35" t="s">
        <v>38</v>
      </c>
      <c r="B91" s="268" t="s">
        <v>39</v>
      </c>
      <c r="C91" s="380">
        <v>5215.96</v>
      </c>
      <c r="D91" s="380">
        <v>3865.3366700000001</v>
      </c>
      <c r="E91" s="304">
        <f t="shared" si="3"/>
        <v>74.105949240408293</v>
      </c>
      <c r="F91" s="304">
        <f t="shared" si="4"/>
        <v>-1350.6233299999999</v>
      </c>
    </row>
    <row r="92" spans="1:8" ht="18.75" customHeight="1">
      <c r="A92" s="35" t="s">
        <v>40</v>
      </c>
      <c r="B92" s="268" t="s">
        <v>41</v>
      </c>
      <c r="C92" s="379">
        <v>90.55</v>
      </c>
      <c r="D92" s="379">
        <v>90.55</v>
      </c>
      <c r="E92" s="304">
        <f t="shared" si="3"/>
        <v>100</v>
      </c>
      <c r="F92" s="304">
        <f t="shared" si="4"/>
        <v>0</v>
      </c>
    </row>
    <row r="93" spans="1:8" ht="24.75" customHeight="1">
      <c r="A93" s="35" t="s">
        <v>42</v>
      </c>
      <c r="B93" s="268" t="s">
        <v>43</v>
      </c>
      <c r="C93" s="380">
        <v>930.13350000000003</v>
      </c>
      <c r="D93" s="380">
        <v>0</v>
      </c>
      <c r="E93" s="304">
        <f t="shared" si="3"/>
        <v>0</v>
      </c>
      <c r="F93" s="304">
        <f t="shared" si="4"/>
        <v>-930.13350000000003</v>
      </c>
    </row>
    <row r="94" spans="1:8" ht="24" customHeight="1">
      <c r="A94" s="35" t="s">
        <v>44</v>
      </c>
      <c r="B94" s="268" t="s">
        <v>45</v>
      </c>
      <c r="C94" s="379">
        <v>13129.024090000001</v>
      </c>
      <c r="D94" s="379">
        <v>6213.9665800000002</v>
      </c>
      <c r="E94" s="304">
        <f t="shared" si="3"/>
        <v>47.329996025622343</v>
      </c>
      <c r="F94" s="304">
        <f t="shared" si="4"/>
        <v>-6915.0575100000005</v>
      </c>
    </row>
    <row r="95" spans="1:8" s="6" customFormat="1" ht="22.5">
      <c r="A95" s="41" t="s">
        <v>46</v>
      </c>
      <c r="B95" s="269" t="s">
        <v>47</v>
      </c>
      <c r="C95" s="298">
        <f>C96</f>
        <v>1781.5</v>
      </c>
      <c r="D95" s="298">
        <f>D96</f>
        <v>1781.5</v>
      </c>
      <c r="E95" s="303">
        <f t="shared" si="3"/>
        <v>100</v>
      </c>
      <c r="F95" s="303">
        <f t="shared" si="4"/>
        <v>0</v>
      </c>
    </row>
    <row r="96" spans="1:8" ht="23.25">
      <c r="A96" s="43" t="s">
        <v>48</v>
      </c>
      <c r="B96" s="270" t="s">
        <v>49</v>
      </c>
      <c r="C96" s="379">
        <v>1781.5</v>
      </c>
      <c r="D96" s="379">
        <v>1781.5</v>
      </c>
      <c r="E96" s="304">
        <f t="shared" si="3"/>
        <v>100</v>
      </c>
      <c r="F96" s="304">
        <f t="shared" si="4"/>
        <v>0</v>
      </c>
    </row>
    <row r="97" spans="1:7" s="6" customFormat="1" ht="21" customHeight="1">
      <c r="A97" s="30" t="s">
        <v>50</v>
      </c>
      <c r="B97" s="266" t="s">
        <v>51</v>
      </c>
      <c r="C97" s="298">
        <f>SUM(C99:C102)</f>
        <v>4702.1330000000007</v>
      </c>
      <c r="D97" s="298">
        <f>SUM(D99:D101)</f>
        <v>3425.8024700000001</v>
      </c>
      <c r="E97" s="303">
        <f t="shared" si="3"/>
        <v>72.856349873557363</v>
      </c>
      <c r="F97" s="303">
        <f t="shared" si="4"/>
        <v>-1276.3305300000006</v>
      </c>
    </row>
    <row r="98" spans="1:7" ht="23.25" hidden="1">
      <c r="A98" s="35" t="s">
        <v>52</v>
      </c>
      <c r="B98" s="268" t="s">
        <v>53</v>
      </c>
      <c r="C98" s="379"/>
      <c r="D98" s="379"/>
      <c r="E98" s="304" t="e">
        <f t="shared" si="3"/>
        <v>#DIV/0!</v>
      </c>
      <c r="F98" s="304">
        <f t="shared" si="4"/>
        <v>0</v>
      </c>
    </row>
    <row r="99" spans="1:7" ht="23.25">
      <c r="A99" s="45" t="s">
        <v>54</v>
      </c>
      <c r="B99" s="268" t="s">
        <v>327</v>
      </c>
      <c r="C99" s="379">
        <v>1582.6</v>
      </c>
      <c r="D99" s="379">
        <v>1228</v>
      </c>
      <c r="E99" s="304">
        <f t="shared" si="3"/>
        <v>77.593832933147993</v>
      </c>
      <c r="F99" s="304">
        <f t="shared" si="4"/>
        <v>-354.59999999999991</v>
      </c>
    </row>
    <row r="100" spans="1:7" ht="36.75" customHeight="1">
      <c r="A100" s="46" t="s">
        <v>56</v>
      </c>
      <c r="B100" s="271" t="s">
        <v>57</v>
      </c>
      <c r="C100" s="379">
        <v>3025.4830000000002</v>
      </c>
      <c r="D100" s="379">
        <v>2197.8024700000001</v>
      </c>
      <c r="E100" s="304">
        <f t="shared" si="3"/>
        <v>72.643028237144279</v>
      </c>
      <c r="F100" s="304">
        <f t="shared" si="4"/>
        <v>-827.68053000000009</v>
      </c>
    </row>
    <row r="101" spans="1:7" ht="21" customHeight="1">
      <c r="A101" s="46" t="s">
        <v>219</v>
      </c>
      <c r="B101" s="271" t="s">
        <v>220</v>
      </c>
      <c r="C101" s="379">
        <v>0</v>
      </c>
      <c r="D101" s="379">
        <v>0</v>
      </c>
      <c r="E101" s="304" t="e">
        <f t="shared" si="3"/>
        <v>#DIV/0!</v>
      </c>
      <c r="F101" s="304">
        <f t="shared" si="4"/>
        <v>0</v>
      </c>
    </row>
    <row r="102" spans="1:7" ht="34.5" customHeight="1">
      <c r="A102" s="46" t="s">
        <v>360</v>
      </c>
      <c r="B102" s="271" t="s">
        <v>361</v>
      </c>
      <c r="C102" s="381">
        <v>94.05</v>
      </c>
      <c r="D102" s="379">
        <v>44.005850000000002</v>
      </c>
      <c r="E102" s="304">
        <f t="shared" si="3"/>
        <v>46.789845826687937</v>
      </c>
      <c r="F102" s="304">
        <f t="shared" si="4"/>
        <v>-50.044149999999995</v>
      </c>
    </row>
    <row r="103" spans="1:7" s="6" customFormat="1" ht="25.5" customHeight="1">
      <c r="A103" s="30" t="s">
        <v>58</v>
      </c>
      <c r="B103" s="266" t="s">
        <v>59</v>
      </c>
      <c r="C103" s="382">
        <f>SUM(C105:C107)</f>
        <v>164079.899</v>
      </c>
      <c r="D103" s="382">
        <f>SUM(D105:D107)</f>
        <v>117056.35748000001</v>
      </c>
      <c r="E103" s="303">
        <f t="shared" si="3"/>
        <v>71.34107114485731</v>
      </c>
      <c r="F103" s="303">
        <f t="shared" si="4"/>
        <v>-47023.541519999999</v>
      </c>
    </row>
    <row r="104" spans="1:7" ht="0.75" hidden="1" customHeight="1">
      <c r="A104" s="35" t="s">
        <v>60</v>
      </c>
      <c r="B104" s="268" t="s">
        <v>61</v>
      </c>
      <c r="C104" s="383">
        <v>0</v>
      </c>
      <c r="D104" s="379">
        <v>0</v>
      </c>
      <c r="E104" s="304" t="e">
        <f t="shared" si="3"/>
        <v>#DIV/0!</v>
      </c>
      <c r="F104" s="304">
        <f t="shared" si="4"/>
        <v>0</v>
      </c>
    </row>
    <row r="105" spans="1:7" s="6" customFormat="1" ht="20.25" customHeight="1">
      <c r="A105" s="35" t="s">
        <v>60</v>
      </c>
      <c r="B105" s="268" t="s">
        <v>324</v>
      </c>
      <c r="C105" s="383">
        <v>112.1</v>
      </c>
      <c r="D105" s="379">
        <v>34.670999999999999</v>
      </c>
      <c r="E105" s="304">
        <f t="shared" si="3"/>
        <v>30.928635147190008</v>
      </c>
      <c r="F105" s="304">
        <f t="shared" si="4"/>
        <v>-77.429000000000002</v>
      </c>
      <c r="G105" s="50"/>
    </row>
    <row r="106" spans="1:7" ht="26.25" customHeight="1">
      <c r="A106" s="35" t="s">
        <v>64</v>
      </c>
      <c r="B106" s="268" t="s">
        <v>65</v>
      </c>
      <c r="C106" s="383">
        <v>162588.399</v>
      </c>
      <c r="D106" s="379">
        <v>115948.00128</v>
      </c>
      <c r="E106" s="304">
        <f t="shared" si="3"/>
        <v>71.313821892052701</v>
      </c>
      <c r="F106" s="304">
        <f t="shared" si="4"/>
        <v>-46640.397720000008</v>
      </c>
    </row>
    <row r="107" spans="1:7" ht="38.25">
      <c r="A107" s="35" t="s">
        <v>66</v>
      </c>
      <c r="B107" s="268" t="s">
        <v>67</v>
      </c>
      <c r="C107" s="383">
        <v>1379.4</v>
      </c>
      <c r="D107" s="379">
        <v>1073.6851999999999</v>
      </c>
      <c r="E107" s="304">
        <f t="shared" si="3"/>
        <v>77.837117587356801</v>
      </c>
      <c r="F107" s="304">
        <f t="shared" si="4"/>
        <v>-305.7148000000002</v>
      </c>
    </row>
    <row r="108" spans="1:7" s="6" customFormat="1" ht="37.5">
      <c r="A108" s="30" t="s">
        <v>68</v>
      </c>
      <c r="B108" s="266" t="s">
        <v>69</v>
      </c>
      <c r="C108" s="298">
        <f>SUM(C109:C111)</f>
        <v>9408.2691699999996</v>
      </c>
      <c r="D108" s="298">
        <f>SUM(D109:D111)</f>
        <v>5552.4372199999998</v>
      </c>
      <c r="E108" s="303">
        <f t="shared" si="3"/>
        <v>59.016564255038205</v>
      </c>
      <c r="F108" s="303">
        <f t="shared" si="4"/>
        <v>-3855.8319499999998</v>
      </c>
    </row>
    <row r="109" spans="1:7" ht="23.25">
      <c r="A109" s="35" t="s">
        <v>70</v>
      </c>
      <c r="B109" s="272" t="s">
        <v>71</v>
      </c>
      <c r="C109" s="379">
        <v>1577.10176</v>
      </c>
      <c r="D109" s="379">
        <v>420.92982999999998</v>
      </c>
      <c r="E109" s="304">
        <f t="shared" si="3"/>
        <v>26.690086884437942</v>
      </c>
      <c r="F109" s="304">
        <f t="shared" si="4"/>
        <v>-1156.17193</v>
      </c>
    </row>
    <row r="110" spans="1:7" ht="23.25" customHeight="1">
      <c r="A110" s="35" t="s">
        <v>72</v>
      </c>
      <c r="B110" s="272" t="s">
        <v>73</v>
      </c>
      <c r="C110" s="379">
        <v>7831.16741</v>
      </c>
      <c r="D110" s="379">
        <v>5131.5073899999998</v>
      </c>
      <c r="E110" s="304">
        <f t="shared" si="3"/>
        <v>65.526723173448289</v>
      </c>
      <c r="F110" s="304">
        <f t="shared" si="4"/>
        <v>-2699.6600200000003</v>
      </c>
    </row>
    <row r="111" spans="1:7" ht="19.5" customHeight="1">
      <c r="A111" s="35" t="s">
        <v>74</v>
      </c>
      <c r="B111" s="268" t="s">
        <v>75</v>
      </c>
      <c r="C111" s="379">
        <v>0</v>
      </c>
      <c r="D111" s="379">
        <v>0</v>
      </c>
      <c r="E111" s="304" t="e">
        <f t="shared" si="3"/>
        <v>#DIV/0!</v>
      </c>
      <c r="F111" s="304">
        <f t="shared" si="4"/>
        <v>0</v>
      </c>
    </row>
    <row r="112" spans="1:7" s="6" customFormat="1" ht="22.5">
      <c r="A112" s="30" t="s">
        <v>76</v>
      </c>
      <c r="B112" s="273" t="s">
        <v>77</v>
      </c>
      <c r="C112" s="382">
        <f>SUM(C113)</f>
        <v>51</v>
      </c>
      <c r="D112" s="382">
        <f>SUM(D113)</f>
        <v>51</v>
      </c>
      <c r="E112" s="303">
        <f t="shared" si="3"/>
        <v>100</v>
      </c>
      <c r="F112" s="303">
        <f t="shared" si="4"/>
        <v>0</v>
      </c>
    </row>
    <row r="113" spans="1:7" ht="38.25">
      <c r="A113" s="35" t="s">
        <v>78</v>
      </c>
      <c r="B113" s="272" t="s">
        <v>79</v>
      </c>
      <c r="C113" s="304">
        <v>51</v>
      </c>
      <c r="D113" s="380">
        <v>51</v>
      </c>
      <c r="E113" s="304">
        <f t="shared" si="3"/>
        <v>100</v>
      </c>
      <c r="F113" s="304">
        <f t="shared" si="4"/>
        <v>0</v>
      </c>
    </row>
    <row r="114" spans="1:7" s="6" customFormat="1" ht="22.5">
      <c r="A114" s="30" t="s">
        <v>80</v>
      </c>
      <c r="B114" s="273" t="s">
        <v>81</v>
      </c>
      <c r="C114" s="382">
        <f>SUM(C115:C119)</f>
        <v>416422.12072000001</v>
      </c>
      <c r="D114" s="382">
        <f>D115+D116+D118+D119+D117</f>
        <v>294955.66486000002</v>
      </c>
      <c r="E114" s="303">
        <f t="shared" si="3"/>
        <v>70.830930967360075</v>
      </c>
      <c r="F114" s="303">
        <f t="shared" si="4"/>
        <v>-121466.45585999999</v>
      </c>
    </row>
    <row r="115" spans="1:7" ht="23.25">
      <c r="A115" s="35" t="s">
        <v>82</v>
      </c>
      <c r="B115" s="272" t="s">
        <v>258</v>
      </c>
      <c r="C115" s="383">
        <v>95178.456980000003</v>
      </c>
      <c r="D115" s="379">
        <v>67542.695879999999</v>
      </c>
      <c r="E115" s="304">
        <f t="shared" si="3"/>
        <v>70.964268620358965</v>
      </c>
      <c r="F115" s="304">
        <f t="shared" si="4"/>
        <v>-27635.761100000003</v>
      </c>
    </row>
    <row r="116" spans="1:7" ht="23.25">
      <c r="A116" s="35" t="s">
        <v>83</v>
      </c>
      <c r="B116" s="272" t="s">
        <v>259</v>
      </c>
      <c r="C116" s="383">
        <v>290554.51791</v>
      </c>
      <c r="D116" s="379">
        <v>204688.25102</v>
      </c>
      <c r="E116" s="304">
        <f t="shared" si="3"/>
        <v>70.447450789046997</v>
      </c>
      <c r="F116" s="304">
        <f t="shared" si="4"/>
        <v>-85866.266889999999</v>
      </c>
    </row>
    <row r="117" spans="1:7" ht="23.25">
      <c r="A117" s="35" t="s">
        <v>335</v>
      </c>
      <c r="B117" s="272" t="s">
        <v>336</v>
      </c>
      <c r="C117" s="383">
        <v>18536.2</v>
      </c>
      <c r="D117" s="379">
        <v>12113.087</v>
      </c>
      <c r="E117" s="304">
        <f t="shared" si="3"/>
        <v>65.348275266775275</v>
      </c>
      <c r="F117" s="304">
        <f t="shared" si="4"/>
        <v>-6423.1130000000012</v>
      </c>
    </row>
    <row r="118" spans="1:7" ht="23.25">
      <c r="A118" s="35" t="s">
        <v>84</v>
      </c>
      <c r="B118" s="272" t="s">
        <v>260</v>
      </c>
      <c r="C118" s="383">
        <v>5413.2978000000003</v>
      </c>
      <c r="D118" s="379">
        <v>4759.2239200000004</v>
      </c>
      <c r="E118" s="304">
        <f t="shared" si="3"/>
        <v>87.917275122015269</v>
      </c>
      <c r="F118" s="304">
        <f t="shared" si="4"/>
        <v>-654.07387999999992</v>
      </c>
    </row>
    <row r="119" spans="1:7" ht="23.25">
      <c r="A119" s="35" t="s">
        <v>85</v>
      </c>
      <c r="B119" s="272" t="s">
        <v>261</v>
      </c>
      <c r="C119" s="383">
        <v>6739.6480300000003</v>
      </c>
      <c r="D119" s="379">
        <v>5852.4070400000001</v>
      </c>
      <c r="E119" s="304">
        <f t="shared" si="3"/>
        <v>86.83549962771572</v>
      </c>
      <c r="F119" s="304">
        <f t="shared" si="4"/>
        <v>-887.24099000000024</v>
      </c>
    </row>
    <row r="120" spans="1:7" s="6" customFormat="1" ht="22.5">
      <c r="A120" s="30" t="s">
        <v>86</v>
      </c>
      <c r="B120" s="266" t="s">
        <v>87</v>
      </c>
      <c r="C120" s="298">
        <f>SUM(C121:C122)</f>
        <v>49256.203419999998</v>
      </c>
      <c r="D120" s="298">
        <f>SUM(D121:D122)</f>
        <v>32637.976790000001</v>
      </c>
      <c r="E120" s="303">
        <f t="shared" si="3"/>
        <v>66.261657464139162</v>
      </c>
      <c r="F120" s="303">
        <f t="shared" si="4"/>
        <v>-16618.226629999997</v>
      </c>
    </row>
    <row r="121" spans="1:7" ht="23.25">
      <c r="A121" s="35" t="s">
        <v>88</v>
      </c>
      <c r="B121" s="268" t="s">
        <v>234</v>
      </c>
      <c r="C121" s="379">
        <v>48176.203419999998</v>
      </c>
      <c r="D121" s="379">
        <v>31871.95335</v>
      </c>
      <c r="E121" s="304">
        <f t="shared" si="3"/>
        <v>66.157046606890972</v>
      </c>
      <c r="F121" s="304">
        <f t="shared" si="4"/>
        <v>-16304.250069999998</v>
      </c>
    </row>
    <row r="122" spans="1:7" ht="38.25">
      <c r="A122" s="35" t="s">
        <v>273</v>
      </c>
      <c r="B122" s="268" t="s">
        <v>274</v>
      </c>
      <c r="C122" s="379">
        <v>1080</v>
      </c>
      <c r="D122" s="379">
        <v>766.02344000000005</v>
      </c>
      <c r="E122" s="304">
        <f t="shared" si="3"/>
        <v>70.928096296296303</v>
      </c>
      <c r="F122" s="304">
        <f t="shared" si="4"/>
        <v>-313.97655999999995</v>
      </c>
    </row>
    <row r="123" spans="1:7" s="6" customFormat="1" ht="22.5">
      <c r="A123" s="52">
        <v>1000</v>
      </c>
      <c r="B123" s="266" t="s">
        <v>89</v>
      </c>
      <c r="C123" s="298">
        <f>SUM(C124:C127)</f>
        <v>31654.602459999998</v>
      </c>
      <c r="D123" s="384">
        <f>D124+D125+D126+D127</f>
        <v>11356.99286</v>
      </c>
      <c r="E123" s="303">
        <f t="shared" si="3"/>
        <v>35.877856543455707</v>
      </c>
      <c r="F123" s="303">
        <f t="shared" si="4"/>
        <v>-20297.609599999996</v>
      </c>
      <c r="G123" s="94"/>
    </row>
    <row r="124" spans="1:7" ht="23.25">
      <c r="A124" s="53">
        <v>1001</v>
      </c>
      <c r="B124" s="274" t="s">
        <v>90</v>
      </c>
      <c r="C124" s="379">
        <v>49.686999999999998</v>
      </c>
      <c r="D124" s="379">
        <v>29.863150000000001</v>
      </c>
      <c r="E124" s="304">
        <f t="shared" si="3"/>
        <v>60.102541912371457</v>
      </c>
      <c r="F124" s="304">
        <f t="shared" si="4"/>
        <v>-19.823849999999997</v>
      </c>
    </row>
    <row r="125" spans="1:7" ht="23.25">
      <c r="A125" s="53">
        <v>1003</v>
      </c>
      <c r="B125" s="274" t="s">
        <v>91</v>
      </c>
      <c r="C125" s="379">
        <v>26410.543389999999</v>
      </c>
      <c r="D125" s="379">
        <v>9785.5276200000008</v>
      </c>
      <c r="E125" s="304">
        <f t="shared" si="3"/>
        <v>37.051595173559207</v>
      </c>
      <c r="F125" s="304">
        <f t="shared" si="4"/>
        <v>-16625.015769999998</v>
      </c>
    </row>
    <row r="126" spans="1:7" ht="23.25">
      <c r="A126" s="53">
        <v>1004</v>
      </c>
      <c r="B126" s="274" t="s">
        <v>92</v>
      </c>
      <c r="C126" s="379">
        <v>4817.8770699999995</v>
      </c>
      <c r="D126" s="385">
        <v>1458.0827999999999</v>
      </c>
      <c r="E126" s="304">
        <f t="shared" si="3"/>
        <v>30.264010036271017</v>
      </c>
      <c r="F126" s="304">
        <f t="shared" si="4"/>
        <v>-3359.7942699999994</v>
      </c>
    </row>
    <row r="127" spans="1:7" ht="24.75" customHeight="1">
      <c r="A127" s="35" t="s">
        <v>93</v>
      </c>
      <c r="B127" s="268" t="s">
        <v>94</v>
      </c>
      <c r="C127" s="379">
        <v>376.495</v>
      </c>
      <c r="D127" s="379">
        <v>83.519289999999998</v>
      </c>
      <c r="E127" s="304">
        <f t="shared" si="3"/>
        <v>22.18337295316007</v>
      </c>
      <c r="F127" s="304">
        <f t="shared" si="4"/>
        <v>-292.97570999999999</v>
      </c>
    </row>
    <row r="128" spans="1:7" ht="23.25">
      <c r="A128" s="30" t="s">
        <v>95</v>
      </c>
      <c r="B128" s="266" t="s">
        <v>96</v>
      </c>
      <c r="C128" s="298">
        <f>C129+C130</f>
        <v>5673.5628100000004</v>
      </c>
      <c r="D128" s="298">
        <f>D129+D130</f>
        <v>4494.9304000000002</v>
      </c>
      <c r="E128" s="304">
        <f t="shared" si="3"/>
        <v>79.225885929691515</v>
      </c>
      <c r="F128" s="298">
        <f>F129+F130+F131+F132+F133</f>
        <v>-1178.6324100000002</v>
      </c>
    </row>
    <row r="129" spans="1:7" ht="23.25">
      <c r="A129" s="35" t="s">
        <v>97</v>
      </c>
      <c r="B129" s="268" t="s">
        <v>98</v>
      </c>
      <c r="C129" s="379">
        <v>400</v>
      </c>
      <c r="D129" s="379">
        <v>265.8494</v>
      </c>
      <c r="E129" s="304">
        <f t="shared" si="3"/>
        <v>66.462350000000001</v>
      </c>
      <c r="F129" s="304">
        <f t="shared" ref="F129:F137" si="5">SUM(D129-C129)</f>
        <v>-134.1506</v>
      </c>
    </row>
    <row r="130" spans="1:7" ht="20.25" customHeight="1">
      <c r="A130" s="35" t="s">
        <v>99</v>
      </c>
      <c r="B130" s="268" t="s">
        <v>100</v>
      </c>
      <c r="C130" s="379">
        <v>5273.5628100000004</v>
      </c>
      <c r="D130" s="379">
        <v>4229.0810000000001</v>
      </c>
      <c r="E130" s="304">
        <f t="shared" si="3"/>
        <v>80.194000761318321</v>
      </c>
      <c r="F130" s="304">
        <f t="shared" si="5"/>
        <v>-1044.4818100000002</v>
      </c>
    </row>
    <row r="131" spans="1:7" ht="15.75" hidden="1" customHeight="1">
      <c r="A131" s="35" t="s">
        <v>101</v>
      </c>
      <c r="B131" s="268" t="s">
        <v>102</v>
      </c>
      <c r="C131" s="379">
        <f>SUM(C121:C122)</f>
        <v>49256.203419999998</v>
      </c>
      <c r="D131" s="379"/>
      <c r="E131" s="304">
        <f t="shared" si="3"/>
        <v>0</v>
      </c>
      <c r="F131" s="304"/>
    </row>
    <row r="132" spans="1:7" ht="15.75" hidden="1" customHeight="1">
      <c r="A132" s="35" t="s">
        <v>103</v>
      </c>
      <c r="B132" s="268" t="s">
        <v>104</v>
      </c>
      <c r="C132" s="379"/>
      <c r="D132" s="379"/>
      <c r="E132" s="304" t="e">
        <f t="shared" si="3"/>
        <v>#DIV/0!</v>
      </c>
      <c r="F132" s="304"/>
    </row>
    <row r="133" spans="1:7" ht="15.75" hidden="1" customHeight="1">
      <c r="A133" s="35" t="s">
        <v>105</v>
      </c>
      <c r="B133" s="268" t="s">
        <v>106</v>
      </c>
      <c r="C133" s="379"/>
      <c r="D133" s="379"/>
      <c r="E133" s="304" t="e">
        <f t="shared" si="3"/>
        <v>#DIV/0!</v>
      </c>
      <c r="F133" s="304"/>
    </row>
    <row r="134" spans="1:7" ht="20.25" customHeight="1">
      <c r="A134" s="30" t="s">
        <v>107</v>
      </c>
      <c r="B134" s="266" t="s">
        <v>108</v>
      </c>
      <c r="C134" s="298">
        <f>C135</f>
        <v>80</v>
      </c>
      <c r="D134" s="386">
        <f>D135</f>
        <v>0.65</v>
      </c>
      <c r="E134" s="304">
        <f>SUM(D134/C134*100)</f>
        <v>0.8125</v>
      </c>
      <c r="F134" s="304">
        <f t="shared" si="5"/>
        <v>-79.349999999999994</v>
      </c>
    </row>
    <row r="135" spans="1:7" ht="22.5" customHeight="1">
      <c r="A135" s="35" t="s">
        <v>109</v>
      </c>
      <c r="B135" s="268" t="s">
        <v>110</v>
      </c>
      <c r="C135" s="379">
        <v>80</v>
      </c>
      <c r="D135" s="379">
        <v>0.65</v>
      </c>
      <c r="E135" s="304">
        <f t="shared" si="3"/>
        <v>0.8125</v>
      </c>
      <c r="F135" s="304">
        <f t="shared" si="5"/>
        <v>-79.349999999999994</v>
      </c>
    </row>
    <row r="136" spans="1:7" ht="19.5" customHeight="1">
      <c r="A136" s="30" t="s">
        <v>111</v>
      </c>
      <c r="B136" s="269" t="s">
        <v>112</v>
      </c>
      <c r="C136" s="387">
        <f>C137</f>
        <v>0</v>
      </c>
      <c r="D136" s="387">
        <v>0</v>
      </c>
      <c r="E136" s="304" t="e">
        <f t="shared" si="3"/>
        <v>#DIV/0!</v>
      </c>
      <c r="F136" s="303">
        <f t="shared" si="5"/>
        <v>0</v>
      </c>
    </row>
    <row r="137" spans="1:7" ht="37.5" customHeight="1">
      <c r="A137" s="35" t="s">
        <v>113</v>
      </c>
      <c r="B137" s="270" t="s">
        <v>114</v>
      </c>
      <c r="C137" s="380">
        <v>0</v>
      </c>
      <c r="D137" s="380">
        <v>0</v>
      </c>
      <c r="E137" s="303"/>
      <c r="F137" s="304">
        <f t="shared" si="5"/>
        <v>0</v>
      </c>
    </row>
    <row r="138" spans="1:7" s="6" customFormat="1" ht="19.5" customHeight="1">
      <c r="A138" s="52">
        <v>1400</v>
      </c>
      <c r="B138" s="275" t="s">
        <v>115</v>
      </c>
      <c r="C138" s="382">
        <f>C139+C140+C141</f>
        <v>36131.277990000002</v>
      </c>
      <c r="D138" s="382">
        <f>D139+D140+D141</f>
        <v>26069.601999999999</v>
      </c>
      <c r="E138" s="303">
        <f t="shared" si="3"/>
        <v>72.152449208177032</v>
      </c>
      <c r="F138" s="303">
        <f t="shared" si="4"/>
        <v>-10061.675990000003</v>
      </c>
    </row>
    <row r="139" spans="1:7" ht="40.5" customHeight="1">
      <c r="A139" s="53">
        <v>1401</v>
      </c>
      <c r="B139" s="274" t="s">
        <v>116</v>
      </c>
      <c r="C139" s="383">
        <v>28169.9</v>
      </c>
      <c r="D139" s="379">
        <v>22961.200000000001</v>
      </c>
      <c r="E139" s="304">
        <f t="shared" si="3"/>
        <v>81.509696520044443</v>
      </c>
      <c r="F139" s="304">
        <f t="shared" si="4"/>
        <v>-5208.7000000000007</v>
      </c>
    </row>
    <row r="140" spans="1:7" ht="24.75" customHeight="1">
      <c r="A140" s="53">
        <v>1402</v>
      </c>
      <c r="B140" s="274" t="s">
        <v>117</v>
      </c>
      <c r="C140" s="383">
        <v>6334.8720999999996</v>
      </c>
      <c r="D140" s="379">
        <v>2492</v>
      </c>
      <c r="E140" s="304">
        <f t="shared" si="3"/>
        <v>39.337810782320297</v>
      </c>
      <c r="F140" s="304">
        <f t="shared" si="4"/>
        <v>-3842.8720999999996</v>
      </c>
    </row>
    <row r="141" spans="1:7" ht="27" customHeight="1">
      <c r="A141" s="53">
        <v>1403</v>
      </c>
      <c r="B141" s="274" t="s">
        <v>118</v>
      </c>
      <c r="C141" s="383">
        <v>1626.5058899999999</v>
      </c>
      <c r="D141" s="379">
        <v>616.40200000000004</v>
      </c>
      <c r="E141" s="304">
        <f t="shared" si="3"/>
        <v>37.897311272570924</v>
      </c>
      <c r="F141" s="304">
        <f t="shared" si="4"/>
        <v>-1010.1038899999999</v>
      </c>
    </row>
    <row r="142" spans="1:7" s="6" customFormat="1" ht="22.5">
      <c r="A142" s="52"/>
      <c r="B142" s="276" t="s">
        <v>119</v>
      </c>
      <c r="C142" s="375">
        <f>C87+C95+C97+C103+C108+C112+C114+C120+C123+C128+C134+C136+C138</f>
        <v>760936.92816000001</v>
      </c>
      <c r="D142" s="375">
        <f>D87+D95+D97+D103+D108+D112+D114+D120+D123+D128+D134+D136+D138</f>
        <v>523353.77125000005</v>
      </c>
      <c r="E142" s="303">
        <f t="shared" si="3"/>
        <v>68.777549345056357</v>
      </c>
      <c r="F142" s="303">
        <f t="shared" si="4"/>
        <v>-237583.15690999996</v>
      </c>
      <c r="G142" s="94"/>
    </row>
    <row r="143" spans="1:7">
      <c r="C143" s="388"/>
      <c r="D143" s="389"/>
    </row>
    <row r="144" spans="1:7" s="65" customFormat="1" ht="12.75">
      <c r="A144" s="63" t="s">
        <v>120</v>
      </c>
      <c r="B144" s="63"/>
      <c r="C144" s="134"/>
      <c r="D144" s="134"/>
    </row>
    <row r="145" spans="1:4" s="65" customFormat="1" ht="12.75">
      <c r="A145" s="66" t="s">
        <v>121</v>
      </c>
      <c r="B145" s="66"/>
      <c r="C145" s="134" t="s">
        <v>122</v>
      </c>
      <c r="D145" s="134"/>
    </row>
  </sheetData>
  <customSheetViews>
    <customSheetView guid="{E271257C-1B5C-4EEE-899F-E7A422E6A72D}" scale="67" showPageBreaks="1" hiddenRows="1" view="pageBreakPreview" topLeftCell="A70">
      <selection activeCell="C103" sqref="C10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B30CE22D-C12F-4E12-8BB9-3AAE0A6991CC}" scale="60" showPageBreaks="1" hiddenRows="1" view="pageBreakPreview">
      <selection activeCell="A3" sqref="A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2"/>
      <headerFooter alignWithMargins="0"/>
    </customSheetView>
    <customSheetView guid="{A54C432C-6C68-4B53-A75C-446EB3A61B2B}" scale="60" showPageBreaks="1" hiddenRows="1" view="pageBreakPreview" topLeftCell="A103">
      <selection activeCell="C71" sqref="C71:D72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4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5BFCA170-DEAE-4D2C-98A0-1E68B427AC01}" scale="67" showPageBreaks="1" hiddenRows="1" view="pageBreakPreview" topLeftCell="A82">
      <selection activeCell="C103" sqref="C10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7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00" t="s">
        <v>416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546.89</v>
      </c>
      <c r="D4" s="5">
        <f>D5+D12+D14+D17+D20+D7</f>
        <v>353.48461999999995</v>
      </c>
      <c r="E4" s="5">
        <f>SUM(D4/C4*100)</f>
        <v>64.635414800051194</v>
      </c>
      <c r="F4" s="5">
        <f>SUM(D4-C4)</f>
        <v>-193.40538000000004</v>
      </c>
    </row>
    <row r="5" spans="1:6" s="6" customFormat="1">
      <c r="A5" s="68">
        <v>1010000000</v>
      </c>
      <c r="B5" s="67" t="s">
        <v>6</v>
      </c>
      <c r="C5" s="5">
        <f>C6</f>
        <v>69</v>
      </c>
      <c r="D5" s="5">
        <f>D6</f>
        <v>45.415849999999999</v>
      </c>
      <c r="E5" s="5">
        <f t="shared" ref="E5:E47" si="0">SUM(D5/C5*100)</f>
        <v>65.820072463768113</v>
      </c>
      <c r="F5" s="5">
        <f t="shared" ref="F5:F47" si="1">SUM(D5-C5)</f>
        <v>-23.584150000000001</v>
      </c>
    </row>
    <row r="6" spans="1:6">
      <c r="A6" s="7">
        <v>1010200001</v>
      </c>
      <c r="B6" s="8" t="s">
        <v>229</v>
      </c>
      <c r="C6" s="9">
        <v>69</v>
      </c>
      <c r="D6" s="10">
        <v>45.415849999999999</v>
      </c>
      <c r="E6" s="9">
        <f t="shared" ref="E6:E11" si="2">SUM(D6/C6*100)</f>
        <v>65.820072463768113</v>
      </c>
      <c r="F6" s="9">
        <f t="shared" si="1"/>
        <v>-23.584150000000001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171.26353999999998</v>
      </c>
      <c r="E7" s="9">
        <f t="shared" si="2"/>
        <v>77.886006639683472</v>
      </c>
      <c r="F7" s="9">
        <f t="shared" si="1"/>
        <v>-48.626460000000009</v>
      </c>
    </row>
    <row r="8" spans="1:6">
      <c r="A8" s="7">
        <v>1030223001</v>
      </c>
      <c r="B8" s="8" t="s">
        <v>283</v>
      </c>
      <c r="C8" s="9">
        <v>82.02</v>
      </c>
      <c r="D8" s="10">
        <v>74.581869999999995</v>
      </c>
      <c r="E8" s="9">
        <f t="shared" si="2"/>
        <v>90.931321628871004</v>
      </c>
      <c r="F8" s="9">
        <f t="shared" si="1"/>
        <v>-7.438130000000001</v>
      </c>
    </row>
    <row r="9" spans="1:6">
      <c r="A9" s="7">
        <v>1030224001</v>
      </c>
      <c r="B9" s="8" t="s">
        <v>287</v>
      </c>
      <c r="C9" s="9">
        <v>0.88</v>
      </c>
      <c r="D9" s="10">
        <v>0.67647000000000002</v>
      </c>
      <c r="E9" s="9">
        <f t="shared" si="2"/>
        <v>76.871590909090912</v>
      </c>
      <c r="F9" s="9">
        <f t="shared" si="1"/>
        <v>-0.20352999999999999</v>
      </c>
    </row>
    <row r="10" spans="1:6">
      <c r="A10" s="7">
        <v>1030225001</v>
      </c>
      <c r="B10" s="8" t="s">
        <v>282</v>
      </c>
      <c r="C10" s="9">
        <v>136.99</v>
      </c>
      <c r="D10" s="10">
        <v>112.71125000000001</v>
      </c>
      <c r="E10" s="9">
        <f t="shared" si="2"/>
        <v>82.276991021242424</v>
      </c>
      <c r="F10" s="9">
        <f t="shared" si="1"/>
        <v>-24.278750000000002</v>
      </c>
    </row>
    <row r="11" spans="1:6">
      <c r="A11" s="7">
        <v>1030226001</v>
      </c>
      <c r="B11" s="8" t="s">
        <v>288</v>
      </c>
      <c r="C11" s="9">
        <v>0</v>
      </c>
      <c r="D11" s="10">
        <v>-16.706050000000001</v>
      </c>
      <c r="E11" s="9" t="e">
        <f t="shared" si="2"/>
        <v>#DIV/0!</v>
      </c>
      <c r="F11" s="9">
        <f t="shared" si="1"/>
        <v>-16.706050000000001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132.60523000000001</v>
      </c>
      <c r="E14" s="5">
        <f t="shared" si="0"/>
        <v>53.042092000000011</v>
      </c>
      <c r="F14" s="5">
        <f t="shared" si="1"/>
        <v>-117.39476999999999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18.645530000000001</v>
      </c>
      <c r="E15" s="9">
        <f t="shared" si="0"/>
        <v>46.613825000000006</v>
      </c>
      <c r="F15" s="9">
        <f>SUM(D15-C15)</f>
        <v>-21.354469999999999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113.9597</v>
      </c>
      <c r="E16" s="9">
        <f t="shared" si="0"/>
        <v>54.266523809523804</v>
      </c>
      <c r="F16" s="9">
        <f t="shared" si="1"/>
        <v>-96.040300000000002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4.2</v>
      </c>
      <c r="E17" s="9">
        <f t="shared" si="0"/>
        <v>140</v>
      </c>
      <c r="F17" s="5">
        <f t="shared" si="1"/>
        <v>1.2000000000000002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4.2</v>
      </c>
      <c r="E18" s="9">
        <f t="shared" si="0"/>
        <v>140</v>
      </c>
      <c r="F18" s="9">
        <f t="shared" si="1"/>
        <v>1.2000000000000002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0</v>
      </c>
      <c r="E25" s="5">
        <f t="shared" si="0"/>
        <v>0</v>
      </c>
      <c r="F25" s="5">
        <f t="shared" si="1"/>
        <v>-56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99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602.89</v>
      </c>
      <c r="D37" s="127">
        <f>SUM(D4,D25)</f>
        <v>353.48461999999995</v>
      </c>
      <c r="E37" s="5">
        <f t="shared" si="0"/>
        <v>58.631694007198654</v>
      </c>
      <c r="F37" s="5">
        <f t="shared" si="1"/>
        <v>-249.40538000000004</v>
      </c>
    </row>
    <row r="38" spans="1:11" s="6" customFormat="1">
      <c r="A38" s="3">
        <v>2000000000</v>
      </c>
      <c r="B38" s="4" t="s">
        <v>20</v>
      </c>
      <c r="C38" s="281">
        <f>C39+C40+C41+C42+C43+C44</f>
        <v>2882.2220000000002</v>
      </c>
      <c r="D38" s="281">
        <f>D39+D40+D41+D42+D43+D45</f>
        <v>2205.4764100000002</v>
      </c>
      <c r="E38" s="5">
        <f t="shared" si="0"/>
        <v>76.520004704703524</v>
      </c>
      <c r="F38" s="5">
        <f t="shared" si="1"/>
        <v>-676.74558999999999</v>
      </c>
      <c r="G38" s="19"/>
    </row>
    <row r="39" spans="1:11">
      <c r="A39" s="16">
        <v>2021000000</v>
      </c>
      <c r="B39" s="17" t="s">
        <v>21</v>
      </c>
      <c r="C39" s="336">
        <v>1200.0540000000001</v>
      </c>
      <c r="D39" s="20">
        <v>941.66800000000001</v>
      </c>
      <c r="E39" s="9">
        <f t="shared" si="0"/>
        <v>78.468802237232651</v>
      </c>
      <c r="F39" s="9">
        <f t="shared" si="1"/>
        <v>-258.38600000000008</v>
      </c>
    </row>
    <row r="40" spans="1:11">
      <c r="A40" s="16">
        <v>2021500200</v>
      </c>
      <c r="B40" s="17" t="s">
        <v>232</v>
      </c>
      <c r="C40" s="333">
        <v>816.60500000000002</v>
      </c>
      <c r="D40" s="20">
        <v>630</v>
      </c>
      <c r="E40" s="9">
        <f>SUM(D40/C40*100)</f>
        <v>77.148682655629102</v>
      </c>
      <c r="F40" s="9">
        <f>SUM(D40-C40)</f>
        <v>-186.60500000000002</v>
      </c>
    </row>
    <row r="41" spans="1:11">
      <c r="A41" s="16">
        <v>2022000000</v>
      </c>
      <c r="B41" s="17" t="s">
        <v>22</v>
      </c>
      <c r="C41" s="333">
        <v>652.58699999999999</v>
      </c>
      <c r="D41" s="10">
        <v>432.38</v>
      </c>
      <c r="E41" s="9">
        <f t="shared" si="0"/>
        <v>66.256299926293352</v>
      </c>
      <c r="F41" s="9">
        <f t="shared" si="1"/>
        <v>-220.20699999999999</v>
      </c>
    </row>
    <row r="42" spans="1:11" ht="19.5" customHeight="1">
      <c r="A42" s="16">
        <v>2023000000</v>
      </c>
      <c r="B42" s="17" t="s">
        <v>23</v>
      </c>
      <c r="C42" s="333">
        <v>72.975999999999999</v>
      </c>
      <c r="D42" s="252">
        <v>70.596000000000004</v>
      </c>
      <c r="E42" s="9">
        <f t="shared" si="0"/>
        <v>96.73865380399036</v>
      </c>
      <c r="F42" s="9">
        <f t="shared" si="1"/>
        <v>-2.3799999999999955</v>
      </c>
    </row>
    <row r="43" spans="1:11">
      <c r="A43" s="7">
        <v>2070500010</v>
      </c>
      <c r="B43" s="17" t="s">
        <v>359</v>
      </c>
      <c r="C43" s="333">
        <v>140</v>
      </c>
      <c r="D43" s="253">
        <v>133</v>
      </c>
      <c r="E43" s="9">
        <f t="shared" si="0"/>
        <v>95</v>
      </c>
      <c r="F43" s="9">
        <f t="shared" si="1"/>
        <v>-7</v>
      </c>
    </row>
    <row r="44" spans="1:11" ht="15.75" hidden="1" customHeight="1">
      <c r="A44" s="16">
        <v>2022999910</v>
      </c>
      <c r="B44" s="18" t="s">
        <v>352</v>
      </c>
      <c r="C44" s="333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2">
        <v>0</v>
      </c>
      <c r="D45" s="330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3">
        <v>0</v>
      </c>
      <c r="D46" s="344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415">
        <f>C37+C38</f>
        <v>3485.1120000000001</v>
      </c>
      <c r="D47" s="416">
        <f>D37+D38</f>
        <v>2558.9610300000004</v>
      </c>
      <c r="E47" s="5">
        <f t="shared" si="0"/>
        <v>73.425503398456073</v>
      </c>
      <c r="F47" s="5">
        <f t="shared" si="1"/>
        <v>-926.15096999999969</v>
      </c>
      <c r="G47" s="295"/>
      <c r="H47" s="295"/>
      <c r="K47" s="130"/>
    </row>
    <row r="48" spans="1:11" s="6" customFormat="1">
      <c r="A48" s="3"/>
      <c r="B48" s="21" t="s">
        <v>322</v>
      </c>
      <c r="C48" s="415">
        <f>C47-C93</f>
        <v>-23.635540000000219</v>
      </c>
      <c r="D48" s="415">
        <f>D47-D93</f>
        <v>77.056430000000546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413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32">
        <f>C54+C57+C58+C59</f>
        <v>1072.2360000000001</v>
      </c>
      <c r="D52" s="32">
        <f>D54+D57+D58+D59</f>
        <v>749.68755999999996</v>
      </c>
      <c r="E52" s="34">
        <f>SUM(D52/C52*100)</f>
        <v>69.918148616535902</v>
      </c>
      <c r="F52" s="34">
        <f>SUM(D52-C52)</f>
        <v>-322.54844000000014</v>
      </c>
    </row>
    <row r="53" spans="1:6" s="6" customFormat="1" ht="31.5" hidden="1">
      <c r="A53" s="35" t="s">
        <v>32</v>
      </c>
      <c r="B53" s="36" t="s">
        <v>33</v>
      </c>
      <c r="C53" s="37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37">
        <v>1064.854</v>
      </c>
      <c r="D54" s="37">
        <v>747.30606</v>
      </c>
      <c r="E54" s="38">
        <f>SUM(D54/C54*100)</f>
        <v>70.179203909643945</v>
      </c>
      <c r="F54" s="38">
        <f t="shared" ref="F54:F93" si="3">SUM(D54-C54)</f>
        <v>-317.54794000000004</v>
      </c>
    </row>
    <row r="55" spans="1:6" ht="0.75" hidden="1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2.3820000000000001</v>
      </c>
      <c r="D59" s="37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61.058500000000002</v>
      </c>
      <c r="E60" s="34">
        <f t="shared" si="4"/>
        <v>86.490027763612659</v>
      </c>
      <c r="F60" s="34">
        <f t="shared" si="3"/>
        <v>-9.5375000000000014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61.058500000000002</v>
      </c>
      <c r="E61" s="38">
        <f t="shared" si="4"/>
        <v>86.490027763612659</v>
      </c>
      <c r="F61" s="38">
        <f t="shared" si="3"/>
        <v>-9.5375000000000014</v>
      </c>
    </row>
    <row r="62" spans="1:6" s="6" customFormat="1" ht="16.5" customHeight="1">
      <c r="A62" s="30" t="s">
        <v>50</v>
      </c>
      <c r="B62" s="31" t="s">
        <v>51</v>
      </c>
      <c r="C62" s="32">
        <f>C65+C66</f>
        <v>12.778</v>
      </c>
      <c r="D62" s="32">
        <f>D65+D66</f>
        <v>2.80287</v>
      </c>
      <c r="E62" s="34">
        <f t="shared" si="4"/>
        <v>21.93512286742839</v>
      </c>
      <c r="F62" s="34">
        <f t="shared" si="3"/>
        <v>-9.9751300000000001</v>
      </c>
    </row>
    <row r="63" spans="1:6" ht="13.5" hidden="1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2.9</v>
      </c>
      <c r="D65" s="37">
        <v>2.80287</v>
      </c>
      <c r="E65" s="34">
        <f t="shared" si="4"/>
        <v>96.650689655172414</v>
      </c>
      <c r="F65" s="34">
        <f t="shared" si="3"/>
        <v>-9.7129999999999939E-2</v>
      </c>
    </row>
    <row r="66" spans="1:7" ht="15.75" customHeight="1">
      <c r="A66" s="46" t="s">
        <v>219</v>
      </c>
      <c r="B66" s="47" t="s">
        <v>220</v>
      </c>
      <c r="C66" s="37">
        <v>9.8780000000000001</v>
      </c>
      <c r="D66" s="37">
        <v>0</v>
      </c>
      <c r="E66" s="38">
        <f t="shared" si="4"/>
        <v>0</v>
      </c>
      <c r="F66" s="38">
        <f t="shared" si="3"/>
        <v>-9.8780000000000001</v>
      </c>
    </row>
    <row r="67" spans="1:7" s="6" customFormat="1">
      <c r="A67" s="30" t="s">
        <v>58</v>
      </c>
      <c r="B67" s="31" t="s">
        <v>59</v>
      </c>
      <c r="C67" s="48">
        <f>C70+C71+C68+C69</f>
        <v>1154.5965400000002</v>
      </c>
      <c r="D67" s="48">
        <f>D70+D71+D68</f>
        <v>720.63467000000003</v>
      </c>
      <c r="E67" s="34">
        <f t="shared" si="4"/>
        <v>62.414414475899946</v>
      </c>
      <c r="F67" s="34">
        <f t="shared" si="3"/>
        <v>-433.9618700000002</v>
      </c>
    </row>
    <row r="68" spans="1:7" ht="16.5" customHeight="1">
      <c r="A68" s="35" t="s">
        <v>60</v>
      </c>
      <c r="B68" s="39" t="s">
        <v>61</v>
      </c>
      <c r="C68" s="49">
        <v>5</v>
      </c>
      <c r="D68" s="37">
        <v>0</v>
      </c>
      <c r="E68" s="38">
        <f t="shared" si="4"/>
        <v>0</v>
      </c>
      <c r="F68" s="38">
        <f t="shared" si="3"/>
        <v>-5</v>
      </c>
    </row>
    <row r="69" spans="1:7" s="6" customFormat="1">
      <c r="A69" s="35" t="s">
        <v>62</v>
      </c>
      <c r="B69" s="39" t="s">
        <v>63</v>
      </c>
      <c r="C69" s="49">
        <v>66.227000000000004</v>
      </c>
      <c r="D69" s="37">
        <v>0</v>
      </c>
      <c r="E69" s="38">
        <f t="shared" si="4"/>
        <v>0</v>
      </c>
      <c r="F69" s="38">
        <f t="shared" si="3"/>
        <v>-66.227000000000004</v>
      </c>
      <c r="G69" s="50"/>
    </row>
    <row r="70" spans="1:7" ht="15.75" customHeight="1">
      <c r="A70" s="35" t="s">
        <v>64</v>
      </c>
      <c r="B70" s="39" t="s">
        <v>65</v>
      </c>
      <c r="C70" s="49">
        <v>1063.41254</v>
      </c>
      <c r="D70" s="37">
        <v>720.63467000000003</v>
      </c>
      <c r="E70" s="38">
        <f t="shared" si="4"/>
        <v>67.76623773874249</v>
      </c>
      <c r="F70" s="38">
        <f t="shared" si="3"/>
        <v>-342.77787000000001</v>
      </c>
    </row>
    <row r="71" spans="1:7">
      <c r="A71" s="35" t="s">
        <v>66</v>
      </c>
      <c r="B71" s="39" t="s">
        <v>67</v>
      </c>
      <c r="C71" s="49">
        <v>19.957000000000001</v>
      </c>
      <c r="D71" s="37">
        <v>0</v>
      </c>
      <c r="E71" s="38">
        <f t="shared" si="4"/>
        <v>0</v>
      </c>
      <c r="F71" s="38">
        <f t="shared" si="3"/>
        <v>-19.957000000000001</v>
      </c>
    </row>
    <row r="72" spans="1:7" s="6" customFormat="1" ht="18" customHeight="1">
      <c r="A72" s="30" t="s">
        <v>68</v>
      </c>
      <c r="B72" s="31" t="s">
        <v>69</v>
      </c>
      <c r="C72" s="32">
        <f>C75</f>
        <v>328.041</v>
      </c>
      <c r="D72" s="32">
        <f>D75</f>
        <v>194.38499999999999</v>
      </c>
      <c r="E72" s="34">
        <f t="shared" si="4"/>
        <v>59.256312473135978</v>
      </c>
      <c r="F72" s="34">
        <f t="shared" si="3"/>
        <v>-133.65600000000001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328.041</v>
      </c>
      <c r="D75" s="37">
        <v>194.38499999999999</v>
      </c>
      <c r="E75" s="38">
        <f t="shared" si="4"/>
        <v>59.256312473135978</v>
      </c>
      <c r="F75" s="38">
        <f t="shared" si="3"/>
        <v>-133.65600000000001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749.48599999999999</v>
      </c>
      <c r="E76" s="34">
        <f t="shared" si="4"/>
        <v>86.595725014442522</v>
      </c>
      <c r="F76" s="34">
        <f t="shared" si="3"/>
        <v>-116.01400000000001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749.48599999999999</v>
      </c>
      <c r="E77" s="38">
        <f t="shared" si="4"/>
        <v>86.595725014442522</v>
      </c>
      <c r="F77" s="38">
        <f t="shared" si="3"/>
        <v>-116.01400000000001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 hidden="1">
      <c r="A83" s="30" t="s">
        <v>95</v>
      </c>
      <c r="B83" s="31" t="s">
        <v>96</v>
      </c>
      <c r="C83" s="32">
        <f>C84</f>
        <v>5</v>
      </c>
      <c r="D83" s="32">
        <f>D84</f>
        <v>3.85</v>
      </c>
      <c r="E83" s="38">
        <f t="shared" si="4"/>
        <v>77</v>
      </c>
      <c r="F83" s="22">
        <f>F84+F85+F86+F87+F88</f>
        <v>-1.1499999999999999</v>
      </c>
    </row>
    <row r="84" spans="1:7" ht="17.25" hidden="1" customHeight="1">
      <c r="A84" s="35" t="s">
        <v>97</v>
      </c>
      <c r="B84" s="39" t="s">
        <v>98</v>
      </c>
      <c r="C84" s="37">
        <v>5</v>
      </c>
      <c r="D84" s="37">
        <v>3.85</v>
      </c>
      <c r="E84" s="38">
        <v>0</v>
      </c>
      <c r="F84" s="38">
        <f>SUM(D84-C84)</f>
        <v>-1.1499999999999999</v>
      </c>
    </row>
    <row r="85" spans="1:7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t="31.5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417">
        <f>C52+C60+C62+C67+C72+C76+C83</f>
        <v>3508.7475400000003</v>
      </c>
      <c r="D93" s="417">
        <f>D52+D60+D62+D67+D72+D76+D78+D83+D89</f>
        <v>2481.9045999999998</v>
      </c>
      <c r="E93" s="128">
        <f t="shared" si="4"/>
        <v>70.734772784479091</v>
      </c>
      <c r="F93" s="34">
        <f t="shared" si="3"/>
        <v>-1026.8429400000005</v>
      </c>
      <c r="G93" s="295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50"/>
      <c r="D95" s="250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E271257C-1B5C-4EEE-899F-E7A422E6A72D}" hiddenRows="1">
      <selection activeCell="B100" sqref="B100"/>
      <pageMargins left="0.75" right="0.75" top="0.18" bottom="0.17" header="0.5" footer="0.25"/>
      <pageSetup paperSize="9" scale="63" orientation="portrait" r:id="rId1"/>
      <headerFooter alignWithMargins="0"/>
    </customSheetView>
    <customSheetView guid="{B30CE22D-C12F-4E12-8BB9-3AAE0A6991CC}" scale="70" showPageBreaks="1" hiddenRows="1" view="pageBreakPreview" topLeftCell="A25">
      <selection activeCell="D62" sqref="D62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A54C432C-6C68-4B53-A75C-446EB3A61B2B}" scale="70" showPageBreaks="1" hiddenRows="1" view="pageBreakPreview" topLeftCell="A58">
      <selection activeCell="C93" sqref="C93:D93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4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5"/>
      <headerFooter alignWithMargins="0"/>
    </customSheetView>
    <customSheetView guid="{5BFCA170-DEAE-4D2C-98A0-1E68B427AC01}" showPageBreaks="1" hiddenRows="1">
      <selection activeCell="B100" sqref="B100"/>
      <pageMargins left="0.75" right="0.75" top="0.18" bottom="0.17" header="0.5" footer="0.25"/>
      <pageSetup paperSize="9" scale="63" orientation="portrait" r:id="rId6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7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3"/>
  <sheetViews>
    <sheetView topLeftCell="A52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00" t="s">
        <v>420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135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1485.6016300000001</v>
      </c>
      <c r="E4" s="5">
        <f>SUM(D4/C4*100)</f>
        <v>56.289419980145652</v>
      </c>
      <c r="F4" s="5">
        <f>SUM(D4-C4)</f>
        <v>-1153.6183700000001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f>D6</f>
        <v>297.03532000000001</v>
      </c>
      <c r="E5" s="5">
        <f t="shared" ref="E5:E52" si="0">SUM(D5/C5*100)</f>
        <v>61.510731000207088</v>
      </c>
      <c r="F5" s="5">
        <f t="shared" ref="F5:F52" si="1">SUM(D5-C5)</f>
        <v>-185.86467999999996</v>
      </c>
    </row>
    <row r="6" spans="1:6">
      <c r="A6" s="7">
        <v>1010200001</v>
      </c>
      <c r="B6" s="8" t="s">
        <v>229</v>
      </c>
      <c r="C6" s="9">
        <v>482.9</v>
      </c>
      <c r="D6" s="10">
        <v>297.03532000000001</v>
      </c>
      <c r="E6" s="9">
        <f t="shared" ref="E6:E11" si="2">SUM(D6/C6*100)</f>
        <v>61.510731000207088</v>
      </c>
      <c r="F6" s="9">
        <f t="shared" si="1"/>
        <v>-185.86467999999996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435.64134000000001</v>
      </c>
      <c r="E7" s="5">
        <f t="shared" si="2"/>
        <v>77.887674318815698</v>
      </c>
      <c r="F7" s="5">
        <f t="shared" si="1"/>
        <v>-123.67866000000004</v>
      </c>
    </row>
    <row r="8" spans="1:6">
      <c r="A8" s="7">
        <v>1030223001</v>
      </c>
      <c r="B8" s="8" t="s">
        <v>283</v>
      </c>
      <c r="C8" s="9">
        <v>208.63</v>
      </c>
      <c r="D8" s="10">
        <v>189.71313000000001</v>
      </c>
      <c r="E8" s="9">
        <f t="shared" si="2"/>
        <v>90.932814072760394</v>
      </c>
      <c r="F8" s="9">
        <f t="shared" si="1"/>
        <v>-18.916869999999989</v>
      </c>
    </row>
    <row r="9" spans="1:6">
      <c r="A9" s="7">
        <v>1030224001</v>
      </c>
      <c r="B9" s="8" t="s">
        <v>289</v>
      </c>
      <c r="C9" s="9">
        <v>2.2000000000000002</v>
      </c>
      <c r="D9" s="10">
        <v>1.7207300000000001</v>
      </c>
      <c r="E9" s="9">
        <f t="shared" si="2"/>
        <v>78.215000000000003</v>
      </c>
      <c r="F9" s="9">
        <f t="shared" si="1"/>
        <v>-0.47927000000000008</v>
      </c>
    </row>
    <row r="10" spans="1:6">
      <c r="A10" s="7">
        <v>1030225001</v>
      </c>
      <c r="B10" s="8" t="s">
        <v>282</v>
      </c>
      <c r="C10" s="9">
        <v>348.49</v>
      </c>
      <c r="D10" s="10">
        <v>286.70240000000001</v>
      </c>
      <c r="E10" s="9">
        <f t="shared" si="2"/>
        <v>82.269907314413615</v>
      </c>
      <c r="F10" s="9">
        <f t="shared" si="1"/>
        <v>-61.787599999999998</v>
      </c>
    </row>
    <row r="11" spans="1:6">
      <c r="A11" s="7">
        <v>1030226001</v>
      </c>
      <c r="B11" s="8" t="s">
        <v>291</v>
      </c>
      <c r="C11" s="9">
        <v>0</v>
      </c>
      <c r="D11" s="10">
        <v>-42.49492</v>
      </c>
      <c r="E11" s="9" t="e">
        <f t="shared" si="2"/>
        <v>#DIV/0!</v>
      </c>
      <c r="F11" s="9">
        <f t="shared" si="1"/>
        <v>-42.49492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23.733529999999998</v>
      </c>
      <c r="E12" s="5">
        <f t="shared" si="0"/>
        <v>59.333824999999997</v>
      </c>
      <c r="F12" s="5">
        <f t="shared" si="1"/>
        <v>-16.266470000000002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23.733529999999998</v>
      </c>
      <c r="E13" s="9">
        <f t="shared" si="0"/>
        <v>59.333824999999997</v>
      </c>
      <c r="F13" s="9">
        <f t="shared" si="1"/>
        <v>-16.266470000000002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718.61644000000001</v>
      </c>
      <c r="E14" s="5">
        <f t="shared" si="0"/>
        <v>46.512390938511331</v>
      </c>
      <c r="F14" s="5">
        <f t="shared" si="1"/>
        <v>-826.38355999999999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v>118.53037999999999</v>
      </c>
      <c r="E15" s="5">
        <f t="shared" si="0"/>
        <v>40.179789830508469</v>
      </c>
      <c r="F15" s="9">
        <f>SUM(D15-C15)</f>
        <v>-176.46962000000002</v>
      </c>
    </row>
    <row r="16" spans="1:6" ht="15" customHeight="1">
      <c r="A16" s="7">
        <v>1060600000</v>
      </c>
      <c r="B16" s="11" t="s">
        <v>8</v>
      </c>
      <c r="C16" s="9">
        <f>181.7+1068.3</f>
        <v>1250</v>
      </c>
      <c r="D16" s="10">
        <v>600.08605999999997</v>
      </c>
      <c r="E16" s="5">
        <f t="shared" si="0"/>
        <v>48.006884800000002</v>
      </c>
      <c r="F16" s="9">
        <f t="shared" si="1"/>
        <v>-649.91394000000003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10.574999999999999</v>
      </c>
      <c r="E17" s="5">
        <f t="shared" si="0"/>
        <v>88.125</v>
      </c>
      <c r="F17" s="5">
        <f t="shared" si="1"/>
        <v>-1.4250000000000007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10.574999999999999</v>
      </c>
      <c r="E18" s="9">
        <f t="shared" si="0"/>
        <v>88.125</v>
      </c>
      <c r="F18" s="9">
        <f t="shared" si="1"/>
        <v>-1.4250000000000007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1072</v>
      </c>
      <c r="D25" s="5">
        <f>D26+D30+D32+D35+D37</f>
        <v>810.98040000000003</v>
      </c>
      <c r="E25" s="5">
        <f t="shared" si="0"/>
        <v>75.651156716417916</v>
      </c>
      <c r="F25" s="5">
        <f t="shared" si="1"/>
        <v>-261.01959999999997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62.183</v>
      </c>
      <c r="E26" s="5">
        <f t="shared" si="0"/>
        <v>21.742307692307691</v>
      </c>
      <c r="F26" s="5">
        <f t="shared" si="1"/>
        <v>-223.81700000000001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12">
        <v>200</v>
      </c>
      <c r="D28" s="10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12">
        <v>86</v>
      </c>
      <c r="D29" s="10">
        <v>33.783000000000001</v>
      </c>
      <c r="E29" s="9">
        <f>SUM(D29/C29*100)</f>
        <v>39.282558139534885</v>
      </c>
      <c r="F29" s="9">
        <f t="shared" si="1"/>
        <v>-52.216999999999999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200</v>
      </c>
      <c r="D30" s="5">
        <f>D31</f>
        <v>156.97739999999999</v>
      </c>
      <c r="E30" s="5">
        <f t="shared" si="0"/>
        <v>78.488699999999994</v>
      </c>
      <c r="F30" s="5">
        <f t="shared" si="1"/>
        <v>-43.022600000000011</v>
      </c>
    </row>
    <row r="31" spans="1:6" ht="18" customHeight="1">
      <c r="A31" s="7">
        <v>1130206005</v>
      </c>
      <c r="B31" s="8" t="s">
        <v>224</v>
      </c>
      <c r="C31" s="9">
        <v>200</v>
      </c>
      <c r="D31" s="10">
        <v>156.97739999999999</v>
      </c>
      <c r="E31" s="9">
        <f>SUM(D31/C31*100)</f>
        <v>78.488699999999994</v>
      </c>
      <c r="F31" s="9">
        <f t="shared" si="1"/>
        <v>-43.022600000000011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19.5" customHeight="1">
      <c r="A33" s="16">
        <v>1140200000</v>
      </c>
      <c r="B33" s="18" t="s">
        <v>133</v>
      </c>
      <c r="C33" s="9">
        <v>586</v>
      </c>
      <c r="D33" s="10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63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0.62</v>
      </c>
      <c r="E37" s="5" t="e">
        <f t="shared" si="0"/>
        <v>#DIV/0!</v>
      </c>
      <c r="F37" s="5">
        <f t="shared" si="1"/>
        <v>0.62</v>
      </c>
    </row>
    <row r="38" spans="1:7">
      <c r="A38" s="7">
        <v>1170105005</v>
      </c>
      <c r="B38" s="8" t="s">
        <v>18</v>
      </c>
      <c r="C38" s="9">
        <v>0</v>
      </c>
      <c r="D38" s="9">
        <v>0.62</v>
      </c>
      <c r="E38" s="9" t="e">
        <f t="shared" si="0"/>
        <v>#DIV/0!</v>
      </c>
      <c r="F38" s="9">
        <f t="shared" si="1"/>
        <v>0.62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3711.2200000000003</v>
      </c>
      <c r="D40" s="127">
        <f>D4+D25</f>
        <v>2296.58203</v>
      </c>
      <c r="E40" s="5">
        <f t="shared" si="0"/>
        <v>61.882131212916505</v>
      </c>
      <c r="F40" s="5">
        <f t="shared" si="1"/>
        <v>-1414.6379700000002</v>
      </c>
    </row>
    <row r="41" spans="1:7" s="6" customFormat="1" ht="20.25" customHeight="1">
      <c r="A41" s="3">
        <v>2000000000</v>
      </c>
      <c r="B41" s="4" t="s">
        <v>20</v>
      </c>
      <c r="C41" s="404">
        <f>C42+C43+C44+C46+C47+C45+C48</f>
        <v>6582.335</v>
      </c>
      <c r="D41" s="408">
        <f>D42+D43+D44+D46+D47+D45+D48</f>
        <v>4752.3829700000006</v>
      </c>
      <c r="E41" s="5">
        <f t="shared" si="0"/>
        <v>72.19904441205135</v>
      </c>
      <c r="F41" s="5">
        <f t="shared" si="1"/>
        <v>-1829.9520299999995</v>
      </c>
      <c r="G41" s="19"/>
    </row>
    <row r="42" spans="1:7" ht="19.5" customHeight="1">
      <c r="A42" s="16">
        <v>2021000000</v>
      </c>
      <c r="B42" s="17" t="s">
        <v>21</v>
      </c>
      <c r="C42" s="405">
        <f>3530.2+26.311</f>
        <v>3556.511</v>
      </c>
      <c r="D42" s="406">
        <v>2880.1489999999999</v>
      </c>
      <c r="E42" s="9">
        <f t="shared" si="0"/>
        <v>80.982429127872791</v>
      </c>
      <c r="F42" s="9">
        <f t="shared" si="1"/>
        <v>-676.36200000000008</v>
      </c>
    </row>
    <row r="43" spans="1:7" ht="27.75" customHeight="1">
      <c r="A43" s="16">
        <v>2021500200</v>
      </c>
      <c r="B43" s="17" t="s">
        <v>232</v>
      </c>
      <c r="C43" s="12">
        <v>150</v>
      </c>
      <c r="D43" s="20">
        <v>0</v>
      </c>
      <c r="E43" s="9">
        <f t="shared" si="0"/>
        <v>0</v>
      </c>
      <c r="F43" s="9">
        <f t="shared" si="1"/>
        <v>-150</v>
      </c>
    </row>
    <row r="44" spans="1:7" ht="21" customHeight="1">
      <c r="A44" s="16">
        <v>2022000000</v>
      </c>
      <c r="B44" s="17" t="s">
        <v>22</v>
      </c>
      <c r="C44" s="12">
        <v>2311.98</v>
      </c>
      <c r="D44" s="10">
        <v>1311.752</v>
      </c>
      <c r="E44" s="9">
        <f t="shared" si="0"/>
        <v>56.737169006652302</v>
      </c>
      <c r="F44" s="9">
        <f t="shared" si="1"/>
        <v>-1000.2280000000001</v>
      </c>
    </row>
    <row r="45" spans="1:7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154.24100000000001</v>
      </c>
      <c r="D46" s="252">
        <v>150.881</v>
      </c>
      <c r="E46" s="9">
        <f t="shared" si="0"/>
        <v>97.821590886988531</v>
      </c>
      <c r="F46" s="9">
        <f t="shared" si="1"/>
        <v>-3.3600000000000136</v>
      </c>
    </row>
    <row r="47" spans="1:7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3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407">
        <f>SUM(C40,C41,C51)</f>
        <v>10293.555</v>
      </c>
      <c r="D52" s="422">
        <f>D40+D41</f>
        <v>7048.9650000000001</v>
      </c>
      <c r="E52" s="5">
        <f t="shared" si="0"/>
        <v>68.479402888506442</v>
      </c>
      <c r="F52" s="5">
        <f t="shared" si="1"/>
        <v>-3244.59</v>
      </c>
      <c r="G52" s="94"/>
      <c r="H52" s="94"/>
    </row>
    <row r="53" spans="1:8" s="6" customFormat="1">
      <c r="A53" s="3"/>
      <c r="B53" s="21" t="s">
        <v>321</v>
      </c>
      <c r="C53" s="5">
        <f>C52-C100</f>
        <v>-101.57055000000037</v>
      </c>
      <c r="D53" s="5">
        <f>D52-D100</f>
        <v>211.63313999999991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412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1851.9180000000001</v>
      </c>
      <c r="D57" s="102">
        <f>D58+D59+D60+D61+D62+D64+D63</f>
        <v>1176.32971</v>
      </c>
      <c r="E57" s="34">
        <f>SUM(D57/C57*100)</f>
        <v>63.519535422194714</v>
      </c>
      <c r="F57" s="34">
        <f>SUM(D57-C57)</f>
        <v>-675.58829000000014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1170.26271</v>
      </c>
      <c r="E59" s="38">
        <f t="shared" ref="E59:E100" si="3">SUM(D59/C59*100)</f>
        <v>63.571832266707077</v>
      </c>
      <c r="F59" s="38">
        <f t="shared" ref="F59:F100" si="4">SUM(D59-C59)</f>
        <v>-670.58829000000014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120.54386</v>
      </c>
      <c r="E65" s="34">
        <f t="shared" si="3"/>
        <v>79.893333156593599</v>
      </c>
      <c r="F65" s="34">
        <f t="shared" si="4"/>
        <v>-30.337140000000005</v>
      </c>
    </row>
    <row r="66" spans="1:7">
      <c r="A66" s="43" t="s">
        <v>48</v>
      </c>
      <c r="B66" s="44" t="s">
        <v>49</v>
      </c>
      <c r="C66" s="92">
        <v>150.881</v>
      </c>
      <c r="D66" s="92">
        <v>120.54386</v>
      </c>
      <c r="E66" s="38">
        <f t="shared" si="3"/>
        <v>79.893333156593599</v>
      </c>
      <c r="F66" s="38">
        <f t="shared" si="4"/>
        <v>-30.337140000000005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4.8029999999999999</v>
      </c>
      <c r="D67" s="22">
        <f>D70+D71</f>
        <v>2</v>
      </c>
      <c r="E67" s="34">
        <f t="shared" si="3"/>
        <v>41.640641265875495</v>
      </c>
      <c r="F67" s="34">
        <f t="shared" si="4"/>
        <v>-2.8029999999999999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2.8029999999999999</v>
      </c>
      <c r="D70" s="92">
        <v>2</v>
      </c>
      <c r="E70" s="34">
        <f t="shared" si="3"/>
        <v>71.352122725651085</v>
      </c>
      <c r="F70" s="34">
        <f t="shared" si="4"/>
        <v>-0.80299999999999994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3653.6055499999998</v>
      </c>
      <c r="D72" s="105">
        <f>SUM(D73:D76)</f>
        <v>2954.44191</v>
      </c>
      <c r="E72" s="34">
        <f t="shared" si="3"/>
        <v>80.863735002811126</v>
      </c>
      <c r="F72" s="34">
        <f t="shared" si="4"/>
        <v>-699.16363999999976</v>
      </c>
    </row>
    <row r="73" spans="1:7" ht="15.75" customHeight="1">
      <c r="A73" s="35" t="s">
        <v>60</v>
      </c>
      <c r="B73" s="39" t="s">
        <v>61</v>
      </c>
      <c r="C73" s="106">
        <v>7.5</v>
      </c>
      <c r="D73" s="92">
        <v>4.0880000000000001</v>
      </c>
      <c r="E73" s="38">
        <f t="shared" si="3"/>
        <v>54.506666666666668</v>
      </c>
      <c r="F73" s="38">
        <f t="shared" si="4"/>
        <v>-3.4119999999999999</v>
      </c>
    </row>
    <row r="74" spans="1:7" s="6" customFormat="1" ht="19.5" customHeight="1">
      <c r="A74" s="35" t="s">
        <v>62</v>
      </c>
      <c r="B74" s="39" t="s">
        <v>63</v>
      </c>
      <c r="C74" s="106">
        <v>865.5</v>
      </c>
      <c r="D74" s="92">
        <v>583.11780999999996</v>
      </c>
      <c r="E74" s="38">
        <f t="shared" si="3"/>
        <v>67.373519352975151</v>
      </c>
      <c r="F74" s="38">
        <f t="shared" si="4"/>
        <v>-282.38219000000004</v>
      </c>
      <c r="G74" s="50"/>
    </row>
    <row r="75" spans="1:7">
      <c r="A75" s="35" t="s">
        <v>64</v>
      </c>
      <c r="B75" s="39" t="s">
        <v>65</v>
      </c>
      <c r="C75" s="106">
        <v>2485.1755499999999</v>
      </c>
      <c r="D75" s="92">
        <v>2241.6111000000001</v>
      </c>
      <c r="E75" s="38">
        <f t="shared" si="3"/>
        <v>90.199306040975657</v>
      </c>
      <c r="F75" s="38">
        <f t="shared" si="4"/>
        <v>-243.56444999999985</v>
      </c>
    </row>
    <row r="76" spans="1:7">
      <c r="A76" s="35" t="s">
        <v>66</v>
      </c>
      <c r="B76" s="39" t="s">
        <v>67</v>
      </c>
      <c r="C76" s="106">
        <v>295.43</v>
      </c>
      <c r="D76" s="92">
        <v>125.625</v>
      </c>
      <c r="E76" s="38">
        <f t="shared" si="3"/>
        <v>42.522763429577225</v>
      </c>
      <c r="F76" s="38">
        <f t="shared" si="4"/>
        <v>-169.80500000000001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966.47</v>
      </c>
      <c r="D77" s="22">
        <f>SUM(D78:D81)</f>
        <v>429.70301000000001</v>
      </c>
      <c r="E77" s="34">
        <f t="shared" si="3"/>
        <v>44.461081047523457</v>
      </c>
      <c r="F77" s="34">
        <f t="shared" si="4"/>
        <v>-536.76699000000008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966.47</v>
      </c>
      <c r="D80" s="92">
        <v>429.70301000000001</v>
      </c>
      <c r="E80" s="38">
        <f t="shared" si="3"/>
        <v>44.461081047523457</v>
      </c>
      <c r="F80" s="38">
        <f t="shared" si="4"/>
        <v>-536.76699000000008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hidden="1" customHeight="1">
      <c r="A82" s="30" t="s">
        <v>86</v>
      </c>
      <c r="B82" s="31" t="s">
        <v>87</v>
      </c>
      <c r="C82" s="22">
        <f>C83+C84</f>
        <v>3742.4479999999999</v>
      </c>
      <c r="D82" s="22">
        <f>D83+D84</f>
        <v>2133.7083699999998</v>
      </c>
      <c r="E82" s="34">
        <f t="shared" si="3"/>
        <v>57.013707872494145</v>
      </c>
      <c r="F82" s="34">
        <f t="shared" si="4"/>
        <v>-1608.73963</v>
      </c>
    </row>
    <row r="83" spans="1:6" ht="17.25" hidden="1" customHeight="1">
      <c r="A83" s="35" t="s">
        <v>88</v>
      </c>
      <c r="B83" s="39" t="s">
        <v>234</v>
      </c>
      <c r="C83" s="92">
        <v>3742.4479999999999</v>
      </c>
      <c r="D83" s="92">
        <v>2133.7083699999998</v>
      </c>
      <c r="E83" s="38">
        <f t="shared" si="3"/>
        <v>57.013707872494145</v>
      </c>
      <c r="F83" s="38">
        <f t="shared" si="4"/>
        <v>-1608.73963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7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15.605</v>
      </c>
      <c r="E90" s="34">
        <f t="shared" si="3"/>
        <v>78.025000000000006</v>
      </c>
      <c r="F90" s="22">
        <f>F91+F92+F93+F94+F95</f>
        <v>-4.3949999999999996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15.605</v>
      </c>
      <c r="E91" s="38">
        <f t="shared" si="3"/>
        <v>78.025000000000006</v>
      </c>
      <c r="F91" s="38">
        <f>SUM(D91-C91)</f>
        <v>-4.3949999999999996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423">
        <f>C57+C65+C67+C72+C77+C82+C90+C85+C96</f>
        <v>10395.125550000001</v>
      </c>
      <c r="D100" s="423">
        <f>D57+D65+D67+D72+D77+D82+D90+D85+D96</f>
        <v>6837.3318600000002</v>
      </c>
      <c r="E100" s="34">
        <f t="shared" si="3"/>
        <v>65.774403850273842</v>
      </c>
      <c r="F100" s="34">
        <f t="shared" si="4"/>
        <v>-3557.7936900000004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</sheetData>
  <customSheetViews>
    <customSheetView guid="{E271257C-1B5C-4EEE-899F-E7A422E6A72D}" hiddenRows="1" topLeftCell="A52">
      <selection activeCell="B100" sqref="B100"/>
      <pageMargins left="0.75" right="0.75" top="1" bottom="1" header="0.5" footer="0.5"/>
      <pageSetup paperSize="9" scale="46" orientation="portrait" r:id="rId1"/>
      <headerFooter alignWithMargins="0"/>
    </customSheetView>
    <customSheetView guid="{B30CE22D-C12F-4E12-8BB9-3AAE0A6991CC}" scale="70" showPageBreaks="1" printArea="1" hiddenRows="1" view="pageBreakPreview" topLeftCell="A37">
      <selection activeCell="C100" sqref="C100"/>
      <pageMargins left="0.74803149606299213" right="0.74803149606299213" top="0.98425196850393704" bottom="0.98425196850393704" header="0.51181102362204722" footer="0.51181102362204722"/>
      <pageSetup paperSize="9" scale="59" orientation="portrait" r:id="rId2"/>
      <headerFooter alignWithMargins="0"/>
    </customSheetView>
    <customSheetView guid="{A54C432C-6C68-4B53-A75C-446EB3A61B2B}" scale="70" showPageBreaks="1" hiddenRows="1" view="pageBreakPreview" topLeftCell="A70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2" orientation="portrait" r:id="rId3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4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5"/>
      <headerFooter alignWithMargins="0"/>
    </customSheetView>
    <customSheetView guid="{5BFCA170-DEAE-4D2C-98A0-1E68B427AC01}" showPageBreaks="1" hiddenRows="1" topLeftCell="A52">
      <selection activeCell="B100" sqref="B100"/>
      <pageMargins left="0.75" right="0.75" top="1" bottom="1" header="0.5" footer="0.5"/>
      <pageSetup paperSize="9" scale="46" orientation="portrait" r:id="rId6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7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4"/>
  <sheetViews>
    <sheetView topLeftCell="A4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00" t="s">
        <v>421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1683.25</v>
      </c>
      <c r="D4" s="5">
        <f>D5+D12+D14+D17+D7</f>
        <v>978.71479999999997</v>
      </c>
      <c r="E4" s="5">
        <f>SUM(D4/C4*100)</f>
        <v>58.144351700579236</v>
      </c>
      <c r="F4" s="5">
        <f>SUM(D4-C4)</f>
        <v>-704.53520000000003</v>
      </c>
    </row>
    <row r="5" spans="1:6" s="6" customFormat="1">
      <c r="A5" s="68">
        <v>1010000000</v>
      </c>
      <c r="B5" s="67" t="s">
        <v>6</v>
      </c>
      <c r="C5" s="5">
        <f>C6</f>
        <v>102.1</v>
      </c>
      <c r="D5" s="5">
        <f>D6</f>
        <v>66.085279999999997</v>
      </c>
      <c r="E5" s="5">
        <f t="shared" ref="E5:E52" si="0">SUM(D5/C5*100)</f>
        <v>64.7260333006856</v>
      </c>
      <c r="F5" s="5">
        <f t="shared" ref="F5:F52" si="1">SUM(D5-C5)</f>
        <v>-36.014719999999997</v>
      </c>
    </row>
    <row r="6" spans="1:6">
      <c r="A6" s="7">
        <v>1010200001</v>
      </c>
      <c r="B6" s="8" t="s">
        <v>229</v>
      </c>
      <c r="C6" s="9">
        <v>102.1</v>
      </c>
      <c r="D6" s="10">
        <v>66.085279999999997</v>
      </c>
      <c r="E6" s="9">
        <f t="shared" ref="E6:E11" si="2">SUM(D6/C6*100)</f>
        <v>64.7260333006856</v>
      </c>
      <c r="F6" s="9">
        <f t="shared" si="1"/>
        <v>-36.014719999999997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465.57078000000001</v>
      </c>
      <c r="E7" s="9">
        <f t="shared" si="2"/>
        <v>77.887207026348818</v>
      </c>
      <c r="F7" s="9">
        <f t="shared" si="1"/>
        <v>-132.17921999999999</v>
      </c>
    </row>
    <row r="8" spans="1:6">
      <c r="A8" s="7">
        <v>1030223001</v>
      </c>
      <c r="B8" s="8" t="s">
        <v>283</v>
      </c>
      <c r="C8" s="9">
        <v>222.96</v>
      </c>
      <c r="D8" s="10">
        <v>202.74684999999999</v>
      </c>
      <c r="E8" s="9">
        <f t="shared" si="2"/>
        <v>90.934181019016862</v>
      </c>
      <c r="F8" s="9">
        <f t="shared" si="1"/>
        <v>-20.213150000000013</v>
      </c>
    </row>
    <row r="9" spans="1:6">
      <c r="A9" s="7">
        <v>1030224001</v>
      </c>
      <c r="B9" s="8" t="s">
        <v>289</v>
      </c>
      <c r="C9" s="9">
        <v>2.4</v>
      </c>
      <c r="D9" s="10">
        <v>1.8389500000000001</v>
      </c>
      <c r="E9" s="9">
        <f t="shared" si="2"/>
        <v>76.622916666666669</v>
      </c>
      <c r="F9" s="9">
        <f t="shared" si="1"/>
        <v>-0.56104999999999983</v>
      </c>
    </row>
    <row r="10" spans="1:6">
      <c r="A10" s="7">
        <v>1030225001</v>
      </c>
      <c r="B10" s="8" t="s">
        <v>282</v>
      </c>
      <c r="C10" s="9">
        <v>372.39</v>
      </c>
      <c r="D10" s="10">
        <v>306.39949000000001</v>
      </c>
      <c r="E10" s="9">
        <f t="shared" si="2"/>
        <v>82.27919385590377</v>
      </c>
      <c r="F10" s="9">
        <f t="shared" si="1"/>
        <v>-65.990509999999972</v>
      </c>
    </row>
    <row r="11" spans="1:6">
      <c r="A11" s="7">
        <v>1030226001</v>
      </c>
      <c r="B11" s="8" t="s">
        <v>291</v>
      </c>
      <c r="C11" s="9">
        <v>0</v>
      </c>
      <c r="D11" s="10">
        <v>-45.41451</v>
      </c>
      <c r="E11" s="9" t="e">
        <f t="shared" si="2"/>
        <v>#DIV/0!</v>
      </c>
      <c r="F11" s="9">
        <f t="shared" si="1"/>
        <v>-45.41451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5">
        <f>D15+D16</f>
        <v>444.01553999999999</v>
      </c>
      <c r="E14" s="5">
        <f t="shared" si="0"/>
        <v>45.850427509293681</v>
      </c>
      <c r="F14" s="5">
        <f t="shared" si="1"/>
        <v>-524.38445999999999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10">
        <v>68.457549999999998</v>
      </c>
      <c r="E15" s="9">
        <f t="shared" si="0"/>
        <v>37.326908396946564</v>
      </c>
      <c r="F15" s="9">
        <f>SUM(D15-C15)</f>
        <v>-114.94245000000001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375.55799000000002</v>
      </c>
      <c r="E16" s="9">
        <f t="shared" si="0"/>
        <v>47.841782165605096</v>
      </c>
      <c r="F16" s="9">
        <f t="shared" si="1"/>
        <v>-409.44200999999998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38.199310000000004</v>
      </c>
      <c r="E25" s="5">
        <f t="shared" si="0"/>
        <v>31.832758333333338</v>
      </c>
      <c r="F25" s="5">
        <f t="shared" si="1"/>
        <v>-81.800690000000003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38.199310000000004</v>
      </c>
      <c r="E26" s="5">
        <f t="shared" si="0"/>
        <v>31.832758333333338</v>
      </c>
      <c r="F26" s="5">
        <f t="shared" si="1"/>
        <v>-81.800690000000003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15.247960000000001</v>
      </c>
      <c r="E28" s="9">
        <f t="shared" si="0"/>
        <v>15.247960000000003</v>
      </c>
      <c r="F28" s="9">
        <f t="shared" si="1"/>
        <v>-84.752039999999994</v>
      </c>
    </row>
    <row r="29" spans="1:6" ht="18" customHeight="1">
      <c r="A29" s="7">
        <v>1110503505</v>
      </c>
      <c r="B29" s="11" t="s">
        <v>225</v>
      </c>
      <c r="C29" s="12">
        <v>20</v>
      </c>
      <c r="D29" s="10">
        <v>22.951350000000001</v>
      </c>
      <c r="E29" s="9">
        <f t="shared" si="0"/>
        <v>114.75675000000001</v>
      </c>
      <c r="F29" s="9">
        <f t="shared" si="1"/>
        <v>2.9513500000000015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1803.25</v>
      </c>
      <c r="D40" s="127">
        <f>D4+D25</f>
        <v>1016.9141099999999</v>
      </c>
      <c r="E40" s="5">
        <f t="shared" si="0"/>
        <v>56.393406904200752</v>
      </c>
      <c r="F40" s="5">
        <f t="shared" si="1"/>
        <v>-786.33589000000006</v>
      </c>
    </row>
    <row r="41" spans="1:7" s="6" customFormat="1">
      <c r="A41" s="3">
        <v>2000000000</v>
      </c>
      <c r="B41" s="4" t="s">
        <v>20</v>
      </c>
      <c r="C41" s="407">
        <f>C42+C44+C46+C47+C48+C49+C43+C45+C51</f>
        <v>9622.0821000000014</v>
      </c>
      <c r="D41" s="407">
        <f>D42+D44+D46+D47+D48+D49+D43+D45+D51</f>
        <v>7125.8733900000007</v>
      </c>
      <c r="E41" s="5">
        <f t="shared" si="0"/>
        <v>74.057499363885071</v>
      </c>
      <c r="F41" s="5">
        <f t="shared" si="1"/>
        <v>-2496.2087100000008</v>
      </c>
      <c r="G41" s="19"/>
    </row>
    <row r="42" spans="1:7">
      <c r="A42" s="16">
        <v>2021000000</v>
      </c>
      <c r="B42" s="17" t="s">
        <v>21</v>
      </c>
      <c r="C42" s="99">
        <f>1943.3+29.612</f>
        <v>1972.912</v>
      </c>
      <c r="D42" s="20">
        <v>1585.461</v>
      </c>
      <c r="E42" s="9">
        <f t="shared" si="0"/>
        <v>80.361465691323289</v>
      </c>
      <c r="F42" s="9">
        <f t="shared" si="1"/>
        <v>-387.45100000000002</v>
      </c>
    </row>
    <row r="43" spans="1:7">
      <c r="A43" s="16">
        <v>2021500200</v>
      </c>
      <c r="B43" s="17" t="s">
        <v>232</v>
      </c>
      <c r="C43" s="12">
        <v>370</v>
      </c>
      <c r="D43" s="20">
        <v>75</v>
      </c>
      <c r="E43" s="9">
        <f t="shared" si="0"/>
        <v>20.27027027027027</v>
      </c>
      <c r="F43" s="9">
        <f t="shared" si="1"/>
        <v>-295</v>
      </c>
    </row>
    <row r="44" spans="1:7" ht="16.5" customHeight="1">
      <c r="A44" s="16">
        <v>2022000000</v>
      </c>
      <c r="B44" s="17" t="s">
        <v>22</v>
      </c>
      <c r="C44" s="12">
        <v>7007.6681200000003</v>
      </c>
      <c r="D44" s="10">
        <v>5201.2083899999998</v>
      </c>
      <c r="E44" s="9">
        <f t="shared" si="0"/>
        <v>74.22167118838955</v>
      </c>
      <c r="F44" s="9">
        <f t="shared" si="1"/>
        <v>-1806.4597300000005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12">
        <v>154.24</v>
      </c>
      <c r="D46" s="252">
        <v>150.881</v>
      </c>
      <c r="E46" s="9">
        <f>SUM(D46/C46*100)</f>
        <v>97.822225103734439</v>
      </c>
      <c r="F46" s="9">
        <f>SUM(D46-C46)</f>
        <v>-3.3590000000000089</v>
      </c>
    </row>
    <row r="47" spans="1:7">
      <c r="A47" s="16">
        <v>2020400000</v>
      </c>
      <c r="B47" s="17" t="s">
        <v>24</v>
      </c>
      <c r="C47" s="12">
        <v>3.9389799999999999</v>
      </c>
      <c r="D47" s="253">
        <v>0</v>
      </c>
      <c r="E47" s="9">
        <f t="shared" si="0"/>
        <v>0</v>
      </c>
      <c r="F47" s="9">
        <f t="shared" si="1"/>
        <v>-3.9389799999999999</v>
      </c>
    </row>
    <row r="48" spans="1:7" ht="47.25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329">
        <v>113.32299999999999</v>
      </c>
      <c r="D51" s="330">
        <v>113.32299999999999</v>
      </c>
      <c r="E51" s="9">
        <f t="shared" si="0"/>
        <v>100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345">
        <f>C40+C41</f>
        <v>11425.332100000001</v>
      </c>
      <c r="D52" s="426">
        <f>D40+D41</f>
        <v>8142.7875000000004</v>
      </c>
      <c r="E52" s="5">
        <f t="shared" si="0"/>
        <v>71.269591367064066</v>
      </c>
      <c r="F52" s="5">
        <f t="shared" si="1"/>
        <v>-3282.5446000000011</v>
      </c>
      <c r="G52" s="94"/>
      <c r="H52" s="94"/>
    </row>
    <row r="53" spans="1:8" s="6" customFormat="1">
      <c r="A53" s="3"/>
      <c r="B53" s="21" t="s">
        <v>321</v>
      </c>
      <c r="C53" s="5">
        <f>C52-C100</f>
        <v>-110.81861999999819</v>
      </c>
      <c r="D53" s="5">
        <f>D52-D100</f>
        <v>107.88884000000144</v>
      </c>
      <c r="E53" s="22"/>
      <c r="F53" s="22"/>
    </row>
    <row r="54" spans="1:8" ht="32.25" customHeight="1">
      <c r="A54" s="23"/>
      <c r="B54" s="24"/>
      <c r="C54" s="248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413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32">
        <f>C58+C59+C60+C61+C62+C64+C63</f>
        <v>1298.712</v>
      </c>
      <c r="D57" s="33">
        <f>D58+D59+D60+D61+D62+D64+D63</f>
        <v>916.11743999999999</v>
      </c>
      <c r="E57" s="34">
        <f>SUM(D57/C57*100)</f>
        <v>70.540461626596198</v>
      </c>
      <c r="F57" s="34">
        <f>SUM(D57-C57)</f>
        <v>-382.59456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37">
        <v>1265.029</v>
      </c>
      <c r="D59" s="37">
        <v>891.08893999999998</v>
      </c>
      <c r="E59" s="38">
        <f t="shared" ref="E59:E100" si="3">SUM(D59/C59*100)</f>
        <v>70.440198604142665</v>
      </c>
      <c r="F59" s="38">
        <f t="shared" ref="F59:F100" si="4">SUM(D59-C59)</f>
        <v>-373.94006000000002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37">
        <f>22.083+6.6</f>
        <v>28.683</v>
      </c>
      <c r="D64" s="37">
        <v>25.028500000000001</v>
      </c>
      <c r="E64" s="38">
        <f t="shared" si="3"/>
        <v>87.25900359097723</v>
      </c>
      <c r="F64" s="38">
        <f t="shared" si="4"/>
        <v>-3.6544999999999987</v>
      </c>
    </row>
    <row r="65" spans="1:7" s="6" customFormat="1">
      <c r="A65" s="41" t="s">
        <v>46</v>
      </c>
      <c r="B65" s="42" t="s">
        <v>47</v>
      </c>
      <c r="C65" s="32">
        <f>C66</f>
        <v>150.881</v>
      </c>
      <c r="D65" s="32">
        <f>D66</f>
        <v>120.12084</v>
      </c>
      <c r="E65" s="34">
        <f t="shared" si="3"/>
        <v>79.612966510031086</v>
      </c>
      <c r="F65" s="34">
        <f t="shared" si="4"/>
        <v>-30.760159999999999</v>
      </c>
    </row>
    <row r="66" spans="1:7" ht="15" customHeight="1">
      <c r="A66" s="43" t="s">
        <v>48</v>
      </c>
      <c r="B66" s="44" t="s">
        <v>49</v>
      </c>
      <c r="C66" s="37">
        <f>150.881</f>
        <v>150.881</v>
      </c>
      <c r="D66" s="37">
        <v>120.12084</v>
      </c>
      <c r="E66" s="38">
        <f t="shared" si="3"/>
        <v>79.612966510031086</v>
      </c>
      <c r="F66" s="38">
        <f t="shared" si="4"/>
        <v>-30.760159999999999</v>
      </c>
    </row>
    <row r="67" spans="1:7" s="6" customFormat="1" ht="18" customHeight="1">
      <c r="A67" s="30" t="s">
        <v>50</v>
      </c>
      <c r="B67" s="31" t="s">
        <v>51</v>
      </c>
      <c r="C67" s="32">
        <f>C70+C71</f>
        <v>32.86692</v>
      </c>
      <c r="D67" s="32">
        <f>D70+D71</f>
        <v>2.4700000000000002</v>
      </c>
      <c r="E67" s="34">
        <f t="shared" si="3"/>
        <v>7.5151550555999771</v>
      </c>
      <c r="F67" s="34">
        <f t="shared" si="4"/>
        <v>-30.396920000000001</v>
      </c>
    </row>
    <row r="68" spans="1:7" ht="0.75" hidden="1" customHeight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37">
        <v>2.8029999999999999</v>
      </c>
      <c r="D70" s="37">
        <v>0</v>
      </c>
      <c r="E70" s="34">
        <f t="shared" si="3"/>
        <v>0</v>
      </c>
      <c r="F70" s="34">
        <f t="shared" si="4"/>
        <v>-2.8029999999999999</v>
      </c>
    </row>
    <row r="71" spans="1:7" ht="17.25" customHeight="1">
      <c r="A71" s="46" t="s">
        <v>219</v>
      </c>
      <c r="B71" s="47" t="s">
        <v>220</v>
      </c>
      <c r="C71" s="37">
        <v>30.06392</v>
      </c>
      <c r="D71" s="37">
        <v>2.4700000000000002</v>
      </c>
      <c r="E71" s="38">
        <f t="shared" si="3"/>
        <v>8.2158281421717465</v>
      </c>
      <c r="F71" s="38">
        <f t="shared" si="4"/>
        <v>-27.593920000000001</v>
      </c>
    </row>
    <row r="72" spans="1:7" s="6" customFormat="1" ht="19.5" customHeight="1">
      <c r="A72" s="30" t="s">
        <v>58</v>
      </c>
      <c r="B72" s="31" t="s">
        <v>59</v>
      </c>
      <c r="C72" s="48">
        <f>C74+C75+C76+C73</f>
        <v>1981.4764100000002</v>
      </c>
      <c r="D72" s="48">
        <f>SUM(D73:D76)</f>
        <v>735.31261999999992</v>
      </c>
      <c r="E72" s="34">
        <f t="shared" si="3"/>
        <v>37.109330007113222</v>
      </c>
      <c r="F72" s="34">
        <f t="shared" si="4"/>
        <v>-1246.1637900000003</v>
      </c>
    </row>
    <row r="73" spans="1:7" ht="17.25" customHeight="1">
      <c r="A73" s="35" t="s">
        <v>60</v>
      </c>
      <c r="B73" s="39" t="s">
        <v>61</v>
      </c>
      <c r="C73" s="49">
        <v>7.5</v>
      </c>
      <c r="D73" s="37">
        <v>0</v>
      </c>
      <c r="E73" s="38">
        <f t="shared" si="3"/>
        <v>0</v>
      </c>
      <c r="F73" s="38">
        <f t="shared" si="4"/>
        <v>-7.5</v>
      </c>
    </row>
    <row r="74" spans="1:7" s="6" customFormat="1" ht="17.25" customHeight="1">
      <c r="A74" s="35" t="s">
        <v>62</v>
      </c>
      <c r="B74" s="39" t="s">
        <v>63</v>
      </c>
      <c r="C74" s="49">
        <v>251.899</v>
      </c>
      <c r="D74" s="37">
        <v>65</v>
      </c>
      <c r="E74" s="38">
        <f t="shared" si="3"/>
        <v>25.803992870158275</v>
      </c>
      <c r="F74" s="38">
        <f t="shared" si="4"/>
        <v>-186.899</v>
      </c>
      <c r="G74" s="50"/>
    </row>
    <row r="75" spans="1:7" ht="16.5" customHeight="1">
      <c r="A75" s="35" t="s">
        <v>64</v>
      </c>
      <c r="B75" s="39" t="s">
        <v>65</v>
      </c>
      <c r="C75" s="49">
        <v>1580.48262</v>
      </c>
      <c r="D75" s="37">
        <v>581.01261999999997</v>
      </c>
      <c r="E75" s="38">
        <f t="shared" si="3"/>
        <v>36.761721555660003</v>
      </c>
      <c r="F75" s="38">
        <f t="shared" si="4"/>
        <v>-999.47</v>
      </c>
    </row>
    <row r="76" spans="1:7" ht="16.5" customHeight="1">
      <c r="A76" s="35" t="s">
        <v>66</v>
      </c>
      <c r="B76" s="39" t="s">
        <v>67</v>
      </c>
      <c r="C76" s="49">
        <v>141.59478999999999</v>
      </c>
      <c r="D76" s="37">
        <v>89.3</v>
      </c>
      <c r="E76" s="38">
        <f t="shared" si="3"/>
        <v>63.067292235823089</v>
      </c>
      <c r="F76" s="38">
        <f t="shared" si="4"/>
        <v>-52.294789999999992</v>
      </c>
    </row>
    <row r="77" spans="1:7" ht="15.75" hidden="1" customHeight="1">
      <c r="A77" s="30" t="s">
        <v>50</v>
      </c>
      <c r="B77" s="31" t="s">
        <v>51</v>
      </c>
      <c r="C77" s="48">
        <v>0</v>
      </c>
      <c r="D77" s="37"/>
      <c r="E77" s="38"/>
      <c r="F77" s="38"/>
    </row>
    <row r="78" spans="1:7" ht="15.75" hidden="1" customHeight="1">
      <c r="A78" s="46" t="s">
        <v>219</v>
      </c>
      <c r="B78" s="47" t="s">
        <v>220</v>
      </c>
      <c r="C78" s="49">
        <v>0</v>
      </c>
      <c r="D78" s="37"/>
      <c r="E78" s="38"/>
      <c r="F78" s="38"/>
    </row>
    <row r="79" spans="1:7" s="6" customFormat="1" ht="19.5" customHeight="1">
      <c r="A79" s="30" t="s">
        <v>68</v>
      </c>
      <c r="B79" s="31" t="s">
        <v>69</v>
      </c>
      <c r="C79" s="32">
        <f>SUM(C80:C82)</f>
        <v>6704.8143899999995</v>
      </c>
      <c r="D79" s="32">
        <f>SUM(D80:D82)</f>
        <v>5264.4462199999998</v>
      </c>
      <c r="E79" s="34">
        <f t="shared" si="3"/>
        <v>78.517404267771241</v>
      </c>
      <c r="F79" s="34">
        <f t="shared" si="4"/>
        <v>-1440.3681699999997</v>
      </c>
    </row>
    <row r="80" spans="1:7" hidden="1">
      <c r="A80" s="35" t="s">
        <v>70</v>
      </c>
      <c r="B80" s="51" t="s">
        <v>71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72</v>
      </c>
      <c r="B81" s="51" t="s">
        <v>73</v>
      </c>
      <c r="C81" s="37">
        <v>5884.1903899999998</v>
      </c>
      <c r="D81" s="37">
        <v>5129.0073899999998</v>
      </c>
      <c r="E81" s="38">
        <f t="shared" si="3"/>
        <v>87.165897940974006</v>
      </c>
      <c r="F81" s="38">
        <f t="shared" si="4"/>
        <v>-755.18299999999999</v>
      </c>
    </row>
    <row r="82" spans="1:6" hidden="1">
      <c r="A82" s="35" t="s">
        <v>74</v>
      </c>
      <c r="B82" s="39" t="s">
        <v>75</v>
      </c>
      <c r="C82" s="37">
        <v>820.62400000000002</v>
      </c>
      <c r="D82" s="37">
        <v>135.43883</v>
      </c>
      <c r="E82" s="38">
        <f t="shared" si="3"/>
        <v>16.504371063970829</v>
      </c>
      <c r="F82" s="38">
        <f t="shared" si="4"/>
        <v>-685.18516999999997</v>
      </c>
    </row>
    <row r="83" spans="1:6" s="6" customFormat="1" hidden="1">
      <c r="A83" s="30" t="s">
        <v>86</v>
      </c>
      <c r="B83" s="31" t="s">
        <v>87</v>
      </c>
      <c r="C83" s="32">
        <f>C84</f>
        <v>1357.4</v>
      </c>
      <c r="D83" s="427">
        <f>SUM(D84)</f>
        <v>994.90153999999995</v>
      </c>
      <c r="E83" s="34">
        <f t="shared" si="3"/>
        <v>73.294647119493135</v>
      </c>
      <c r="F83" s="34">
        <f t="shared" si="4"/>
        <v>-362.49846000000014</v>
      </c>
    </row>
    <row r="84" spans="1:6" ht="16.5" hidden="1" customHeight="1">
      <c r="A84" s="35" t="s">
        <v>88</v>
      </c>
      <c r="B84" s="39" t="s">
        <v>234</v>
      </c>
      <c r="C84" s="37">
        <v>1357.4</v>
      </c>
      <c r="D84" s="37">
        <v>994.90153999999995</v>
      </c>
      <c r="E84" s="38">
        <f t="shared" si="3"/>
        <v>73.294647119493135</v>
      </c>
      <c r="F84" s="38">
        <f t="shared" si="4"/>
        <v>-362.49846000000014</v>
      </c>
    </row>
    <row r="85" spans="1:6" s="6" customFormat="1" ht="0.75" hidden="1" customHeight="1">
      <c r="A85" s="52">
        <v>1000</v>
      </c>
      <c r="B85" s="31" t="s">
        <v>89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hidden="1" customHeight="1">
      <c r="A86" s="53">
        <v>1001</v>
      </c>
      <c r="B86" s="54" t="s">
        <v>90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91</v>
      </c>
      <c r="C87" s="37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6.5" hidden="1" customHeight="1">
      <c r="A88" s="53">
        <v>1004</v>
      </c>
      <c r="B88" s="54" t="s">
        <v>92</v>
      </c>
      <c r="C88" s="37">
        <v>0</v>
      </c>
      <c r="D88" s="55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35" t="s">
        <v>93</v>
      </c>
      <c r="B89" s="39" t="s">
        <v>94</v>
      </c>
      <c r="C89" s="37">
        <v>0</v>
      </c>
      <c r="D89" s="37">
        <v>0</v>
      </c>
      <c r="E89" s="38"/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32">
        <f>C91+C92+C93+C94+C95</f>
        <v>10</v>
      </c>
      <c r="D90" s="32">
        <f>D91+D92+D93+D94+D95</f>
        <v>1.53</v>
      </c>
      <c r="E90" s="38">
        <f t="shared" si="3"/>
        <v>15.299999999999999</v>
      </c>
      <c r="F90" s="22">
        <f>F91+F92+F93+F94+F95</f>
        <v>-8.4700000000000006</v>
      </c>
    </row>
    <row r="91" spans="1:6" ht="19.5" customHeight="1">
      <c r="A91" s="35" t="s">
        <v>97</v>
      </c>
      <c r="B91" s="39" t="s">
        <v>98</v>
      </c>
      <c r="C91" s="37">
        <v>10</v>
      </c>
      <c r="D91" s="37">
        <v>1.53</v>
      </c>
      <c r="E91" s="38">
        <f t="shared" si="3"/>
        <v>15.299999999999999</v>
      </c>
      <c r="F91" s="38">
        <f>SUM(D91-C91)</f>
        <v>-8.4700000000000006</v>
      </c>
    </row>
    <row r="92" spans="1:6" ht="15" hidden="1" customHeight="1">
      <c r="A92" s="35" t="s">
        <v>99</v>
      </c>
      <c r="B92" s="39" t="s">
        <v>100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37"/>
      <c r="D94" s="37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24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115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customHeight="1">
      <c r="A97" s="53">
        <v>1401</v>
      </c>
      <c r="B97" s="54" t="s">
        <v>116</v>
      </c>
      <c r="C97" s="92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119</v>
      </c>
      <c r="C100" s="423">
        <f>C57+C65+C67+C72+C79+C83+C85+C90+C77</f>
        <v>11536.15072</v>
      </c>
      <c r="D100" s="423">
        <f>D57+D65+D67+D72+D79+D83+D90+D85</f>
        <v>8034.8986599999989</v>
      </c>
      <c r="E100" s="34">
        <f t="shared" si="3"/>
        <v>69.649737204543044</v>
      </c>
      <c r="F100" s="34">
        <f t="shared" si="4"/>
        <v>-3501.2520600000007</v>
      </c>
    </row>
    <row r="101" spans="1:6" ht="5.25" customHeight="1">
      <c r="C101" s="120"/>
      <c r="D101" s="61"/>
    </row>
    <row r="102" spans="1:6" s="65" customFormat="1" ht="12.75">
      <c r="A102" s="63" t="s">
        <v>120</v>
      </c>
      <c r="B102" s="63"/>
      <c r="C102" s="116"/>
      <c r="D102" s="64"/>
    </row>
    <row r="103" spans="1:6" s="65" customFormat="1" ht="12.75">
      <c r="A103" s="66" t="s">
        <v>121</v>
      </c>
      <c r="B103" s="66"/>
      <c r="C103" s="65" t="s">
        <v>122</v>
      </c>
    </row>
    <row r="104" spans="1:6">
      <c r="C104" s="120"/>
    </row>
  </sheetData>
  <customSheetViews>
    <customSheetView guid="{E271257C-1B5C-4EEE-899F-E7A422E6A72D}" hiddenRows="1" topLeftCell="A47">
      <selection activeCell="B100" sqref="B100"/>
      <pageMargins left="0.7" right="0.7" top="0.75" bottom="0.75" header="0.3" footer="0.3"/>
      <pageSetup paperSize="9" scale="51" orientation="portrait" r:id="rId1"/>
    </customSheetView>
    <customSheetView guid="{B30CE22D-C12F-4E12-8BB9-3AAE0A6991CC}" scale="70" showPageBreaks="1" printArea="1" hiddenRows="1" view="pageBreakPreview" topLeftCell="A40">
      <selection activeCell="C100" sqref="C100:D10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73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5"/>
    </customSheetView>
    <customSheetView guid="{5BFCA170-DEAE-4D2C-98A0-1E68B427AC01}" showPageBreaks="1" printArea="1" hiddenRows="1" topLeftCell="A47">
      <selection activeCell="B100" sqref="B100"/>
      <pageMargins left="0.7" right="0.7" top="0.75" bottom="0.75" header="0.3" footer="0.3"/>
      <pageSetup paperSize="9" scale="51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1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1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00" t="s">
        <v>422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1">
        <f>C5+C12+C14+C17+C20+C7</f>
        <v>4166.8600000000006</v>
      </c>
      <c r="D4" s="281">
        <f>D5+D12+D14+D17+D20+D7</f>
        <v>2426.7415900000001</v>
      </c>
      <c r="E4" s="5">
        <f>SUM(D4/C4*100)</f>
        <v>58.239095865951818</v>
      </c>
      <c r="F4" s="5">
        <f>SUM(D4-C4)</f>
        <v>-1740.1184100000005</v>
      </c>
    </row>
    <row r="5" spans="1:6" s="6" customFormat="1">
      <c r="A5" s="68">
        <v>1010000000</v>
      </c>
      <c r="B5" s="67" t="s">
        <v>6</v>
      </c>
      <c r="C5" s="281">
        <f>C6</f>
        <v>456.3</v>
      </c>
      <c r="D5" s="281">
        <f>D6</f>
        <v>311.78298999999998</v>
      </c>
      <c r="E5" s="5">
        <f t="shared" ref="E5:E50" si="0">SUM(D5/C5*100)</f>
        <v>68.328509752355899</v>
      </c>
      <c r="F5" s="5">
        <f t="shared" ref="F5:F50" si="1">SUM(D5-C5)</f>
        <v>-144.51701000000003</v>
      </c>
    </row>
    <row r="6" spans="1:6">
      <c r="A6" s="7">
        <v>1010200001</v>
      </c>
      <c r="B6" s="8" t="s">
        <v>229</v>
      </c>
      <c r="C6" s="331">
        <v>456.3</v>
      </c>
      <c r="D6" s="332">
        <v>311.78298999999998</v>
      </c>
      <c r="E6" s="9">
        <f t="shared" ref="E6:E11" si="2">SUM(D6/C6*100)</f>
        <v>68.328509752355899</v>
      </c>
      <c r="F6" s="9">
        <f t="shared" si="1"/>
        <v>-144.51701000000003</v>
      </c>
    </row>
    <row r="7" spans="1:6" ht="31.5">
      <c r="A7" s="3">
        <v>1030000000</v>
      </c>
      <c r="B7" s="13" t="s">
        <v>281</v>
      </c>
      <c r="C7" s="281">
        <f>C8+C10+C9</f>
        <v>719.56000000000006</v>
      </c>
      <c r="D7" s="281">
        <f>D8+D10+D9+D11</f>
        <v>555.35948000000008</v>
      </c>
      <c r="E7" s="5">
        <f t="shared" si="2"/>
        <v>77.180426927566842</v>
      </c>
      <c r="F7" s="5">
        <f t="shared" si="1"/>
        <v>-164.20051999999998</v>
      </c>
    </row>
    <row r="8" spans="1:6">
      <c r="A8" s="7">
        <v>1030223001</v>
      </c>
      <c r="B8" s="8" t="s">
        <v>283</v>
      </c>
      <c r="C8" s="331">
        <v>272.49</v>
      </c>
      <c r="D8" s="332">
        <v>241.84802999999999</v>
      </c>
      <c r="E8" s="9">
        <f t="shared" si="2"/>
        <v>88.754827700099085</v>
      </c>
      <c r="F8" s="9">
        <f t="shared" si="1"/>
        <v>-30.641970000000015</v>
      </c>
    </row>
    <row r="9" spans="1:6">
      <c r="A9" s="7">
        <v>1030224001</v>
      </c>
      <c r="B9" s="8" t="s">
        <v>289</v>
      </c>
      <c r="C9" s="331">
        <v>2.85</v>
      </c>
      <c r="D9" s="332">
        <v>2.1936100000000001</v>
      </c>
      <c r="E9" s="9">
        <f t="shared" si="2"/>
        <v>76.96877192982457</v>
      </c>
      <c r="F9" s="9">
        <f t="shared" si="1"/>
        <v>-0.65639000000000003</v>
      </c>
    </row>
    <row r="10" spans="1:6">
      <c r="A10" s="7">
        <v>1030225001</v>
      </c>
      <c r="B10" s="8" t="s">
        <v>282</v>
      </c>
      <c r="C10" s="331">
        <v>444.22</v>
      </c>
      <c r="D10" s="332">
        <v>365.49083000000002</v>
      </c>
      <c r="E10" s="9">
        <f t="shared" si="2"/>
        <v>82.276986628247258</v>
      </c>
      <c r="F10" s="9">
        <f t="shared" si="1"/>
        <v>-78.729170000000011</v>
      </c>
    </row>
    <row r="11" spans="1:6">
      <c r="A11" s="7">
        <v>1030226001</v>
      </c>
      <c r="B11" s="8" t="s">
        <v>290</v>
      </c>
      <c r="C11" s="331">
        <v>0</v>
      </c>
      <c r="D11" s="330">
        <v>-54.172989999999999</v>
      </c>
      <c r="E11" s="9" t="e">
        <f t="shared" si="2"/>
        <v>#DIV/0!</v>
      </c>
      <c r="F11" s="9">
        <f t="shared" si="1"/>
        <v>-54.172989999999999</v>
      </c>
    </row>
    <row r="12" spans="1:6" s="6" customFormat="1">
      <c r="A12" s="68">
        <v>1050000000</v>
      </c>
      <c r="B12" s="67" t="s">
        <v>7</v>
      </c>
      <c r="C12" s="281">
        <f>SUM(C13:C13)</f>
        <v>50</v>
      </c>
      <c r="D12" s="281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3">
        <v>50</v>
      </c>
      <c r="D13" s="332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1">
        <f>C15+C16</f>
        <v>2916</v>
      </c>
      <c r="D14" s="281">
        <f>D15+D16</f>
        <v>1510.9363900000001</v>
      </c>
      <c r="E14" s="5">
        <f t="shared" si="0"/>
        <v>51.815376886145401</v>
      </c>
      <c r="F14" s="5">
        <f t="shared" si="1"/>
        <v>-1405.0636099999999</v>
      </c>
    </row>
    <row r="15" spans="1:6" s="6" customFormat="1" ht="15.75" customHeight="1">
      <c r="A15" s="7">
        <v>1060100000</v>
      </c>
      <c r="B15" s="11" t="s">
        <v>9</v>
      </c>
      <c r="C15" s="331">
        <v>255</v>
      </c>
      <c r="D15" s="332">
        <v>87.542850000000001</v>
      </c>
      <c r="E15" s="9">
        <f t="shared" si="0"/>
        <v>34.330529411764701</v>
      </c>
      <c r="F15" s="9">
        <f>SUM(D15-C15)</f>
        <v>-167.45715000000001</v>
      </c>
    </row>
    <row r="16" spans="1:6" ht="15.75" customHeight="1">
      <c r="A16" s="7">
        <v>1060600000</v>
      </c>
      <c r="B16" s="11" t="s">
        <v>8</v>
      </c>
      <c r="C16" s="331">
        <v>2661</v>
      </c>
      <c r="D16" s="332">
        <v>1423.39354</v>
      </c>
      <c r="E16" s="9">
        <f t="shared" si="0"/>
        <v>53.490925967681321</v>
      </c>
      <c r="F16" s="9">
        <f t="shared" si="1"/>
        <v>-1237.60646</v>
      </c>
    </row>
    <row r="17" spans="1:6" s="6" customFormat="1">
      <c r="A17" s="3">
        <v>1080000000</v>
      </c>
      <c r="B17" s="4" t="s">
        <v>11</v>
      </c>
      <c r="C17" s="281">
        <f>C18</f>
        <v>25</v>
      </c>
      <c r="D17" s="281">
        <f>D18</f>
        <v>20.5</v>
      </c>
      <c r="E17" s="5">
        <f t="shared" si="0"/>
        <v>82</v>
      </c>
      <c r="F17" s="5">
        <f t="shared" si="1"/>
        <v>-4.5</v>
      </c>
    </row>
    <row r="18" spans="1:6" ht="18" customHeight="1">
      <c r="A18" s="7">
        <v>1080400001</v>
      </c>
      <c r="B18" s="8" t="s">
        <v>228</v>
      </c>
      <c r="C18" s="331">
        <v>25</v>
      </c>
      <c r="D18" s="332">
        <v>20.5</v>
      </c>
      <c r="E18" s="9">
        <f t="shared" si="0"/>
        <v>82</v>
      </c>
      <c r="F18" s="9">
        <f t="shared" si="1"/>
        <v>-4.5</v>
      </c>
    </row>
    <row r="19" spans="1:6" ht="47.25" hidden="1" customHeight="1">
      <c r="A19" s="7">
        <v>1080714001</v>
      </c>
      <c r="B19" s="8" t="s">
        <v>12</v>
      </c>
      <c r="C19" s="331"/>
      <c r="D19" s="33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1">
        <f>C21+C22+C23+C24</f>
        <v>0</v>
      </c>
      <c r="D20" s="281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281"/>
      <c r="D21" s="33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1"/>
      <c r="D22" s="33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1"/>
      <c r="D23" s="33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1"/>
      <c r="D24" s="33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1">
        <f>C26+C29+C31+C36</f>
        <v>72</v>
      </c>
      <c r="D25" s="93">
        <f>D26+D29+D31+D36+D34</f>
        <v>-254.79845000000003</v>
      </c>
      <c r="E25" s="5">
        <f t="shared" si="0"/>
        <v>-353.88673611111113</v>
      </c>
      <c r="F25" s="5">
        <f t="shared" si="1"/>
        <v>-326.79845</v>
      </c>
    </row>
    <row r="26" spans="1:6" s="6" customFormat="1" ht="30" customHeight="1">
      <c r="A26" s="68">
        <v>1110000000</v>
      </c>
      <c r="B26" s="69" t="s">
        <v>129</v>
      </c>
      <c r="C26" s="281">
        <f>C27+C28</f>
        <v>72</v>
      </c>
      <c r="D26" s="93">
        <f>D27+D28</f>
        <v>-278.68472000000003</v>
      </c>
      <c r="E26" s="5">
        <f t="shared" si="0"/>
        <v>-387.06211111111111</v>
      </c>
      <c r="F26" s="5">
        <f t="shared" si="1"/>
        <v>-350.68472000000003</v>
      </c>
    </row>
    <row r="27" spans="1:6" ht="15" customHeight="1">
      <c r="A27" s="16">
        <v>1110502510</v>
      </c>
      <c r="B27" s="17" t="s">
        <v>226</v>
      </c>
      <c r="C27" s="333">
        <v>70</v>
      </c>
      <c r="D27" s="330">
        <v>-278.68472000000003</v>
      </c>
      <c r="E27" s="9">
        <f t="shared" si="0"/>
        <v>-398.12102857142861</v>
      </c>
      <c r="F27" s="9">
        <f t="shared" si="1"/>
        <v>-348.68472000000003</v>
      </c>
    </row>
    <row r="28" spans="1:6" ht="15.75" customHeight="1">
      <c r="A28" s="7">
        <v>1110503505</v>
      </c>
      <c r="B28" s="11" t="s">
        <v>225</v>
      </c>
      <c r="C28" s="333">
        <v>2</v>
      </c>
      <c r="D28" s="332">
        <v>0</v>
      </c>
      <c r="E28" s="9">
        <f t="shared" si="0"/>
        <v>0</v>
      </c>
      <c r="F28" s="9">
        <f t="shared" si="1"/>
        <v>-2</v>
      </c>
    </row>
    <row r="29" spans="1:6" s="15" customFormat="1" ht="29.25">
      <c r="A29" s="68">
        <v>1130000000</v>
      </c>
      <c r="B29" s="69" t="s">
        <v>131</v>
      </c>
      <c r="C29" s="281">
        <f>C30</f>
        <v>0</v>
      </c>
      <c r="D29" s="281">
        <f>D30</f>
        <v>24.27927</v>
      </c>
      <c r="E29" s="5" t="e">
        <f t="shared" si="0"/>
        <v>#DIV/0!</v>
      </c>
      <c r="F29" s="5">
        <f t="shared" si="1"/>
        <v>24.27927</v>
      </c>
    </row>
    <row r="30" spans="1:6" ht="17.25" customHeight="1">
      <c r="A30" s="7">
        <v>1130206005</v>
      </c>
      <c r="B30" s="8" t="s">
        <v>224</v>
      </c>
      <c r="C30" s="331">
        <v>0</v>
      </c>
      <c r="D30" s="332">
        <v>24.27927</v>
      </c>
      <c r="E30" s="9" t="e">
        <f t="shared" si="0"/>
        <v>#DIV/0!</v>
      </c>
      <c r="F30" s="9">
        <f t="shared" si="1"/>
        <v>24.27927</v>
      </c>
    </row>
    <row r="31" spans="1:6" ht="28.5">
      <c r="A31" s="70">
        <v>1140000000</v>
      </c>
      <c r="B31" s="71" t="s">
        <v>132</v>
      </c>
      <c r="C31" s="281">
        <f>C32+C33</f>
        <v>0</v>
      </c>
      <c r="D31" s="281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31">
        <v>0</v>
      </c>
      <c r="D32" s="332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31">
        <v>0</v>
      </c>
      <c r="D33" s="332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81">
        <f>C35</f>
        <v>0</v>
      </c>
      <c r="D34" s="281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31">
        <v>0</v>
      </c>
      <c r="D35" s="332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1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31">
        <f>C38</f>
        <v>0</v>
      </c>
      <c r="D37" s="341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customHeight="1">
      <c r="A38" s="7">
        <v>1170505005</v>
      </c>
      <c r="B38" s="11" t="s">
        <v>221</v>
      </c>
      <c r="C38" s="331">
        <v>0</v>
      </c>
      <c r="D38" s="33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5">
        <f>SUM(C4,C25)</f>
        <v>4238.8600000000006</v>
      </c>
      <c r="D39" s="335">
        <f>D4+D25</f>
        <v>2171.9431399999999</v>
      </c>
      <c r="E39" s="5">
        <f t="shared" si="0"/>
        <v>51.238850540003668</v>
      </c>
      <c r="F39" s="5">
        <f t="shared" si="1"/>
        <v>-2066.9168600000007</v>
      </c>
    </row>
    <row r="40" spans="1:7" s="6" customFormat="1">
      <c r="A40" s="3">
        <v>2000000000</v>
      </c>
      <c r="B40" s="4" t="s">
        <v>20</v>
      </c>
      <c r="C40" s="428">
        <f>C41+C43+C45+C46+C47+C48+C42+C44</f>
        <v>2727.2666400000003</v>
      </c>
      <c r="D40" s="281">
        <f>D41+D43+D45+D46+D47+D48+D42</f>
        <v>1679.1681000000001</v>
      </c>
      <c r="E40" s="5">
        <f t="shared" si="0"/>
        <v>61.569634423424034</v>
      </c>
      <c r="F40" s="5">
        <f t="shared" si="1"/>
        <v>-1048.0985400000002</v>
      </c>
      <c r="G40" s="19"/>
    </row>
    <row r="41" spans="1:7">
      <c r="A41" s="16">
        <v>2021000000</v>
      </c>
      <c r="B41" s="17" t="s">
        <v>21</v>
      </c>
      <c r="C41" s="336">
        <v>1128.914</v>
      </c>
      <c r="D41" s="337">
        <v>861.30499999999995</v>
      </c>
      <c r="E41" s="9">
        <f t="shared" si="0"/>
        <v>76.295005642591022</v>
      </c>
      <c r="F41" s="9">
        <f t="shared" si="1"/>
        <v>-267.60900000000004</v>
      </c>
    </row>
    <row r="42" spans="1:7" ht="17.25" customHeight="1">
      <c r="A42" s="16">
        <v>2021500200</v>
      </c>
      <c r="B42" s="17" t="s">
        <v>232</v>
      </c>
      <c r="C42" s="336">
        <v>0</v>
      </c>
      <c r="D42" s="33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6">
        <v>1190.4276400000001</v>
      </c>
      <c r="D43" s="332">
        <v>442.11900000000003</v>
      </c>
      <c r="E43" s="9">
        <f t="shared" si="0"/>
        <v>37.13951063837866</v>
      </c>
      <c r="F43" s="9">
        <f t="shared" si="1"/>
        <v>-748.30864000000008</v>
      </c>
    </row>
    <row r="44" spans="1:7" ht="0.75" hidden="1" customHeight="1">
      <c r="A44" s="16">
        <v>2022999910</v>
      </c>
      <c r="B44" s="18" t="s">
        <v>352</v>
      </c>
      <c r="C44" s="336">
        <v>0</v>
      </c>
      <c r="D44" s="332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3">
        <v>157.59899999999999</v>
      </c>
      <c r="D45" s="338">
        <v>151.91810000000001</v>
      </c>
      <c r="E45" s="9">
        <f t="shared" si="0"/>
        <v>96.395345148129124</v>
      </c>
      <c r="F45" s="9">
        <f t="shared" si="1"/>
        <v>-5.6808999999999799</v>
      </c>
    </row>
    <row r="46" spans="1:7" ht="12.75" customHeight="1">
      <c r="A46" s="16">
        <v>2020400000</v>
      </c>
      <c r="B46" s="17" t="s">
        <v>24</v>
      </c>
      <c r="C46" s="333"/>
      <c r="D46" s="339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359</v>
      </c>
      <c r="C47" s="333">
        <v>250.32599999999999</v>
      </c>
      <c r="D47" s="339">
        <v>223.82599999999999</v>
      </c>
      <c r="E47" s="9">
        <f t="shared" si="0"/>
        <v>89.413804399063622</v>
      </c>
      <c r="F47" s="9">
        <f t="shared" si="1"/>
        <v>-26.5</v>
      </c>
    </row>
    <row r="48" spans="1:7" ht="21" customHeight="1">
      <c r="A48" s="7">
        <v>2190500005</v>
      </c>
      <c r="B48" s="11" t="s">
        <v>26</v>
      </c>
      <c r="C48" s="334"/>
      <c r="D48" s="334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40">
        <v>0</v>
      </c>
      <c r="D49" s="33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400">
        <f>C39+C40</f>
        <v>6966.1266400000004</v>
      </c>
      <c r="D50" s="397">
        <f>D39+D40</f>
        <v>3851.1112400000002</v>
      </c>
      <c r="E50" s="281">
        <f t="shared" si="0"/>
        <v>55.283394044068082</v>
      </c>
      <c r="F50" s="93">
        <f t="shared" si="1"/>
        <v>-3115.0154000000002</v>
      </c>
      <c r="G50" s="151"/>
      <c r="H50" s="295"/>
    </row>
    <row r="51" spans="1:8" s="6" customFormat="1">
      <c r="A51" s="3"/>
      <c r="B51" s="21" t="s">
        <v>321</v>
      </c>
      <c r="C51" s="93">
        <f>C50-C96</f>
        <v>-676.83370000000014</v>
      </c>
      <c r="D51" s="93">
        <f>D50-D96</f>
        <v>-536.33994999999959</v>
      </c>
      <c r="E51" s="32"/>
      <c r="F51" s="32"/>
    </row>
    <row r="52" spans="1:8">
      <c r="A52" s="23"/>
      <c r="B52" s="24"/>
      <c r="C52" s="328"/>
      <c r="D52" s="328"/>
      <c r="E52" s="26"/>
      <c r="F52" s="27"/>
    </row>
    <row r="53" spans="1:8" ht="45.75" customHeight="1">
      <c r="A53" s="28" t="s">
        <v>1</v>
      </c>
      <c r="B53" s="28" t="s">
        <v>29</v>
      </c>
      <c r="C53" s="244" t="s">
        <v>346</v>
      </c>
      <c r="D53" s="245" t="s">
        <v>413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1604.3</v>
      </c>
      <c r="D55" s="32">
        <f>D56+D57+D58+D59+D60+D62+D61</f>
        <v>1111.75638</v>
      </c>
      <c r="E55" s="34">
        <f>SUM(D55/C55*100)</f>
        <v>69.298533940036151</v>
      </c>
      <c r="F55" s="34">
        <f>SUM(D55-C55)</f>
        <v>-492.54361999999992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1106.6493800000001</v>
      </c>
      <c r="E57" s="38">
        <f t="shared" ref="E57:E69" si="3">SUM(D57/C57*100)</f>
        <v>69.438392333881751</v>
      </c>
      <c r="F57" s="38">
        <f t="shared" ref="F57:F69" si="4">SUM(D57-C57)</f>
        <v>-487.06461999999988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5.5860000000000003</v>
      </c>
      <c r="D62" s="37">
        <v>5.1070000000000002</v>
      </c>
      <c r="E62" s="38">
        <f t="shared" si="3"/>
        <v>91.424991049051201</v>
      </c>
      <c r="F62" s="38">
        <f t="shared" si="4"/>
        <v>-0.47900000000000009</v>
      </c>
    </row>
    <row r="63" spans="1:8" s="6" customFormat="1">
      <c r="A63" s="41" t="s">
        <v>46</v>
      </c>
      <c r="B63" s="42" t="s">
        <v>47</v>
      </c>
      <c r="C63" s="32">
        <f>C64</f>
        <v>150.881</v>
      </c>
      <c r="D63" s="32">
        <f>D64</f>
        <v>111.26248</v>
      </c>
      <c r="E63" s="34">
        <f t="shared" si="3"/>
        <v>73.741876048011349</v>
      </c>
      <c r="F63" s="34">
        <f t="shared" si="4"/>
        <v>-39.618520000000004</v>
      </c>
    </row>
    <row r="64" spans="1:8">
      <c r="A64" s="43" t="s">
        <v>48</v>
      </c>
      <c r="B64" s="44" t="s">
        <v>49</v>
      </c>
      <c r="C64" s="37">
        <v>150.881</v>
      </c>
      <c r="D64" s="37">
        <v>111.26248</v>
      </c>
      <c r="E64" s="38">
        <f t="shared" si="3"/>
        <v>73.741876048011349</v>
      </c>
      <c r="F64" s="38">
        <f t="shared" si="4"/>
        <v>-39.618520000000004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2.4</v>
      </c>
      <c r="D65" s="32">
        <f>D68+D69</f>
        <v>1.8</v>
      </c>
      <c r="E65" s="34">
        <f t="shared" si="3"/>
        <v>75</v>
      </c>
      <c r="F65" s="34">
        <f t="shared" si="4"/>
        <v>-0.59999999999999987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3"/>
        <v>#DIV/0!</v>
      </c>
      <c r="F68" s="34">
        <f t="shared" si="4"/>
        <v>0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1.8</v>
      </c>
      <c r="E69" s="38">
        <f t="shared" si="3"/>
        <v>75</v>
      </c>
      <c r="F69" s="38">
        <f t="shared" si="4"/>
        <v>-0.59999999999999987</v>
      </c>
    </row>
    <row r="70" spans="1:7">
      <c r="A70" s="30" t="s">
        <v>58</v>
      </c>
      <c r="B70" s="31" t="s">
        <v>59</v>
      </c>
      <c r="C70" s="48">
        <f>SUM(C71:C74)</f>
        <v>2705.7973400000001</v>
      </c>
      <c r="D70" s="48">
        <f>SUM(D71:D74)</f>
        <v>1253.1861899999999</v>
      </c>
      <c r="E70" s="34">
        <f t="shared" ref="E70:E85" si="5">SUM(D70/C70*100)</f>
        <v>46.314857786060202</v>
      </c>
      <c r="F70" s="34">
        <f t="shared" ref="F70:F85" si="6">SUM(D70-C70)</f>
        <v>-1452.6111500000002</v>
      </c>
    </row>
    <row r="71" spans="1:7" s="6" customFormat="1" ht="17.25" customHeight="1">
      <c r="A71" s="35" t="s">
        <v>60</v>
      </c>
      <c r="B71" s="39" t="s">
        <v>61</v>
      </c>
      <c r="C71" s="49">
        <v>16.25</v>
      </c>
      <c r="D71" s="37">
        <v>3.75</v>
      </c>
      <c r="E71" s="38">
        <f t="shared" si="5"/>
        <v>23.076923076923077</v>
      </c>
      <c r="F71" s="38">
        <f t="shared" si="6"/>
        <v>-12.5</v>
      </c>
      <c r="G71" s="50"/>
    </row>
    <row r="72" spans="1:7">
      <c r="A72" s="35" t="s">
        <v>62</v>
      </c>
      <c r="B72" s="39" t="s">
        <v>63</v>
      </c>
      <c r="C72" s="49">
        <v>444</v>
      </c>
      <c r="D72" s="37">
        <v>332.91552000000001</v>
      </c>
      <c r="E72" s="38">
        <f t="shared" si="5"/>
        <v>74.980972972972978</v>
      </c>
      <c r="F72" s="38">
        <f t="shared" si="6"/>
        <v>-111.08447999999999</v>
      </c>
    </row>
    <row r="73" spans="1:7">
      <c r="A73" s="35" t="s">
        <v>64</v>
      </c>
      <c r="B73" s="39" t="s">
        <v>65</v>
      </c>
      <c r="C73" s="49">
        <v>2200.5473400000001</v>
      </c>
      <c r="D73" s="37">
        <v>914.52067</v>
      </c>
      <c r="E73" s="38">
        <f t="shared" si="5"/>
        <v>41.558781916502646</v>
      </c>
      <c r="F73" s="38">
        <f t="shared" si="6"/>
        <v>-1286.0266700000002</v>
      </c>
    </row>
    <row r="74" spans="1:7" s="6" customFormat="1">
      <c r="A74" s="35" t="s">
        <v>66</v>
      </c>
      <c r="B74" s="39" t="s">
        <v>67</v>
      </c>
      <c r="C74" s="49">
        <v>45</v>
      </c>
      <c r="D74" s="37">
        <v>2</v>
      </c>
      <c r="E74" s="38">
        <f t="shared" si="5"/>
        <v>4.4444444444444446</v>
      </c>
      <c r="F74" s="38">
        <f t="shared" si="6"/>
        <v>-43</v>
      </c>
    </row>
    <row r="75" spans="1:7" ht="17.25" customHeight="1">
      <c r="A75" s="30" t="s">
        <v>68</v>
      </c>
      <c r="B75" s="31" t="s">
        <v>69</v>
      </c>
      <c r="C75" s="32">
        <f>SUM(C76:C78)</f>
        <v>1144.8820000000001</v>
      </c>
      <c r="D75" s="32">
        <f>SUM(D76:D78)</f>
        <v>767.74613999999997</v>
      </c>
      <c r="E75" s="34">
        <f t="shared" si="5"/>
        <v>67.058975510139902</v>
      </c>
      <c r="F75" s="34">
        <f t="shared" si="6"/>
        <v>-377.13586000000009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1144.8820000000001</v>
      </c>
      <c r="D78" s="37">
        <v>767.74613999999997</v>
      </c>
      <c r="E78" s="38">
        <f t="shared" si="5"/>
        <v>67.058975510139902</v>
      </c>
      <c r="F78" s="38">
        <f t="shared" si="6"/>
        <v>-377.13586000000009</v>
      </c>
    </row>
    <row r="79" spans="1:7">
      <c r="A79" s="30" t="s">
        <v>86</v>
      </c>
      <c r="B79" s="31" t="s">
        <v>87</v>
      </c>
      <c r="C79" s="32">
        <f>C80</f>
        <v>2033.7</v>
      </c>
      <c r="D79" s="32">
        <f>D80</f>
        <v>1141.7</v>
      </c>
      <c r="E79" s="34">
        <f t="shared" si="5"/>
        <v>56.139056891380243</v>
      </c>
      <c r="F79" s="34">
        <f t="shared" si="6"/>
        <v>-892</v>
      </c>
    </row>
    <row r="80" spans="1:7" s="6" customFormat="1" ht="15" customHeight="1">
      <c r="A80" s="35" t="s">
        <v>88</v>
      </c>
      <c r="B80" s="39" t="s">
        <v>234</v>
      </c>
      <c r="C80" s="37">
        <v>2033.7</v>
      </c>
      <c r="D80" s="37">
        <v>1141.7</v>
      </c>
      <c r="E80" s="38">
        <f t="shared" si="5"/>
        <v>56.139056891380243</v>
      </c>
      <c r="F80" s="38">
        <f t="shared" si="6"/>
        <v>-892</v>
      </c>
    </row>
    <row r="81" spans="1:6" ht="20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400">
        <f>C55+C63+C65+C70+C75+C79+C81+C86+C92</f>
        <v>7642.9603400000005</v>
      </c>
      <c r="D96" s="417">
        <f>D55+D63+D65+D70+D75+D79+D81+D86+D92</f>
        <v>4387.4511899999998</v>
      </c>
      <c r="E96" s="34">
        <f t="shared" si="7"/>
        <v>57.405128311839434</v>
      </c>
      <c r="F96" s="34">
        <f>SUM(D96-C96)</f>
        <v>-3255.5091500000008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E271257C-1B5C-4EEE-899F-E7A422E6A72D}" hiddenRows="1" topLeftCell="A50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0CE22D-C12F-4E12-8BB9-3AAE0A6991CC}" scale="70" showPageBreaks="1" hiddenRows="1" view="pageBreakPreview" topLeftCell="A25">
      <selection activeCell="D96" sqref="D9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3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5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4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topLeftCell="A31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423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4276.0099999999993</v>
      </c>
      <c r="D4" s="5">
        <f>D5+D12+D14+D7+D20+D17</f>
        <v>2686.3938499999999</v>
      </c>
      <c r="E4" s="5">
        <f>SUM(D4/C4*100)</f>
        <v>62.824779408841422</v>
      </c>
      <c r="F4" s="5">
        <f>SUM(D4-C4)</f>
        <v>-1589.6161499999994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1208.1033299999999</v>
      </c>
      <c r="E5" s="5">
        <f t="shared" ref="E5:E51" si="0">SUM(D5/C5*100)</f>
        <v>74.38143886220908</v>
      </c>
      <c r="F5" s="5">
        <f t="shared" ref="F5:F51" si="1">SUM(D5-C5)</f>
        <v>-416.09667000000013</v>
      </c>
    </row>
    <row r="6" spans="1:6">
      <c r="A6" s="7">
        <v>1010200001</v>
      </c>
      <c r="B6" s="8" t="s">
        <v>229</v>
      </c>
      <c r="C6" s="91">
        <v>1624.2</v>
      </c>
      <c r="D6" s="10">
        <v>1208.1033299999999</v>
      </c>
      <c r="E6" s="9">
        <f t="shared" ref="E6:E11" si="2">SUM(D6/C6*100)</f>
        <v>74.38143886220908</v>
      </c>
      <c r="F6" s="9">
        <f t="shared" si="1"/>
        <v>-416.09667000000013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272.69144999999997</v>
      </c>
      <c r="E7" s="9">
        <f t="shared" si="2"/>
        <v>77.887363971323282</v>
      </c>
      <c r="F7" s="9">
        <f t="shared" si="1"/>
        <v>-77.418550000000039</v>
      </c>
    </row>
    <row r="8" spans="1:6">
      <c r="A8" s="7">
        <v>1030223001</v>
      </c>
      <c r="B8" s="8" t="s">
        <v>283</v>
      </c>
      <c r="C8" s="9">
        <v>130.59</v>
      </c>
      <c r="D8" s="10">
        <v>118.75172999999999</v>
      </c>
      <c r="E8" s="9">
        <f t="shared" si="2"/>
        <v>90.934780611072824</v>
      </c>
      <c r="F8" s="9">
        <f t="shared" si="1"/>
        <v>-11.838270000000009</v>
      </c>
    </row>
    <row r="9" spans="1:6">
      <c r="A9" s="7">
        <v>1030224001</v>
      </c>
      <c r="B9" s="8" t="s">
        <v>289</v>
      </c>
      <c r="C9" s="9">
        <v>1.4</v>
      </c>
      <c r="D9" s="10">
        <v>1.0770999999999999</v>
      </c>
      <c r="E9" s="9">
        <f t="shared" si="2"/>
        <v>76.935714285714283</v>
      </c>
      <c r="F9" s="9">
        <f t="shared" si="1"/>
        <v>-0.32289999999999996</v>
      </c>
    </row>
    <row r="10" spans="1:6">
      <c r="A10" s="7">
        <v>1030225001</v>
      </c>
      <c r="B10" s="8" t="s">
        <v>282</v>
      </c>
      <c r="C10" s="9">
        <v>218.12</v>
      </c>
      <c r="D10" s="10">
        <v>179.46256</v>
      </c>
      <c r="E10" s="9">
        <f t="shared" si="2"/>
        <v>82.276985145791301</v>
      </c>
      <c r="F10" s="9">
        <f t="shared" si="1"/>
        <v>-38.657440000000008</v>
      </c>
    </row>
    <row r="11" spans="1:6">
      <c r="A11" s="7">
        <v>1030226001</v>
      </c>
      <c r="B11" s="8" t="s">
        <v>291</v>
      </c>
      <c r="C11" s="9">
        <v>0</v>
      </c>
      <c r="D11" s="10">
        <v>-26.59994</v>
      </c>
      <c r="E11" s="9" t="e">
        <f t="shared" si="2"/>
        <v>#DIV/0!</v>
      </c>
      <c r="F11" s="9">
        <f t="shared" si="1"/>
        <v>-26.59994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75.141949999999994</v>
      </c>
      <c r="E12" s="5">
        <f t="shared" si="0"/>
        <v>100.18926666666665</v>
      </c>
      <c r="F12" s="5">
        <f t="shared" si="1"/>
        <v>0.14194999999999425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75.141949999999994</v>
      </c>
      <c r="E13" s="9">
        <f t="shared" si="0"/>
        <v>100.18926666666665</v>
      </c>
      <c r="F13" s="9">
        <f t="shared" si="1"/>
        <v>0.14194999999999425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1130.45712</v>
      </c>
      <c r="E14" s="5">
        <f t="shared" si="0"/>
        <v>50.768272331252525</v>
      </c>
      <c r="F14" s="5">
        <f t="shared" si="1"/>
        <v>-1096.2428799999998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228.72593000000001</v>
      </c>
      <c r="E15" s="9">
        <f t="shared" si="0"/>
        <v>41.586532727272726</v>
      </c>
      <c r="F15" s="9">
        <f>SUM(D15-C15)</f>
        <v>-321.27406999999999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901.73118999999997</v>
      </c>
      <c r="E16" s="9">
        <f t="shared" si="0"/>
        <v>53.780115107055529</v>
      </c>
      <c r="F16" s="9">
        <f t="shared" si="1"/>
        <v>-774.96881000000008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-3.153459999999999</v>
      </c>
      <c r="E25" s="5">
        <f t="shared" si="0"/>
        <v>-15.767299999999995</v>
      </c>
      <c r="F25" s="5">
        <f t="shared" si="1"/>
        <v>-23.153459999999999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4296.0099999999993</v>
      </c>
      <c r="D39" s="127">
        <f>D4+D25</f>
        <v>2683.2403899999999</v>
      </c>
      <c r="E39" s="5">
        <f t="shared" si="0"/>
        <v>62.458895347077878</v>
      </c>
      <c r="F39" s="5">
        <f t="shared" si="1"/>
        <v>-1612.7696099999994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5231.3149999999996</v>
      </c>
      <c r="D40" s="5">
        <f>D41+D43+D45+D46+D47+D49+D42+D48</f>
        <v>3961.3794899999994</v>
      </c>
      <c r="E40" s="5">
        <f t="shared" si="0"/>
        <v>75.724354010416121</v>
      </c>
      <c r="F40" s="5">
        <f t="shared" si="1"/>
        <v>-1269.9355100000002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3666.3139999999999</v>
      </c>
      <c r="E41" s="9">
        <f t="shared" si="0"/>
        <v>81.245867142251853</v>
      </c>
      <c r="F41" s="9">
        <f t="shared" si="1"/>
        <v>-846.30200000000013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80">
        <v>583.00300000000004</v>
      </c>
      <c r="D43" s="10">
        <v>171.66</v>
      </c>
      <c r="E43" s="9">
        <f t="shared" si="0"/>
        <v>29.444102345957052</v>
      </c>
      <c r="F43" s="9">
        <f t="shared" si="1"/>
        <v>-411.34300000000007</v>
      </c>
    </row>
    <row r="44" spans="1:7" ht="0.75" hidden="1" customHeight="1">
      <c r="A44" s="16">
        <v>2022999910</v>
      </c>
      <c r="B44" s="18" t="s">
        <v>352</v>
      </c>
      <c r="C44" s="280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2">
        <v>1.3828</v>
      </c>
      <c r="E45" s="9">
        <f t="shared" si="0"/>
        <v>8.9815536502987783</v>
      </c>
      <c r="F45" s="9">
        <f t="shared" si="1"/>
        <v>-14.013200000000001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3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8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409">
        <f>SUM(C39,C40,C50)</f>
        <v>9527.3249999999989</v>
      </c>
      <c r="D51" s="414">
        <f>D39+D40</f>
        <v>6644.6198799999993</v>
      </c>
      <c r="E51" s="93">
        <f t="shared" si="0"/>
        <v>69.742764941890826</v>
      </c>
      <c r="F51" s="93">
        <f t="shared" si="1"/>
        <v>-2882.7051199999996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-50.512169999999969</v>
      </c>
      <c r="D52" s="93">
        <f>D51-D97</f>
        <v>1045.4662999999991</v>
      </c>
      <c r="E52" s="282"/>
      <c r="F52" s="282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1820.6569999999999</v>
      </c>
      <c r="D56" s="33">
        <f>D57+D58+D59+D60+D61+D63+D62</f>
        <v>1258.38706</v>
      </c>
      <c r="E56" s="34">
        <f>SUM(D56/C56*100)</f>
        <v>69.117195605762106</v>
      </c>
      <c r="F56" s="34">
        <f>SUM(D56-C56)</f>
        <v>-562.26993999999991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1709.9159999999999</v>
      </c>
      <c r="D58" s="37">
        <v>1178.64606</v>
      </c>
      <c r="E58" s="38">
        <f t="shared" ref="E58:E97" si="3">SUM(D58/C58*100)</f>
        <v>68.930056213287671</v>
      </c>
      <c r="F58" s="38">
        <f t="shared" ref="F58:F97" si="4">SUM(D58-C58)</f>
        <v>-531.26993999999991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>
        <v>68.039000000000001</v>
      </c>
      <c r="E61" s="38">
        <f t="shared" si="3"/>
        <v>100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22.702000000000002</v>
      </c>
      <c r="D63" s="37">
        <v>11.702</v>
      </c>
      <c r="E63" s="38">
        <f t="shared" si="3"/>
        <v>51.546119284644519</v>
      </c>
      <c r="F63" s="38">
        <f t="shared" si="4"/>
        <v>-11.000000000000002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1818.7341699999999</v>
      </c>
      <c r="D71" s="48">
        <f>SUM(D72:D75)</f>
        <v>534.31425000000002</v>
      </c>
      <c r="E71" s="34">
        <f t="shared" si="3"/>
        <v>29.37835879555724</v>
      </c>
      <c r="F71" s="34">
        <f t="shared" si="4"/>
        <v>-1284.4199199999998</v>
      </c>
    </row>
    <row r="72" spans="1:7" ht="15" customHeight="1">
      <c r="A72" s="35" t="s">
        <v>60</v>
      </c>
      <c r="B72" s="39" t="s">
        <v>61</v>
      </c>
      <c r="C72" s="49">
        <v>35</v>
      </c>
      <c r="D72" s="37">
        <v>5</v>
      </c>
      <c r="E72" s="38">
        <f t="shared" si="3"/>
        <v>14.285714285714285</v>
      </c>
      <c r="F72" s="38">
        <f t="shared" si="4"/>
        <v>-30</v>
      </c>
    </row>
    <row r="73" spans="1:7" s="6" customFormat="1" ht="15.75" customHeight="1">
      <c r="A73" s="35" t="s">
        <v>62</v>
      </c>
      <c r="B73" s="39" t="s">
        <v>63</v>
      </c>
      <c r="C73" s="49">
        <v>409.80900000000003</v>
      </c>
      <c r="D73" s="37">
        <v>133.92374000000001</v>
      </c>
      <c r="E73" s="38">
        <f t="shared" si="3"/>
        <v>32.679550717529388</v>
      </c>
      <c r="F73" s="38">
        <f t="shared" si="4"/>
        <v>-275.88526000000002</v>
      </c>
      <c r="G73" s="50"/>
    </row>
    <row r="74" spans="1:7" ht="15" customHeight="1">
      <c r="A74" s="35" t="s">
        <v>64</v>
      </c>
      <c r="B74" s="39" t="s">
        <v>65</v>
      </c>
      <c r="C74" s="49">
        <v>1073.92517</v>
      </c>
      <c r="D74" s="37">
        <v>312.10854</v>
      </c>
      <c r="E74" s="38">
        <f t="shared" si="3"/>
        <v>29.062410372596069</v>
      </c>
      <c r="F74" s="38">
        <f t="shared" si="4"/>
        <v>-761.81663000000003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83.281970000000001</v>
      </c>
      <c r="E75" s="38">
        <f t="shared" si="3"/>
        <v>27.760656666666666</v>
      </c>
      <c r="F75" s="38">
        <f t="shared" si="4"/>
        <v>-216.71803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3509.1460000000002</v>
      </c>
      <c r="D76" s="32">
        <f>D77+D78+D79+D82</f>
        <v>1826.45227</v>
      </c>
      <c r="E76" s="34">
        <f t="shared" si="3"/>
        <v>52.048340821385032</v>
      </c>
      <c r="F76" s="34">
        <f t="shared" si="4"/>
        <v>-1682.6937300000002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3509.1460000000002</v>
      </c>
      <c r="D79" s="37">
        <v>1826.45227</v>
      </c>
      <c r="E79" s="38">
        <f t="shared" si="3"/>
        <v>52.048340821385032</v>
      </c>
      <c r="F79" s="38">
        <f t="shared" si="4"/>
        <v>-1682.6937300000002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1980</v>
      </c>
      <c r="E80" s="38">
        <f t="shared" si="3"/>
        <v>83.393000042117677</v>
      </c>
      <c r="F80" s="38">
        <f t="shared" si="4"/>
        <v>-394.30000000000018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1980</v>
      </c>
      <c r="E81" s="38">
        <f t="shared" si="3"/>
        <v>83.393000042117677</v>
      </c>
      <c r="F81" s="38">
        <f t="shared" si="4"/>
        <v>-394.30000000000018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400">
        <f>C56+C71+C76+C83+C88+C94+C66+C80</f>
        <v>9577.8371699999989</v>
      </c>
      <c r="D97" s="400">
        <f>D56+D71+D76+D83+D88+D94+D66+D80</f>
        <v>5599.1535800000001</v>
      </c>
      <c r="E97" s="34">
        <f t="shared" si="3"/>
        <v>58.459477652614979</v>
      </c>
      <c r="F97" s="34">
        <f t="shared" si="4"/>
        <v>-3978.6835899999987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</sheetData>
  <customSheetViews>
    <customSheetView guid="{E271257C-1B5C-4EEE-899F-E7A422E6A72D}" hiddenRows="1" topLeftCell="A31">
      <selection activeCell="B100" sqref="B100"/>
      <pageMargins left="0.7" right="0.7" top="0.75" bottom="0.75" header="0.3" footer="0.3"/>
      <pageSetup paperSize="9" scale="50" orientation="portrait" r:id="rId1"/>
    </customSheetView>
    <customSheetView guid="{B30CE22D-C12F-4E12-8BB9-3AAE0A6991CC}" scale="70" showPageBreaks="1" printArea="1" hiddenRows="1" view="pageBreakPreview" topLeftCell="A15">
      <selection activeCell="C62" sqref="C6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48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5"/>
    </customSheetView>
    <customSheetView guid="{5BFCA170-DEAE-4D2C-98A0-1E68B427AC01}" showPageBreaks="1" printArea="1" hiddenRows="1" topLeftCell="A31">
      <selection activeCell="B100" sqref="B100"/>
      <pageMargins left="0.7" right="0.7" top="0.75" bottom="0.75" header="0.3" footer="0.3"/>
      <pageSetup paperSize="9" scale="50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view="pageBreakPreview" topLeftCell="A4" zoomScale="70" zoomScaleNormal="100" zoomScaleSheetLayoutView="70" workbookViewId="0">
      <selection activeCell="C47" sqref="C47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00" t="s">
        <v>424</v>
      </c>
      <c r="B1" s="500"/>
      <c r="C1" s="500"/>
      <c r="D1" s="500"/>
      <c r="E1" s="500"/>
      <c r="F1" s="500"/>
    </row>
    <row r="2" spans="1:6">
      <c r="A2" s="500"/>
      <c r="B2" s="500"/>
      <c r="C2" s="500"/>
      <c r="D2" s="500"/>
      <c r="E2" s="500"/>
      <c r="F2" s="500"/>
    </row>
    <row r="3" spans="1:6" ht="63">
      <c r="A3" s="2" t="s">
        <v>1</v>
      </c>
      <c r="B3" s="2" t="s">
        <v>2</v>
      </c>
      <c r="C3" s="72" t="s">
        <v>346</v>
      </c>
      <c r="D3" s="73" t="s">
        <v>414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4831.7</v>
      </c>
      <c r="D4" s="5">
        <f>D5+D12+D14+D17+D20+D7</f>
        <v>3260.1003500000002</v>
      </c>
      <c r="E4" s="5">
        <f>SUM(D4/C4*100)</f>
        <v>67.473153341474017</v>
      </c>
      <c r="F4" s="5">
        <f>SUM(D4-C4)</f>
        <v>-1571.5996499999997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886.98828000000003</v>
      </c>
      <c r="E5" s="5">
        <f t="shared" ref="E5:E51" si="0">SUM(D5/C5*100)</f>
        <v>67.714198030383997</v>
      </c>
      <c r="F5" s="5">
        <f t="shared" ref="F5:F51" si="1">SUM(D5-C5)</f>
        <v>-422.91172000000006</v>
      </c>
    </row>
    <row r="6" spans="1:6">
      <c r="A6" s="7">
        <v>1010200001</v>
      </c>
      <c r="B6" s="8" t="s">
        <v>229</v>
      </c>
      <c r="C6" s="9">
        <v>1309.9000000000001</v>
      </c>
      <c r="D6" s="10">
        <v>886.98828000000003</v>
      </c>
      <c r="E6" s="9">
        <f t="shared" ref="E6:E11" si="2">SUM(D6/C6*100)</f>
        <v>67.714198030383997</v>
      </c>
      <c r="F6" s="9">
        <f t="shared" si="1"/>
        <v>-422.91172000000006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515.45337000000006</v>
      </c>
      <c r="E7" s="9">
        <f t="shared" si="2"/>
        <v>77.886577515865838</v>
      </c>
      <c r="F7" s="9">
        <f t="shared" si="1"/>
        <v>-146.34662999999989</v>
      </c>
    </row>
    <row r="8" spans="1:6">
      <c r="A8" s="7">
        <v>1030223001</v>
      </c>
      <c r="B8" s="8" t="s">
        <v>283</v>
      </c>
      <c r="C8" s="9">
        <v>246.85</v>
      </c>
      <c r="D8" s="10">
        <v>224.46973</v>
      </c>
      <c r="E8" s="9">
        <f t="shared" si="2"/>
        <v>90.933656066437109</v>
      </c>
      <c r="F8" s="9">
        <f t="shared" si="1"/>
        <v>-22.380269999999996</v>
      </c>
    </row>
    <row r="9" spans="1:6">
      <c r="A9" s="7">
        <v>1030224001</v>
      </c>
      <c r="B9" s="8" t="s">
        <v>289</v>
      </c>
      <c r="C9" s="9">
        <v>2.65</v>
      </c>
      <c r="D9" s="10">
        <v>2.0359799999999999</v>
      </c>
      <c r="E9" s="9">
        <f t="shared" si="2"/>
        <v>76.829433962264147</v>
      </c>
      <c r="F9" s="9">
        <f t="shared" si="1"/>
        <v>-0.61402000000000001</v>
      </c>
    </row>
    <row r="10" spans="1:6">
      <c r="A10" s="7">
        <v>1030225001</v>
      </c>
      <c r="B10" s="8" t="s">
        <v>282</v>
      </c>
      <c r="C10" s="9">
        <v>412.3</v>
      </c>
      <c r="D10" s="10">
        <v>339.22802000000001</v>
      </c>
      <c r="E10" s="9">
        <f t="shared" si="2"/>
        <v>82.276987630366236</v>
      </c>
      <c r="F10" s="9">
        <f t="shared" si="1"/>
        <v>-73.071979999999996</v>
      </c>
    </row>
    <row r="11" spans="1:6">
      <c r="A11" s="7">
        <v>1030226001</v>
      </c>
      <c r="B11" s="8" t="s">
        <v>292</v>
      </c>
      <c r="C11" s="9">
        <v>0</v>
      </c>
      <c r="D11" s="10">
        <v>-50.280360000000002</v>
      </c>
      <c r="E11" s="9" t="e">
        <f t="shared" si="2"/>
        <v>#DIV/0!</v>
      </c>
      <c r="F11" s="9">
        <f t="shared" si="1"/>
        <v>-50.280360000000002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2840</v>
      </c>
      <c r="D14" s="5">
        <f>D15+D16</f>
        <v>1822.3663000000001</v>
      </c>
      <c r="E14" s="5">
        <f t="shared" si="0"/>
        <v>64.167827464788743</v>
      </c>
      <c r="F14" s="5">
        <f t="shared" si="1"/>
        <v>-1017.6336999999999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63.180610000000001</v>
      </c>
      <c r="E15" s="9">
        <f t="shared" si="0"/>
        <v>33.25295263157895</v>
      </c>
      <c r="F15" s="9">
        <f>SUM(D15-C15)</f>
        <v>-126.81939</v>
      </c>
    </row>
    <row r="16" spans="1:6" ht="15.75" customHeight="1">
      <c r="A16" s="7">
        <v>1060600000</v>
      </c>
      <c r="B16" s="11" t="s">
        <v>8</v>
      </c>
      <c r="C16" s="9">
        <v>2650</v>
      </c>
      <c r="D16" s="10">
        <v>1759.18569</v>
      </c>
      <c r="E16" s="9">
        <f t="shared" si="0"/>
        <v>66.38436566037737</v>
      </c>
      <c r="F16" s="9">
        <f t="shared" si="1"/>
        <v>-890.81430999999998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6.85</v>
      </c>
      <c r="E17" s="5">
        <f t="shared" si="0"/>
        <v>68.5</v>
      </c>
      <c r="F17" s="5">
        <f t="shared" si="1"/>
        <v>-3.1500000000000004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6.85</v>
      </c>
      <c r="E18" s="9">
        <f t="shared" si="0"/>
        <v>68.5</v>
      </c>
      <c r="F18" s="9">
        <f t="shared" si="1"/>
        <v>-3.1500000000000004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4833.7</v>
      </c>
      <c r="D39" s="127">
        <f>SUM(D4,D25)</f>
        <v>3259.8469600000003</v>
      </c>
      <c r="E39" s="5">
        <f t="shared" si="0"/>
        <v>67.439993379812577</v>
      </c>
      <c r="F39" s="5">
        <f t="shared" si="1"/>
        <v>-1573.8530399999995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1901.42</v>
      </c>
      <c r="D40" s="5">
        <f>D41+D43+D45+D46+D47+D48+D42+D44+D50</f>
        <v>754.65886999999998</v>
      </c>
      <c r="E40" s="5">
        <f t="shared" si="0"/>
        <v>39.689225421001147</v>
      </c>
      <c r="F40" s="5">
        <f t="shared" si="1"/>
        <v>-1146.7611300000001</v>
      </c>
      <c r="G40" s="19"/>
    </row>
    <row r="41" spans="1:7" ht="18.75" customHeight="1">
      <c r="A41" s="16">
        <v>2021000000</v>
      </c>
      <c r="B41" s="17" t="s">
        <v>21</v>
      </c>
      <c r="C41" s="12">
        <v>35.76</v>
      </c>
      <c r="D41" s="20">
        <v>5.63</v>
      </c>
      <c r="E41" s="9">
        <f t="shared" si="0"/>
        <v>15.743847874720359</v>
      </c>
      <c r="F41" s="9">
        <f t="shared" si="1"/>
        <v>-30.13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1336.52</v>
      </c>
      <c r="D43" s="10">
        <v>323.24786999999998</v>
      </c>
      <c r="E43" s="9">
        <f t="shared" si="0"/>
        <v>24.18578622093197</v>
      </c>
      <c r="F43" s="9">
        <f t="shared" si="1"/>
        <v>-1013.2721300000001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154.24</v>
      </c>
      <c r="D45" s="252">
        <v>150.881</v>
      </c>
      <c r="E45" s="9">
        <f t="shared" si="0"/>
        <v>97.822225103734439</v>
      </c>
      <c r="F45" s="9">
        <f t="shared" si="1"/>
        <v>-3.3590000000000089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5" customHeight="1">
      <c r="A47" s="16">
        <v>2020900000</v>
      </c>
      <c r="B47" s="18" t="s">
        <v>25</v>
      </c>
      <c r="C47" s="12">
        <v>100</v>
      </c>
      <c r="D47" s="253">
        <v>0</v>
      </c>
      <c r="E47" s="9">
        <f t="shared" si="0"/>
        <v>0</v>
      </c>
      <c r="F47" s="9">
        <f t="shared" si="1"/>
        <v>-100</v>
      </c>
    </row>
    <row r="48" spans="1:7" ht="15.75" customHeight="1">
      <c r="A48" s="7">
        <v>2190500005</v>
      </c>
      <c r="B48" s="11" t="s">
        <v>26</v>
      </c>
      <c r="C48" s="14">
        <v>0</v>
      </c>
      <c r="D48" s="14">
        <v>0</v>
      </c>
      <c r="E48" s="5" t="e">
        <f>SUM(D48/C48*100)</f>
        <v>#DIV/0!</v>
      </c>
      <c r="F48" s="5">
        <f>SUM(D48-C48)</f>
        <v>0</v>
      </c>
    </row>
    <row r="49" spans="1:7" s="6" customFormat="1" ht="15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396">
        <f>C39+C40</f>
        <v>6735.12</v>
      </c>
      <c r="D51" s="397">
        <f>D39+D40</f>
        <v>4014.5058300000001</v>
      </c>
      <c r="E51" s="5">
        <f t="shared" si="0"/>
        <v>59.605557584720096</v>
      </c>
      <c r="F51" s="5">
        <f t="shared" si="1"/>
        <v>-2720.6141699999998</v>
      </c>
      <c r="G51" s="94"/>
    </row>
    <row r="52" spans="1:7" s="6" customFormat="1">
      <c r="A52" s="3"/>
      <c r="B52" s="21" t="s">
        <v>322</v>
      </c>
      <c r="C52" s="93">
        <f>C51-C101</f>
        <v>-328.24600999999984</v>
      </c>
      <c r="D52" s="93">
        <f>D51-D101</f>
        <v>501.49945000000025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413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1826.8579999999999</v>
      </c>
      <c r="D56" s="32">
        <f>D57+D58+D59+D60+D61+D63+D62</f>
        <v>1341.7982200000001</v>
      </c>
      <c r="E56" s="34">
        <f>SUM(D56/C56*100)</f>
        <v>73.448413615070251</v>
      </c>
      <c r="F56" s="34">
        <f>SUM(D56-C56)</f>
        <v>-485.05977999999982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1799.6769999999999</v>
      </c>
      <c r="D58" s="37">
        <v>1320.3017600000001</v>
      </c>
      <c r="E58" s="38">
        <f t="shared" ref="E58:E101" si="3">SUM(D58/C58*100)</f>
        <v>73.363262407643163</v>
      </c>
      <c r="F58" s="38">
        <f t="shared" ref="F58:F101" si="4">SUM(D58-C58)</f>
        <v>-479.37523999999985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>
        <v>16.698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4.7984600000000004</v>
      </c>
      <c r="E63" s="38">
        <f t="shared" si="3"/>
        <v>87.515228889294193</v>
      </c>
      <c r="F63" s="38">
        <f t="shared" si="4"/>
        <v>-0.68453999999999926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123.09586</v>
      </c>
      <c r="E64" s="34">
        <f t="shared" si="3"/>
        <v>81.584732338730532</v>
      </c>
      <c r="F64" s="34">
        <f t="shared" si="4"/>
        <v>-27.785139999999998</v>
      </c>
    </row>
    <row r="65" spans="1:7">
      <c r="A65" s="43" t="s">
        <v>48</v>
      </c>
      <c r="B65" s="44" t="s">
        <v>49</v>
      </c>
      <c r="C65" s="37">
        <v>150.881</v>
      </c>
      <c r="D65" s="37">
        <v>123.09586</v>
      </c>
      <c r="E65" s="38">
        <f t="shared" si="3"/>
        <v>81.584732338730532</v>
      </c>
      <c r="F65" s="38">
        <f t="shared" si="4"/>
        <v>-27.785139999999998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1.8</v>
      </c>
      <c r="E66" s="34">
        <f t="shared" si="3"/>
        <v>12.000000000000002</v>
      </c>
      <c r="F66" s="34">
        <f t="shared" si="4"/>
        <v>-13.2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1.8</v>
      </c>
      <c r="E70" s="34">
        <f t="shared" si="3"/>
        <v>18</v>
      </c>
      <c r="F70" s="34">
        <f t="shared" si="4"/>
        <v>-8.1999999999999993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2995.57501</v>
      </c>
      <c r="D71" s="48">
        <f>SUM(D72:D75)</f>
        <v>877.51490999999999</v>
      </c>
      <c r="E71" s="34">
        <f t="shared" si="3"/>
        <v>29.293705117402485</v>
      </c>
      <c r="F71" s="34">
        <f t="shared" si="4"/>
        <v>-2118.0601000000001</v>
      </c>
    </row>
    <row r="72" spans="1:7" ht="18" customHeight="1">
      <c r="A72" s="35" t="s">
        <v>60</v>
      </c>
      <c r="B72" s="39" t="s">
        <v>61</v>
      </c>
      <c r="C72" s="49">
        <v>7.5</v>
      </c>
      <c r="D72" s="37">
        <v>0</v>
      </c>
      <c r="E72" s="38">
        <f t="shared" si="3"/>
        <v>0</v>
      </c>
      <c r="F72" s="38">
        <f t="shared" si="4"/>
        <v>-7.5</v>
      </c>
    </row>
    <row r="73" spans="1:7" s="6" customFormat="1" ht="15" customHeight="1">
      <c r="A73" s="35" t="s">
        <v>62</v>
      </c>
      <c r="B73" s="39" t="s">
        <v>63</v>
      </c>
      <c r="C73" s="49">
        <v>476.60899999999998</v>
      </c>
      <c r="D73" s="37">
        <v>266.83006999999998</v>
      </c>
      <c r="E73" s="38">
        <f t="shared" si="3"/>
        <v>55.985109387359444</v>
      </c>
      <c r="F73" s="38">
        <f t="shared" si="4"/>
        <v>-209.77893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610.68484000000001</v>
      </c>
      <c r="E74" s="38">
        <f t="shared" si="3"/>
        <v>26.419806190444479</v>
      </c>
      <c r="F74" s="38">
        <f t="shared" si="4"/>
        <v>-1700.7811700000002</v>
      </c>
    </row>
    <row r="75" spans="1:7">
      <c r="A75" s="35" t="s">
        <v>66</v>
      </c>
      <c r="B75" s="39" t="s">
        <v>67</v>
      </c>
      <c r="C75" s="49">
        <v>200</v>
      </c>
      <c r="D75" s="37">
        <v>0</v>
      </c>
      <c r="E75" s="38">
        <f t="shared" si="3"/>
        <v>0</v>
      </c>
      <c r="F75" s="38">
        <f t="shared" si="4"/>
        <v>-200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944.15</v>
      </c>
      <c r="D76" s="32">
        <f>SUM(D77:D80)</f>
        <v>509.99739</v>
      </c>
      <c r="E76" s="34">
        <f t="shared" si="3"/>
        <v>54.016564105279883</v>
      </c>
      <c r="F76" s="34">
        <f t="shared" si="4"/>
        <v>-434.15260999999998</v>
      </c>
    </row>
    <row r="77" spans="1:7" ht="17.2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944.15</v>
      </c>
      <c r="D79" s="37">
        <v>509.99739</v>
      </c>
      <c r="E79" s="38">
        <f t="shared" si="3"/>
        <v>54.016564105279883</v>
      </c>
      <c r="F79" s="38">
        <f t="shared" si="4"/>
        <v>-434.15260999999998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648.79999999999995</v>
      </c>
      <c r="E81" s="34">
        <f t="shared" si="3"/>
        <v>58.577103647526187</v>
      </c>
      <c r="F81" s="34">
        <f t="shared" si="4"/>
        <v>-458.79999999999995</v>
      </c>
    </row>
    <row r="82" spans="1:6" ht="18" hidden="1" customHeight="1">
      <c r="A82" s="35" t="s">
        <v>88</v>
      </c>
      <c r="B82" s="39" t="s">
        <v>234</v>
      </c>
      <c r="C82" s="37">
        <v>1107.5999999999999</v>
      </c>
      <c r="D82" s="37">
        <v>648.79999999999995</v>
      </c>
      <c r="E82" s="38">
        <f t="shared" si="3"/>
        <v>58.577103647526187</v>
      </c>
      <c r="F82" s="38">
        <f t="shared" si="4"/>
        <v>-458.79999999999995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23.302</v>
      </c>
      <c r="D91" s="32">
        <f>D92+D93+D94+D95+D96</f>
        <v>10</v>
      </c>
      <c r="E91" s="38">
        <f t="shared" si="3"/>
        <v>42.914771264269163</v>
      </c>
      <c r="F91" s="22">
        <f>F92+F93+F94+F95+F96</f>
        <v>-13.302</v>
      </c>
    </row>
    <row r="92" spans="1:6" ht="18.75" customHeight="1">
      <c r="A92" s="53">
        <v>1101</v>
      </c>
      <c r="B92" s="54" t="s">
        <v>98</v>
      </c>
      <c r="C92" s="37">
        <v>23.302</v>
      </c>
      <c r="D92" s="37">
        <v>10</v>
      </c>
      <c r="E92" s="38">
        <f t="shared" si="3"/>
        <v>42.914771264269163</v>
      </c>
      <c r="F92" s="38">
        <f>SUM(D92-C92)</f>
        <v>-13.302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400">
        <f>C56+C64+C66+C71+C76+C81+C84+C91+C97+C89</f>
        <v>7063.3660099999997</v>
      </c>
      <c r="D101" s="400">
        <f>D56+D64+D66+D71+D76+D81+D84+D91+D97+D89</f>
        <v>3513.0063799999998</v>
      </c>
      <c r="E101" s="34">
        <f t="shared" si="3"/>
        <v>49.735584635235405</v>
      </c>
      <c r="F101" s="34">
        <f t="shared" si="4"/>
        <v>-3550.3596299999999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E271257C-1B5C-4EEE-899F-E7A422E6A72D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1"/>
    </customSheetView>
    <customSheetView guid="{B30CE22D-C12F-4E12-8BB9-3AAE0A6991CC}" scale="70" showPageBreaks="1" hiddenRows="1" view="pageBreakPreview" topLeftCell="A36">
      <selection activeCell="C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3">
      <selection activeCell="C101" activeCellId="1" sqref="C51:D52 C101:D101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5"/>
    </customSheetView>
    <customSheetView guid="{5BFCA170-DEAE-4D2C-98A0-1E68B427AC01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6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2018-09-06T11:44:44Z</cp:lastPrinted>
  <dcterms:created xsi:type="dcterms:W3CDTF">1996-10-08T23:32:33Z</dcterms:created>
  <dcterms:modified xsi:type="dcterms:W3CDTF">2019-05-10T09:57:40Z</dcterms:modified>
</cp:coreProperties>
</file>