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revisions/revisionLog1.xml" ContentType="application/vnd.openxmlformats-officedocument.spreadsheetml.revisionLog+xml"/>
  <Default Extension="bin" ContentType="application/vnd.openxmlformats-officedocument.spreadsheetml.printerSettings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revisions/revisionLog155.xml" ContentType="application/vnd.openxmlformats-officedocument.spreadsheetml.revisionLog+xml"/>
  <Override PartName="/xl/revisions/userNames.xml" ContentType="application/vnd.openxmlformats-officedocument.spreadsheetml.userNames+xml"/>
  <Override PartName="/xl/worksheets/sheet9.xml" ContentType="application/vnd.openxmlformats-officedocument.spreadsheetml.worksheet+xml"/>
  <Override PartName="/xl/theme/theme1.xml" ContentType="application/vnd.openxmlformats-officedocument.theme+xml"/>
  <Default Extension="rels" ContentType="application/vnd.openxmlformats-package.relationship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21.xml" ContentType="application/vnd.openxmlformats-officedocument.spreadsheetml.worksheet+xml"/>
  <Override PartName="/xl/worksheets/sheet6.xml" ContentType="application/vnd.openxmlformats-officedocument.spreadsheetml.worksheet+xml"/>
  <Default Extension="xml" ContentType="application/xml"/>
  <Override PartName="/docProps/app.xml" ContentType="application/vnd.openxmlformats-officedocument.extended-properties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9.xml" ContentType="application/vnd.openxmlformats-officedocument.spreadsheetml.worksheet+xml"/>
  <Override PartName="/xl/worksheets/sheet17.xml" ContentType="application/vnd.openxmlformats-officedocument.spreadsheetml.worksheet+xml"/>
  <Override PartName="/docProps/core.xml" ContentType="application/vnd.openxmlformats-package.core-properties+xml"/>
  <Override PartName="/xl/worksheets/sheet1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ЭтаКнига" defaultThemeVersion="124226"/>
  <bookViews>
    <workbookView xWindow="120" yWindow="120" windowWidth="9720" windowHeight="7320" tabRatio="695" activeTab="18"/>
  </bookViews>
  <sheets>
    <sheet name="Консол" sheetId="1" r:id="rId1"/>
    <sheet name="Справка" sheetId="2" r:id="rId2"/>
    <sheet name="район" sheetId="3" r:id="rId3"/>
    <sheet name="Але" sheetId="4" r:id="rId4"/>
    <sheet name="Сун" sheetId="5" r:id="rId5"/>
    <sheet name="Иль" sheetId="6" r:id="rId6"/>
    <sheet name="Кад" sheetId="7" r:id="rId7"/>
    <sheet name="Мор" sheetId="8" r:id="rId8"/>
    <sheet name="Мос" sheetId="9" r:id="rId9"/>
    <sheet name="Ори" sheetId="10" r:id="rId10"/>
    <sheet name="Сят" sheetId="11" r:id="rId11"/>
    <sheet name="Тор" sheetId="12" r:id="rId12"/>
    <sheet name="Хор" sheetId="13" r:id="rId13"/>
    <sheet name="Чум" sheetId="14" r:id="rId14"/>
    <sheet name="Шать" sheetId="15" r:id="rId15"/>
    <sheet name="Юнг" sheetId="16" r:id="rId16"/>
    <sheet name="Юсь" sheetId="17" r:id="rId17"/>
    <sheet name="Яра" sheetId="18" r:id="rId18"/>
    <sheet name="Яро" sheetId="19" r:id="rId19"/>
    <sheet name="Лист1" sheetId="20" state="hidden" r:id="rId20"/>
    <sheet name="Лист2" sheetId="21" state="hidden" r:id="rId21"/>
  </sheets>
  <definedNames>
    <definedName name="Z_1718F1EE_9F48_4DBE_9531_3B70F9C4A5DD_.wvu.Cols" localSheetId="1" hidden="1">Справка!$AV:$AX,Справка!$BB:$BD,Справка!$BH:$BP,Справка!$BT:$BY,Справка!$CX:$DF</definedName>
    <definedName name="Z_1718F1EE_9F48_4DBE_9531_3B70F9C4A5DD_.wvu.PrintArea" localSheetId="5" hidden="1">Иль!$A$1:$F$104</definedName>
    <definedName name="Z_1718F1EE_9F48_4DBE_9531_3B70F9C4A5DD_.wvu.PrintArea" localSheetId="0" hidden="1">Консол!$A$1:$K$50</definedName>
    <definedName name="Z_1718F1EE_9F48_4DBE_9531_3B70F9C4A5DD_.wvu.PrintArea" localSheetId="7" hidden="1">Мор!$A$1:$F$100</definedName>
    <definedName name="Z_1718F1EE_9F48_4DBE_9531_3B70F9C4A5DD_.wvu.PrintArea" localSheetId="1" hidden="1">Справка!$A$1:$EY$31</definedName>
    <definedName name="Z_1718F1EE_9F48_4DBE_9531_3B70F9C4A5DD_.wvu.PrintArea" localSheetId="11" hidden="1">Тор!$A$1:$F$101</definedName>
    <definedName name="Z_1718F1EE_9F48_4DBE_9531_3B70F9C4A5DD_.wvu.PrintArea" localSheetId="15" hidden="1">Юнг!$A$1:$F$99</definedName>
    <definedName name="Z_1718F1EE_9F48_4DBE_9531_3B70F9C4A5DD_.wvu.PrintArea" localSheetId="17" hidden="1">Яра!$A$1:$F$102</definedName>
    <definedName name="Z_1718F1EE_9F48_4DBE_9531_3B70F9C4A5DD_.wvu.Rows" localSheetId="3" hidden="1">Але!$19:$24,Але!$28:$36,Але!$46:$46,Але!$53:$53,Але!$55:$57,Але!$63:$64,Але!$69:$69,Але!$71:$71,Але!$73:$74,Але!$78:$82,Але!$85:$92,Але!$141:$141</definedName>
    <definedName name="Z_1718F1EE_9F48_4DBE_9531_3B70F9C4A5DD_.wvu.Rows" localSheetId="5" hidden="1">Иль!$19:$24,Иль!$30:$39,Иль!$45:$45,Иль!$47:$50,Иль!$58:$58,Иль!$60:$62,Иль!$68:$69,Иль!$78:$79,Иль!$81:$81,Иль!$86:$90,Иль!$93:$100,Иль!$143:$143</definedName>
    <definedName name="Z_1718F1EE_9F48_4DBE_9531_3B70F9C4A5DD_.wvu.Rows" localSheetId="6" hidden="1">Кад!$19:$24,Кад!$29:$35,Кад!$38:$38,Кад!$42:$42,Кад!$44:$44,Кад!$46:$49,Кад!$56:$56,Кад!$58:$60,Кад!$66:$67,Кад!$76:$77,Кад!$81:$85,Кад!$88:$95,Кад!$141:$141</definedName>
    <definedName name="Z_1718F1EE_9F48_4DBE_9531_3B70F9C4A5DD_.wvu.Rows" localSheetId="0" hidden="1">Консол!$22:$22,Консол!$43:$45</definedName>
    <definedName name="Z_1718F1EE_9F48_4DBE_9531_3B70F9C4A5DD_.wvu.Rows" localSheetId="7" hidden="1">Мор!$17:$24,Мор!$27:$27,Мор!$31:$35,Мор!$37:$37,Мор!$44:$44,Мор!$46:$47,Мор!$49:$50,Мор!$57:$57,Мор!$59:$61,Мор!$64:$65,Мор!$67:$68,Мор!$77:$78,Мор!$82:$87,Мор!$90:$96,Мор!$141:$141</definedName>
    <definedName name="Z_1718F1EE_9F48_4DBE_9531_3B70F9C4A5DD_.wvu.Rows" localSheetId="8" hidden="1">Мос!$19:$24,Мос!$29:$35,Мос!$44:$44,Мос!$46:$49,Мос!$57:$57,Мос!$59:$61,Мос!$67:$68,Мос!$77:$78,Мос!$80:$80,Мос!$83:$90,Мос!$93:$100,Мос!$141:$141</definedName>
    <definedName name="Z_1718F1EE_9F48_4DBE_9531_3B70F9C4A5DD_.wvu.Rows" localSheetId="9" hidden="1">Ори!$19:$24,Ори!$31:$35,Ори!$44:$44,Ори!$46:$46,Ори!$48:$50,Ори!$57:$57,Ори!$59:$61,Ори!$67:$68,Ори!$77:$78,Ори!$80:$80,Ори!$83:$87,Ори!$90:$97,Ори!$141:$141</definedName>
    <definedName name="Z_1718F1EE_9F48_4DBE_9531_3B70F9C4A5DD_.wvu.Rows" localSheetId="2" hidden="1">район!$17:$18,район!$20:$20,район!$25:$25,район!$27:$31,район!$35:$35,район!$38:$38,район!$50:$51,район!$75:$75,район!$82:$82,район!$99:$99,район!$105:$105,район!$132:$134,район!$137:$138</definedName>
    <definedName name="Z_1718F1EE_9F48_4DBE_9531_3B70F9C4A5DD_.wvu.Rows" localSheetId="1" hidden="1">Справка!$33:$33</definedName>
    <definedName name="Z_1718F1EE_9F48_4DBE_9531_3B70F9C4A5DD_.wvu.Rows" localSheetId="4" hidden="1">Сун!$19:$24,Сун!$34:$39,Сун!$43:$43,Сун!$45:$45,Сун!$47:$47,Сун!$49:$51,Сун!$58:$58,Сун!$60:$62,Сун!$68:$69,Сун!$78:$79,Сун!$81:$81,Сун!$84:$89,Сун!$92:$99,Сун!$141:$141</definedName>
    <definedName name="Z_1718F1EE_9F48_4DBE_9531_3B70F9C4A5DD_.wvu.Rows" localSheetId="10" hidden="1">Сят!$19:$24,Сят!$31:$35,Сят!$38:$38,Сят!$45:$48,Сят!$57:$57,Сят!$59:$61,Сят!$67:$68,Сят!$77:$78,Сят!$82:$86,Сят!$89:$96,Сят!$142:$142</definedName>
    <definedName name="Z_1718F1EE_9F48_4DBE_9531_3B70F9C4A5DD_.wvu.Rows" localSheetId="11" hidden="1">Тор!$19:$24,Тор!$32:$36,Тор!$39:$39,Тор!$46:$47,Тор!$50:$50,Тор!$57:$57,Тор!$59:$61,Тор!$67:$68,Тор!$74:$74,Тор!$78:$79,Тор!$83:$95,Тор!$142:$142</definedName>
    <definedName name="Z_1718F1EE_9F48_4DBE_9531_3B70F9C4A5DD_.wvu.Rows" localSheetId="12" hidden="1">Хор!$19:$24,Хор!$28:$36,Хор!$40:$40,Хор!$44:$44,Хор!$46:$48,Хор!$55:$55,Хор!$57:$59,Хор!$65:$66,Хор!$71:$71,Хор!$75:$76,Хор!$80:$84,Хор!$87:$94,Хор!$141:$141</definedName>
    <definedName name="Z_1718F1EE_9F48_4DBE_9531_3B70F9C4A5DD_.wvu.Rows" localSheetId="13" hidden="1">Чум!$19:$24,Чум!$31:$39,Чум!$46:$49,Чум!$57:$57,Чум!$59:$61,Чум!$67:$68,Чум!$77:$78,Чум!$82:$86,Чум!$89:$96,Чум!$141:$141</definedName>
    <definedName name="Z_1718F1EE_9F48_4DBE_9531_3B70F9C4A5DD_.wvu.Rows" localSheetId="14" hidden="1">Шать!$19:$19,Шать!$22:$25,Шать!$46:$49,Шать!$57:$57,Шать!$59:$61,Шать!$67:$68,Шать!$77:$78,Шать!$82:$86,Шать!$89:$96,Шать!$141:$141</definedName>
    <definedName name="Z_1718F1EE_9F48_4DBE_9531_3B70F9C4A5DD_.wvu.Rows" localSheetId="15" hidden="1">Юнг!$19:$24,Юнг!$31:$35,Юнг!$38:$38,Юнг!$45:$47,Юнг!$49:$49,Юнг!$56:$56,Юнг!$58:$60,Юнг!$66:$68,Юнг!$76:$77,Юнг!$81:$85,Юнг!$88:$95,Юнг!$141:$141</definedName>
    <definedName name="Z_1718F1EE_9F48_4DBE_9531_3B70F9C4A5DD_.wvu.Rows" localSheetId="16" hidden="1">Юсь!$19:$24,Юсь!$31:$33,Юсь!$36:$36,Юсь!$44:$50,Юсь!$58:$58,Юсь!$60:$62,Юсь!$68:$69,Юсь!$78:$79,Юсь!$83:$87,Юсь!$90:$97,Юсь!$141:$141</definedName>
    <definedName name="Z_1718F1EE_9F48_4DBE_9531_3B70F9C4A5DD_.wvu.Rows" localSheetId="17" hidden="1">Яра!$19:$24,Яра!$30:$39,Яра!$46:$50,Яра!$58:$58,Яра!$60:$62,Яра!$68:$69,Яра!$79:$80,Яра!$84:$88,Яра!$91:$98,Яра!$143:$143</definedName>
    <definedName name="Z_1718F1EE_9F48_4DBE_9531_3B70F9C4A5DD_.wvu.Rows" localSheetId="18" hidden="1">Яро!$19:$24,Яро!$28:$33,Яро!$43:$44,Яро!$46:$47,Яро!$54:$54,Яро!$56:$57,Яро!$64:$65,Яро!$74:$75,Яро!$79:$83,Яро!$86:$93</definedName>
    <definedName name="Z_3DCB9AAA_F09C_4EA6_B992_F93E466D374A_.wvu.Cols" localSheetId="1" hidden="1">Справка!$AV:$AX,Справка!$BB:$BD,Справка!$BH:$BM,Справка!$BT:$BY,Справка!$CX:$DF</definedName>
    <definedName name="Z_3DCB9AAA_F09C_4EA6_B992_F93E466D374A_.wvu.PrintArea" localSheetId="5" hidden="1">Иль!$A$1:$F$104</definedName>
    <definedName name="Z_3DCB9AAA_F09C_4EA6_B992_F93E466D374A_.wvu.PrintArea" localSheetId="0" hidden="1">Консол!$A$1:$K$50</definedName>
    <definedName name="Z_3DCB9AAA_F09C_4EA6_B992_F93E466D374A_.wvu.PrintArea" localSheetId="7" hidden="1">Мор!$A$1:$F$100</definedName>
    <definedName name="Z_3DCB9AAA_F09C_4EA6_B992_F93E466D374A_.wvu.PrintArea" localSheetId="1" hidden="1">Справка!$A$1:$EY$31</definedName>
    <definedName name="Z_3DCB9AAA_F09C_4EA6_B992_F93E466D374A_.wvu.PrintArea" localSheetId="11" hidden="1">Тор!$A$1:$F$101</definedName>
    <definedName name="Z_3DCB9AAA_F09C_4EA6_B992_F93E466D374A_.wvu.PrintArea" localSheetId="15" hidden="1">Юнг!$A$1:$F$99</definedName>
    <definedName name="Z_3DCB9AAA_F09C_4EA6_B992_F93E466D374A_.wvu.PrintArea" localSheetId="17" hidden="1">Яра!$A$1:$F$102</definedName>
    <definedName name="Z_3DCB9AAA_F09C_4EA6_B992_F93E466D374A_.wvu.Rows" localSheetId="3" hidden="1">Але!$19:$24,Але!$44:$44,Але!$46:$46,Але!$53:$53,Але!$55:$56,Але!$63:$64,Але!$73:$74,Але!$78:$92</definedName>
    <definedName name="Z_3DCB9AAA_F09C_4EA6_B992_F93E466D374A_.wvu.Rows" localSheetId="5" hidden="1">Иль!$19:$24,Иль!$30:$31,Иль!$33:$33,Иль!$45:$45,Иль!$50:$50,Иль!$60:$61,Иль!$68:$69,Иль!$78:$79,Иль!$81:$81,Иль!$83:$90,Иль!$93:$97</definedName>
    <definedName name="Z_3DCB9AAA_F09C_4EA6_B992_F93E466D374A_.wvu.Rows" localSheetId="6" hidden="1">Кад!$19:$24,Кад!$44:$44,Кад!$56:$56,Кад!$58:$59,Кад!$66:$67,Кад!$82:$84,Кад!$88:$95</definedName>
    <definedName name="Z_3DCB9AAA_F09C_4EA6_B992_F93E466D374A_.wvu.Rows" localSheetId="0" hidden="1">Консол!$22:$22,Консол!$43:$45,Консол!$82:$84</definedName>
    <definedName name="Z_3DCB9AAA_F09C_4EA6_B992_F93E466D374A_.wvu.Rows" localSheetId="19" hidden="1">Лист1!$82:$84</definedName>
    <definedName name="Z_3DCB9AAA_F09C_4EA6_B992_F93E466D374A_.wvu.Rows" localSheetId="7" hidden="1">Мор!$21:$21,Мор!$23:$23,Мор!$37:$37,Мор!$44:$44,Мор!$47:$47,Мор!$49:$50,Мор!$57:$57,Мор!$59:$60,Мор!$67:$68,Мор!$82:$87,Мор!$90:$96</definedName>
    <definedName name="Z_3DCB9AAA_F09C_4EA6_B992_F93E466D374A_.wvu.Rows" localSheetId="8" hidden="1">Мос!$19:$24,Мос!$44:$44,Мос!$57:$57,Мос!$59:$60,Мос!$67:$68,Мос!$80:$80,Мос!$82:$88,Мос!$93:$98</definedName>
    <definedName name="Z_3DCB9AAA_F09C_4EA6_B992_F93E466D374A_.wvu.Rows" localSheetId="9" hidden="1">Ори!$19:$24,Ори!$32:$32,Ори!$44:$44,Ори!$48:$50,Ори!$57:$57,Ори!$59:$60,Ори!$67:$68,Ори!$77:$78,Ори!$80:$80,Ори!$82:$86,Ори!$90:$97</definedName>
    <definedName name="Z_3DCB9AAA_F09C_4EA6_B992_F93E466D374A_.wvu.Rows" localSheetId="2" hidden="1">район!$17:$18,район!$20:$20,район!$28:$30,район!$50:$51,район!$75:$75,район!$82:$82,район!$99:$99,район!$105:$105,район!$132:$134</definedName>
    <definedName name="Z_3DCB9AAA_F09C_4EA6_B992_F93E466D374A_.wvu.Rows" localSheetId="1" hidden="1">Справка!$33:$33</definedName>
    <definedName name="Z_3DCB9AAA_F09C_4EA6_B992_F93E466D374A_.wvu.Rows" localSheetId="4" hidden="1">Сун!$19:$24,Сун!$49:$51,Сун!$58:$58,Сун!$60:$61,Сун!$68:$69,Сун!$78:$79,Сун!$81:$84,Сун!$87:$88,Сун!$92:$96</definedName>
    <definedName name="Z_3DCB9AAA_F09C_4EA6_B992_F93E466D374A_.wvu.Rows" localSheetId="10" hidden="1">Сят!$19:$19,Сят!$45:$47,Сят!$57:$57,Сят!$59:$60,Сят!$67:$68,Сят!$82:$85,Сят!$89:$96</definedName>
    <definedName name="Z_3DCB9AAA_F09C_4EA6_B992_F93E466D374A_.wvu.Rows" localSheetId="11" hidden="1">Тор!$19:$19,Тор!$50:$50,Тор!$57:$57,Тор!$59:$60,Тор!$67:$68,Тор!$74:$74,Тор!$78:$79,Тор!$82:$93</definedName>
    <definedName name="Z_3DCB9AAA_F09C_4EA6_B992_F93E466D374A_.wvu.Rows" localSheetId="12" hidden="1">Хор!$19:$24,Хор!$32:$32,Хор!$40:$40,Хор!$44:$44,Хор!$55:$55,Хор!$57:$58,Хор!$65:$66,Хор!$80:$84,Хор!$87:$94</definedName>
    <definedName name="Z_3DCB9AAA_F09C_4EA6_B992_F93E466D374A_.wvu.Rows" localSheetId="13" hidden="1">Чум!$19:$19,Чум!$21:$21,Чум!$23:$24,Чум!$47:$49,Чум!$57:$57,Чум!$59:$60,Чум!$67:$68,Чум!$82:$86,Чум!$89:$96</definedName>
    <definedName name="Z_3DCB9AAA_F09C_4EA6_B992_F93E466D374A_.wvu.Rows" localSheetId="14" hidden="1">Шать!$19:$24,Шать!$47:$49,Шать!$57:$57,Шать!$59:$60,Шать!$67:$68,Шать!$77:$78,Шать!$82:$86,Шать!$89:$96</definedName>
    <definedName name="Z_3DCB9AAA_F09C_4EA6_B992_F93E466D374A_.wvu.Rows" localSheetId="15" hidden="1">Юнг!$19:$24,Юнг!$32:$32,Юнг!$46:$46,Юнг!$49:$49,Юнг!$56:$56,Юнг!$58:$59,Юнг!$66:$67,Юнг!$81:$85,Юнг!$88:$95</definedName>
    <definedName name="Z_3DCB9AAA_F09C_4EA6_B992_F93E466D374A_.wvu.Rows" localSheetId="16" hidden="1">Юсь!$20:$24,Юсь!$40:$40,Юсь!$44:$49,Юсь!$58:$58,Юсь!$60:$61,Юсь!$68:$69,Юсь!$78:$79,Юсь!$82:$87,Юсь!$90:$97</definedName>
    <definedName name="Z_3DCB9AAA_F09C_4EA6_B992_F93E466D374A_.wvu.Rows" localSheetId="17" hidden="1">Яра!$19:$24,Яра!$46:$50,Яра!$58:$58,Яра!$60:$61,Яра!$68:$69,Яра!$79:$79,Яра!$82:$88,Яра!$91:$98</definedName>
    <definedName name="Z_3DCB9AAA_F09C_4EA6_B992_F93E466D374A_.wvu.Rows" localSheetId="18" hidden="1">Яро!$19:$24,Яро!$29:$30,Яро!$32:$32,Яро!$43:$43,Яро!$54:$54,Яро!$56:$57,Яро!$64:$65,Яро!$74:$75,Яро!$79:$84,Яро!$86:$93</definedName>
    <definedName name="Z_42584DC0_1D41_4C93_9B38_C388E7B8DAC4_.wvu.Cols" localSheetId="1" hidden="1">Справка!$AV:$AX,Справка!$BB:$BD,Справка!$BH:$BP,Справка!$BT:$BY,Справка!$CX:$DF</definedName>
    <definedName name="Z_42584DC0_1D41_4C93_9B38_C388E7B8DAC4_.wvu.PrintArea" localSheetId="5" hidden="1">Иль!$A$1:$F$104</definedName>
    <definedName name="Z_42584DC0_1D41_4C93_9B38_C388E7B8DAC4_.wvu.PrintArea" localSheetId="0" hidden="1">Консол!$A$1:$K$50</definedName>
    <definedName name="Z_42584DC0_1D41_4C93_9B38_C388E7B8DAC4_.wvu.PrintArea" localSheetId="7" hidden="1">Мор!$A$1:$F$100</definedName>
    <definedName name="Z_42584DC0_1D41_4C93_9B38_C388E7B8DAC4_.wvu.PrintArea" localSheetId="1" hidden="1">Справка!$A$1:$EY$31</definedName>
    <definedName name="Z_42584DC0_1D41_4C93_9B38_C388E7B8DAC4_.wvu.PrintArea" localSheetId="11" hidden="1">Тор!$A$1:$F$101</definedName>
    <definedName name="Z_42584DC0_1D41_4C93_9B38_C388E7B8DAC4_.wvu.PrintArea" localSheetId="15" hidden="1">Юнг!$A$1:$F$99</definedName>
    <definedName name="Z_42584DC0_1D41_4C93_9B38_C388E7B8DAC4_.wvu.PrintArea" localSheetId="17" hidden="1">Яра!$A$1:$F$102</definedName>
    <definedName name="Z_42584DC0_1D41_4C93_9B38_C388E7B8DAC4_.wvu.Rows" localSheetId="3" hidden="1">Але!$19:$24,Але!$31:$33,Але!$36:$36,Але!$44:$44,Але!$46:$46,Але!$53:$53,Але!$55:$57,Але!$63:$64,Але!$73:$74,Але!$78:$82,Але!$85:$92</definedName>
    <definedName name="Z_42584DC0_1D41_4C93_9B38_C388E7B8DAC4_.wvu.Rows" localSheetId="5" hidden="1">Иль!$19:$24,Иль!$30:$39,Иль!$45:$45,Иль!$47:$50,Иль!$58:$58,Иль!$60:$62,Иль!$68:$69,Иль!$78:$79,Иль!$81:$81,Иль!$86:$90,Иль!$93:$100</definedName>
    <definedName name="Z_42584DC0_1D41_4C93_9B38_C388E7B8DAC4_.wvu.Rows" localSheetId="6" hidden="1">Кад!$19:$24,Кад!$31:$35,Кад!$38:$38,Кад!$44:$44,Кад!$46:$46,Кад!$48:$49,Кад!$56:$56,Кад!$58:$60,Кад!$66:$67,Кад!$76:$77,Кад!$81:$85,Кад!$88:$95</definedName>
    <definedName name="Z_42584DC0_1D41_4C93_9B38_C388E7B8DAC4_.wvu.Rows" localSheetId="0" hidden="1">Консол!$22:$22,Консол!$43:$45</definedName>
    <definedName name="Z_42584DC0_1D41_4C93_9B38_C388E7B8DAC4_.wvu.Rows" localSheetId="7" hidden="1">Мор!$17:$24,Мор!$37:$37,Мор!$44:$44,Мор!$46:$47,Мор!$49:$50,Мор!$57:$57,Мор!$59:$60,Мор!$64:$65,Мор!$67:$68,Мор!$77:$78,Мор!$82:$87,Мор!$90:$96</definedName>
    <definedName name="Z_42584DC0_1D41_4C93_9B38_C388E7B8DAC4_.wvu.Rows" localSheetId="8" hidden="1">Мос!$19:$24,Мос!$29:$35,Мос!$44:$44,Мос!$46:$49,Мос!$57:$57,Мос!$59:$60,Мос!$67:$68,Мос!$77:$78,Мос!$80:$80,Мос!$83:$90,Мос!$93:$100</definedName>
    <definedName name="Z_42584DC0_1D41_4C93_9B38_C388E7B8DAC4_.wvu.Rows" localSheetId="9" hidden="1">Ори!$19:$24,Ори!$31:$35,Ори!$38:$38,Ори!$44:$44,Ори!$46:$46,Ори!$48:$50,Ори!$57:$57,Ори!$59:$61,Ори!$67:$68,Ори!$77:$78,Ори!$80:$80,Ори!$83:$87,Ори!$90:$97</definedName>
    <definedName name="Z_42584DC0_1D41_4C93_9B38_C388E7B8DAC4_.wvu.Rows" localSheetId="2" hidden="1">район!$17:$18,район!$20:$20,район!$25:$25,район!$27:$31,район!$35:$35,район!$38:$38,район!$46:$46,район!$50:$51,район!$62:$62,район!$67:$67,район!$69:$71,район!$75:$75,район!$82:$82,район!$93:$93,район!$99:$99,район!$102:$102,район!$105:$105,район!$112:$112,район!$132:$134,район!$137:$138</definedName>
    <definedName name="Z_42584DC0_1D41_4C93_9B38_C388E7B8DAC4_.wvu.Rows" localSheetId="1" hidden="1">Справка!$33:$33</definedName>
    <definedName name="Z_42584DC0_1D41_4C93_9B38_C388E7B8DAC4_.wvu.Rows" localSheetId="4" hidden="1">Сун!$19:$24,Сун!$34:$39,Сун!$49:$51,Сун!$58:$58,Сун!$60:$63,Сун!$68:$69,Сун!$78:$79,Сун!$81:$81,Сун!$84:$84,Сун!$86:$88,Сун!$92:$99</definedName>
    <definedName name="Z_42584DC0_1D41_4C93_9B38_C388E7B8DAC4_.wvu.Rows" localSheetId="10" hidden="1">Сят!$19:$24,Сят!$31:$35,Сят!$45:$48,Сят!$57:$57,Сят!$59:$60,Сят!$67:$68,Сят!$77:$78,Сят!$82:$86,Сят!$89:$96</definedName>
    <definedName name="Z_42584DC0_1D41_4C93_9B38_C388E7B8DAC4_.wvu.Rows" localSheetId="11" hidden="1">Тор!$19:$24,Тор!$32:$36,Тор!$46:$47,Тор!$50:$50,Тор!$57:$57,Тор!$59:$60,Тор!$67:$68,Тор!$74:$74,Тор!$78:$79,Тор!$83:$95</definedName>
    <definedName name="Z_42584DC0_1D41_4C93_9B38_C388E7B8DAC4_.wvu.Rows" localSheetId="12" hidden="1">Хор!$19:$24,Хор!$28:$36,Хор!$40:$40,Хор!$44:$44,Хор!$46:$48,Хор!$55:$55,Хор!$57:$59,Хор!$65:$66,Хор!$71:$71,Хор!$75:$76,Хор!$80:$84,Хор!$87:$94</definedName>
    <definedName name="Z_42584DC0_1D41_4C93_9B38_C388E7B8DAC4_.wvu.Rows" localSheetId="13" hidden="1">Чум!$19:$24,Чум!$31:$36,Чум!$47:$49,Чум!$57:$57,Чум!$59:$61,Чум!$67:$68,Чум!$77:$78,Чум!$82:$86,Чум!$89:$96</definedName>
    <definedName name="Z_42584DC0_1D41_4C93_9B38_C388E7B8DAC4_.wvu.Rows" localSheetId="14" hidden="1">Шать!$19:$24,Шать!$32:$33,Шать!$35:$35,Шать!$38:$38,Шать!$46:$49,Шать!$57:$57,Шать!$59:$61,Шать!$67:$68,Шать!$77:$78,Шать!$82:$86,Шать!$89:$96</definedName>
    <definedName name="Z_42584DC0_1D41_4C93_9B38_C388E7B8DAC4_.wvu.Rows" localSheetId="15" hidden="1">Юнг!$19:$24,Юнг!$31:$38,Юнг!$45:$46,Юнг!$49:$49,Юнг!$56:$56,Юнг!$58:$60,Юнг!$66:$68,Юнг!$76:$77,Юнг!$81:$85,Юнг!$88:$95</definedName>
    <definedName name="Z_42584DC0_1D41_4C93_9B38_C388E7B8DAC4_.wvu.Rows" localSheetId="16" hidden="1">Юсь!$19:$24,Юсь!$31:$33,Юсь!$36:$36,Юсь!$40:$40,Юсь!$44:$49,Юсь!$58:$58,Юсь!$60:$62,Юсь!$68:$69,Юсь!$78:$79,Юсь!$83:$87,Юсь!$90:$97</definedName>
    <definedName name="Z_42584DC0_1D41_4C93_9B38_C388E7B8DAC4_.wvu.Rows" localSheetId="17" hidden="1">Яра!$19:$24,Яра!$32:$36,Яра!$46:$50,Яра!$58:$58,Яра!$60:$62,Яра!$68:$69,Яра!$79:$80,Яра!$84:$88,Яра!$91:$98</definedName>
    <definedName name="Z_42584DC0_1D41_4C93_9B38_C388E7B8DAC4_.wvu.Rows" localSheetId="18" hidden="1">Яро!$19:$24,Яро!$28:$36,Яро!$43:$44,Яро!$46:$47,Яро!$54:$54,Яро!$56:$58,Яро!$64:$65,Яро!$74:$75,Яро!$79:$83,Яро!$86:$93</definedName>
    <definedName name="Z_5BFCA170_DEAE_4D2C_98A0_1E68B427AC01_.wvu.Cols" localSheetId="1" hidden="1">Справка!$AV:$AX,Справка!$BB:$BD,Справка!$BH:$BM,Справка!$BT:$BY,Справка!$CX:$DF</definedName>
    <definedName name="Z_5BFCA170_DEAE_4D2C_98A0_1E68B427AC01_.wvu.PrintArea" localSheetId="5" hidden="1">Иль!$A$1:$F$104</definedName>
    <definedName name="Z_5BFCA170_DEAE_4D2C_98A0_1E68B427AC01_.wvu.PrintArea" localSheetId="0" hidden="1">Консол!$A$1:$K$50</definedName>
    <definedName name="Z_5BFCA170_DEAE_4D2C_98A0_1E68B427AC01_.wvu.PrintArea" localSheetId="7" hidden="1">Мор!$A$1:$F$100</definedName>
    <definedName name="Z_5BFCA170_DEAE_4D2C_98A0_1E68B427AC01_.wvu.PrintArea" localSheetId="1" hidden="1">Справка!$A$1:$EY$31</definedName>
    <definedName name="Z_5BFCA170_DEAE_4D2C_98A0_1E68B427AC01_.wvu.PrintArea" localSheetId="11" hidden="1">Тор!$A$1:$F$101</definedName>
    <definedName name="Z_5BFCA170_DEAE_4D2C_98A0_1E68B427AC01_.wvu.PrintArea" localSheetId="15" hidden="1">Юнг!$A$1:$F$99</definedName>
    <definedName name="Z_5BFCA170_DEAE_4D2C_98A0_1E68B427AC01_.wvu.PrintArea" localSheetId="17" hidden="1">Яра!$A$1:$F$102</definedName>
    <definedName name="Z_5BFCA170_DEAE_4D2C_98A0_1E68B427AC01_.wvu.Rows" localSheetId="3" hidden="1">Але!$19:$24,Але!$44:$44,Але!$46:$46,Але!$53:$53,Але!$55:$56,Але!$63:$64,Але!$73:$74,Але!$78:$92</definedName>
    <definedName name="Z_5BFCA170_DEAE_4D2C_98A0_1E68B427AC01_.wvu.Rows" localSheetId="5" hidden="1">Иль!$19:$24,Иль!$30:$31,Иль!$33:$33,Иль!$45:$45,Иль!$50:$50,Иль!$60:$61,Иль!$68:$69,Иль!$78:$79,Иль!$81:$81,Иль!$83:$90,Иль!$93:$97</definedName>
    <definedName name="Z_5BFCA170_DEAE_4D2C_98A0_1E68B427AC01_.wvu.Rows" localSheetId="6" hidden="1">Кад!$19:$24,Кад!$44:$44,Кад!$56:$56,Кад!$58:$59,Кад!$66:$67,Кад!$82:$84,Кад!$88:$95</definedName>
    <definedName name="Z_5BFCA170_DEAE_4D2C_98A0_1E68B427AC01_.wvu.Rows" localSheetId="0" hidden="1">Консол!$22:$22,Консол!$43:$45,Консол!$82:$84</definedName>
    <definedName name="Z_5BFCA170_DEAE_4D2C_98A0_1E68B427AC01_.wvu.Rows" localSheetId="19" hidden="1">Лист1!$82:$84</definedName>
    <definedName name="Z_5BFCA170_DEAE_4D2C_98A0_1E68B427AC01_.wvu.Rows" localSheetId="7" hidden="1">Мор!$21:$21,Мор!$23:$23,Мор!$37:$37,Мор!$44:$44,Мор!$47:$47,Мор!$49:$50,Мор!$57:$57,Мор!$59:$60,Мор!$67:$68,Мор!$82:$87,Мор!$90:$96</definedName>
    <definedName name="Z_5BFCA170_DEAE_4D2C_98A0_1E68B427AC01_.wvu.Rows" localSheetId="8" hidden="1">Мос!$19:$24,Мос!$44:$44,Мос!$57:$57,Мос!$59:$60,Мос!$67:$68,Мос!$80:$80,Мос!$82:$88,Мос!$93:$98</definedName>
    <definedName name="Z_5BFCA170_DEAE_4D2C_98A0_1E68B427AC01_.wvu.Rows" localSheetId="9" hidden="1">Ори!$19:$24,Ори!$32:$32,Ори!$44:$44,Ори!$48:$50,Ори!$57:$57,Ори!$59:$60,Ори!$67:$68,Ори!$77:$78,Ори!$80:$80,Ори!$82:$86,Ори!$90:$97</definedName>
    <definedName name="Z_5BFCA170_DEAE_4D2C_98A0_1E68B427AC01_.wvu.Rows" localSheetId="2" hidden="1">район!$17:$18,район!$20:$20,район!$28:$30,район!$50:$51,район!$75:$75,район!$82:$82,район!$99:$99,район!$105:$105,район!$132:$134</definedName>
    <definedName name="Z_5BFCA170_DEAE_4D2C_98A0_1E68B427AC01_.wvu.Rows" localSheetId="1" hidden="1">Справка!$33:$33</definedName>
    <definedName name="Z_5BFCA170_DEAE_4D2C_98A0_1E68B427AC01_.wvu.Rows" localSheetId="4" hidden="1">Сун!$19:$24,Сун!$49:$51,Сун!$58:$58,Сун!$60:$61,Сун!$68:$69,Сун!$78:$79,Сун!$81:$84,Сун!$87:$88,Сун!$92:$96</definedName>
    <definedName name="Z_5BFCA170_DEAE_4D2C_98A0_1E68B427AC01_.wvu.Rows" localSheetId="10" hidden="1">Сят!$19:$19,Сят!$45:$47,Сят!$57:$57,Сят!$59:$60,Сят!$67:$68,Сят!$82:$85,Сят!$89:$96</definedName>
    <definedName name="Z_5BFCA170_DEAE_4D2C_98A0_1E68B427AC01_.wvu.Rows" localSheetId="11" hidden="1">Тор!$19:$19,Тор!$50:$50,Тор!$57:$57,Тор!$59:$60,Тор!$67:$68,Тор!$74:$74,Тор!$78:$79,Тор!$82:$93</definedName>
    <definedName name="Z_5BFCA170_DEAE_4D2C_98A0_1E68B427AC01_.wvu.Rows" localSheetId="12" hidden="1">Хор!$19:$24,Хор!$32:$32,Хор!$40:$40,Хор!$44:$44,Хор!$55:$55,Хор!$57:$58,Хор!$65:$66,Хор!$80:$84,Хор!$87:$94</definedName>
    <definedName name="Z_5BFCA170_DEAE_4D2C_98A0_1E68B427AC01_.wvu.Rows" localSheetId="13" hidden="1">Чум!$19:$19,Чум!$21:$21,Чум!$23:$24,Чум!$47:$49,Чум!$57:$57,Чум!$59:$60,Чум!$67:$68,Чум!$82:$86,Чум!$89:$96</definedName>
    <definedName name="Z_5BFCA170_DEAE_4D2C_98A0_1E68B427AC01_.wvu.Rows" localSheetId="14" hidden="1">Шать!$19:$24,Шать!$47:$49,Шать!$57:$57,Шать!$59:$60,Шать!$67:$68,Шать!$77:$78,Шать!$82:$86,Шать!$89:$96</definedName>
    <definedName name="Z_5BFCA170_DEAE_4D2C_98A0_1E68B427AC01_.wvu.Rows" localSheetId="15" hidden="1">Юнг!$19:$24,Юнг!$32:$32,Юнг!$46:$46,Юнг!$49:$49,Юнг!$56:$56,Юнг!$58:$59,Юнг!$66:$67,Юнг!$81:$85,Юнг!$88:$95</definedName>
    <definedName name="Z_5BFCA170_DEAE_4D2C_98A0_1E68B427AC01_.wvu.Rows" localSheetId="16" hidden="1">Юсь!$20:$24,Юсь!$40:$40,Юсь!$44:$49,Юсь!$58:$58,Юсь!$60:$61,Юсь!$68:$69,Юсь!$78:$79,Юсь!$82:$87,Юсь!$90:$97</definedName>
    <definedName name="Z_5BFCA170_DEAE_4D2C_98A0_1E68B427AC01_.wvu.Rows" localSheetId="17" hidden="1">Яра!$19:$24,Яра!$46:$50,Яра!$58:$58,Яра!$60:$61,Яра!$68:$69,Яра!$79:$79,Яра!$82:$88,Яра!$91:$98</definedName>
    <definedName name="Z_5BFCA170_DEAE_4D2C_98A0_1E68B427AC01_.wvu.Rows" localSheetId="18" hidden="1">Яро!$19:$24,Яро!$29:$30,Яро!$32:$32,Яро!$43:$43,Яро!$54:$54,Яро!$56:$57,Яро!$64:$65,Яро!$74:$75,Яро!$79:$84,Яро!$86:$93</definedName>
    <definedName name="Z_8E17DC23_BE06_48DD_840B_6DD85B9E86D1_.wvu.Cols" localSheetId="1" hidden="1">Справка!$AV:$AX,Справка!$BB:$BD,Справка!$BH:$BP,Справка!$BT:$BY,Справка!$CX:$DF</definedName>
    <definedName name="Z_8E17DC23_BE06_48DD_840B_6DD85B9E86D1_.wvu.PrintArea" localSheetId="5" hidden="1">Иль!$A$1:$F$104</definedName>
    <definedName name="Z_8E17DC23_BE06_48DD_840B_6DD85B9E86D1_.wvu.PrintArea" localSheetId="0" hidden="1">Консол!$A$1:$K$50</definedName>
    <definedName name="Z_8E17DC23_BE06_48DD_840B_6DD85B9E86D1_.wvu.PrintArea" localSheetId="7" hidden="1">Мор!$A$1:$F$100</definedName>
    <definedName name="Z_8E17DC23_BE06_48DD_840B_6DD85B9E86D1_.wvu.PrintArea" localSheetId="1" hidden="1">Справка!$A$1:$EY$31</definedName>
    <definedName name="Z_8E17DC23_BE06_48DD_840B_6DD85B9E86D1_.wvu.PrintArea" localSheetId="11" hidden="1">Тор!$A$1:$F$101</definedName>
    <definedName name="Z_8E17DC23_BE06_48DD_840B_6DD85B9E86D1_.wvu.PrintArea" localSheetId="15" hidden="1">Юнг!$A$1:$F$99</definedName>
    <definedName name="Z_8E17DC23_BE06_48DD_840B_6DD85B9E86D1_.wvu.PrintArea" localSheetId="17" hidden="1">Яра!$A$1:$F$102</definedName>
    <definedName name="Z_8E17DC23_BE06_48DD_840B_6DD85B9E86D1_.wvu.Rows" localSheetId="3" hidden="1">Але!$19:$24,Але!$28:$33,Але!$36:$36,Але!$46:$46,Але!$53:$53,Але!$55:$57,Але!$63:$64,Але!$73:$74,Але!$78:$82,Але!$85:$92,Але!$141:$141</definedName>
    <definedName name="Z_8E17DC23_BE06_48DD_840B_6DD85B9E86D1_.wvu.Rows" localSheetId="5" hidden="1">Иль!$19:$24,Иль!$30:$39,Иль!$45:$45,Иль!$47:$50,Иль!$58:$58,Иль!$60:$62,Иль!$68:$69,Иль!$78:$79,Иль!$81:$81,Иль!$86:$90,Иль!$93:$100,Иль!$143:$143</definedName>
    <definedName name="Z_8E17DC23_BE06_48DD_840B_6DD85B9E86D1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8E17DC23_BE06_48DD_840B_6DD85B9E86D1_.wvu.Rows" localSheetId="0" hidden="1">Консол!$22:$22,Консол!$43:$45</definedName>
    <definedName name="Z_8E17DC23_BE06_48DD_840B_6DD85B9E86D1_.wvu.Rows" localSheetId="19" hidden="1">Лист1!$82:$84</definedName>
    <definedName name="Z_8E17DC23_BE06_48DD_840B_6DD85B9E86D1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8E17DC23_BE06_48DD_840B_6DD85B9E86D1_.wvu.Rows" localSheetId="8" hidden="1">Мос!$19:$24,Мос!$29:$35,Мос!$44:$44,Мос!$46:$49,Мос!$57:$57,Мос!$59:$60,Мос!$67:$68,Мос!$77:$78,Мос!$80:$80,Мос!$83:$90,Мос!$93:$100,Мос!$141:$141</definedName>
    <definedName name="Z_8E17DC23_BE06_48DD_840B_6DD85B9E86D1_.wvu.Rows" localSheetId="9" hidden="1">Ори!$19:$24,Ори!$31:$35,Ори!$44:$44,Ори!$46:$46,Ори!$48:$50,Ори!$57:$57,Ори!$59:$60,Ори!$67:$68,Ори!$77:$78,Ори!$80:$80,Ори!$83:$87,Ори!$90:$97,Ори!$141:$141</definedName>
    <definedName name="Z_8E17DC23_BE06_48DD_840B_6DD85B9E86D1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район!$17:$18,район!$20:$20,район!$25:$25,район!$27:$31,район!$35:$35,район!$38:$38,район!$50:$51,район!$62:$62,район!$75:$75,район!$82:$82,район!$99:$99,район!$105:$105,район!$132:$134,район!$137:$138</definedName>
    <definedName name="Z_8E17DC23_BE06_48DD_840B_6DD85B9E86D1_.wvu.Rows" localSheetId="1" hidden="1">Справка!$33:$33</definedName>
    <definedName name="Z_8E17DC23_BE06_48DD_840B_6DD85B9E86D1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8E17DC23_BE06_48DD_840B_6DD85B9E86D1_.wvu.Rows" localSheetId="10" hidden="1">Сят!$19:$24,Сят!$31:$35,Сят!$38:$38,Сят!$45:$48,Сят!$57:$57,Сят!$59:$60,Сят!$67:$68,Сят!$77:$78,Сят!$82:$86,Сят!$89:$96,Сят!$142:$142</definedName>
    <definedName name="Z_8E17DC23_BE06_48DD_840B_6DD85B9E86D1_.wvu.Rows" localSheetId="11" hidden="1">Тор!$19:$24,Тор!$32:$36,Тор!$39:$39,Тор!$46:$47,Тор!$50:$50,Тор!$57:$57,Тор!$59:$60,Тор!$67:$68,Тор!$74:$74,Тор!$78:$79,Тор!$83:$95,Тор!$142:$142</definedName>
    <definedName name="Z_8E17DC23_BE06_48DD_840B_6DD85B9E86D1_.wvu.Rows" localSheetId="12" hidden="1">Хор!$19:$24,Хор!$28:$33,Хор!$40:$40,Хор!$44:$44,Хор!$46:$48,Хор!$55:$55,Хор!$57:$59,Хор!$65:$66,Хор!$71:$71,Хор!$75:$76,Хор!$80:$84,Хор!$87:$94,Хор!$141:$141</definedName>
    <definedName name="Z_8E17DC23_BE06_48DD_840B_6DD85B9E86D1_.wvu.Rows" localSheetId="13" hidden="1">Чум!$19:$24,Чум!$31:$36,Чум!$46:$49,Чум!$57:$57,Чум!$59:$61,Чум!$67:$68,Чум!$77:$78,Чум!$82:$86,Чум!$89:$96,Чум!$141:$141</definedName>
    <definedName name="Z_8E17DC23_BE06_48DD_840B_6DD85B9E86D1_.wvu.Rows" localSheetId="14" hidden="1">Шать!$19:$25,Шать!$31:$33,Шать!$46:$49,Шать!$57:$57,Шать!$59:$60,Шать!$67:$68,Шать!$77:$78,Шать!$83:$85,Шать!$89:$96,Шать!$141:$141</definedName>
    <definedName name="Z_8E17DC23_BE06_48DD_840B_6DD85B9E86D1_.wvu.Rows" localSheetId="15" hidden="1">Юнг!$19:$24,Юнг!$33:$33,Юнг!$38:$38,Юнг!$46:$47,Юнг!$56:$56,Юнг!$58:$60,Юнг!$66:$68,Юнг!$76:$77,Юнг!$81:$85,Юнг!$88:$95,Юнг!$141:$141</definedName>
    <definedName name="Z_8E17DC23_BE06_48DD_840B_6DD85B9E86D1_.wvu.Rows" localSheetId="16" hidden="1">Юсь!$19:$24,Юсь!$31:$33,Юсь!$36:$36,Юсь!$40:$40,Юсь!$44:$50,Юсь!$58:$58,Юсь!$60:$61,Юсь!$68:$69,Юсь!$78:$79,Юсь!$83:$87,Юсь!$90:$97,Юсь!$141:$141</definedName>
    <definedName name="Z_8E17DC23_BE06_48DD_840B_6DD85B9E86D1_.wvu.Rows" localSheetId="17" hidden="1">Яра!$19:$24,Яра!$32:$34,Яра!$46:$50,Яра!$58:$58,Яра!$60:$62,Яра!$68:$69,Яра!$79:$80,Яра!$84:$88,Яра!$91:$98,Яра!$143:$143</definedName>
    <definedName name="Z_8E17DC23_BE06_48DD_840B_6DD85B9E86D1_.wvu.Rows" localSheetId="18" hidden="1">Яро!$19:$24,Яро!$28:$36,Яро!$43:$43,Яро!$46:$46,Яро!$54:$54,Яро!$56:$58,Яро!$64:$65,Яро!$74:$74,Яро!$79:$83,Яро!$86:$93</definedName>
    <definedName name="Z_A54C432C_6C68_4B53_A75C_446EB3A61B2B_.wvu.Cols" localSheetId="1" hidden="1">Справка!$AV:$AX,Справка!$BB:$BD,Справка!$BH:$BP,Справка!$BT:$BY,Справка!$CX:$DF</definedName>
    <definedName name="Z_A54C432C_6C68_4B53_A75C_446EB3A61B2B_.wvu.PrintArea" localSheetId="5" hidden="1">Иль!$A$1:$F$104</definedName>
    <definedName name="Z_A54C432C_6C68_4B53_A75C_446EB3A61B2B_.wvu.PrintArea" localSheetId="0" hidden="1">Консол!$A$1:$K$50</definedName>
    <definedName name="Z_A54C432C_6C68_4B53_A75C_446EB3A61B2B_.wvu.PrintArea" localSheetId="7" hidden="1">Мор!$A$1:$F$100</definedName>
    <definedName name="Z_A54C432C_6C68_4B53_A75C_446EB3A61B2B_.wvu.PrintArea" localSheetId="1" hidden="1">Справка!$A$1:$EY$31</definedName>
    <definedName name="Z_A54C432C_6C68_4B53_A75C_446EB3A61B2B_.wvu.PrintArea" localSheetId="11" hidden="1">Тор!$A$1:$F$101</definedName>
    <definedName name="Z_A54C432C_6C68_4B53_A75C_446EB3A61B2B_.wvu.PrintArea" localSheetId="15" hidden="1">Юнг!$A$1:$F$99</definedName>
    <definedName name="Z_A54C432C_6C68_4B53_A75C_446EB3A61B2B_.wvu.PrintArea" localSheetId="17" hidden="1">Яра!$A$1:$F$102</definedName>
    <definedName name="Z_A54C432C_6C68_4B53_A75C_446EB3A61B2B_.wvu.Rows" localSheetId="3" hidden="1">Але!$19:$24,Але!$28:$33,Але!$36:$36,Але!$46:$46,Але!$53:$53,Але!$55:$57,Але!$63:$64,Але!$73:$74,Але!$78:$82,Але!$85:$92,Але!$141:$141</definedName>
    <definedName name="Z_A54C432C_6C68_4B53_A75C_446EB3A61B2B_.wvu.Rows" localSheetId="5" hidden="1">Иль!$19:$24,Иль!$30:$39,Иль!$45:$45,Иль!$47:$50,Иль!$58:$58,Иль!$60:$62,Иль!$68:$69,Иль!$78:$79,Иль!$81:$81,Иль!$86:$90,Иль!$93:$100,Иль!$143:$143</definedName>
    <definedName name="Z_A54C432C_6C68_4B53_A75C_446EB3A61B2B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A54C432C_6C68_4B53_A75C_446EB3A61B2B_.wvu.Rows" localSheetId="0" hidden="1">Консол!$22:$22,Консол!$43:$45</definedName>
    <definedName name="Z_A54C432C_6C68_4B53_A75C_446EB3A61B2B_.wvu.Rows" localSheetId="19" hidden="1">Лист1!$82:$84</definedName>
    <definedName name="Z_A54C432C_6C68_4B53_A75C_446EB3A61B2B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A54C432C_6C68_4B53_A75C_446EB3A61B2B_.wvu.Rows" localSheetId="8" hidden="1">Мос!$19:$24,Мос!$29:$35,Мос!$44:$44,Мос!$46:$49,Мос!$57:$57,Мос!$59:$60,Мос!$67:$68,Мос!$77:$78,Мос!$80:$80,Мос!$83:$90,Мос!$93:$100,Мос!$141:$141</definedName>
    <definedName name="Z_A54C432C_6C68_4B53_A75C_446EB3A61B2B_.wvu.Rows" localSheetId="9" hidden="1">Ори!$19:$24,Ори!$31:$35,Ори!$44:$44,Ори!$46:$46,Ори!$48:$50,Ори!$57:$57,Ори!$59:$60,Ори!$67:$68,Ори!$77:$78,Ори!$80:$80,Ори!$83:$87,Ори!$90:$97,Ори!$141:$141</definedName>
    <definedName name="Z_A54C432C_6C68_4B53_A75C_446EB3A61B2B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район!$17:$18,район!$20:$20,район!$25:$25,район!$27:$31,район!$35:$35,район!$38:$38,район!$50:$51,район!$62:$62,район!$75:$75,район!$82:$82,район!$99:$99,район!$105:$105,район!$132:$134,район!$137:$138</definedName>
    <definedName name="Z_A54C432C_6C68_4B53_A75C_446EB3A61B2B_.wvu.Rows" localSheetId="1" hidden="1">Справка!$33:$33</definedName>
    <definedName name="Z_A54C432C_6C68_4B53_A75C_446EB3A61B2B_.wvu.Rows" localSheetId="4" hidden="1">Сун!$19:$24,Сун!$34:$39,Сун!$43:$43,Сун!$45:$45,Сун!$47:$47,Сун!$49:$51,Сун!$58:$58,Сун!$60:$62,Сун!$68:$69,Сун!$78:$79,Сун!$81:$81,Сун!$84:$84,Сун!$86:$88,Сун!$92:$99,Сун!$141:$141</definedName>
    <definedName name="Z_A54C432C_6C68_4B53_A75C_446EB3A61B2B_.wvu.Rows" localSheetId="10" hidden="1">Сят!$19:$24,Сят!$31:$35,Сят!$38:$38,Сят!$45:$48,Сят!$57:$57,Сят!$59:$60,Сят!$67:$68,Сят!$77:$78,Сят!$82:$86,Сят!$89:$96,Сят!$142:$142</definedName>
    <definedName name="Z_A54C432C_6C68_4B53_A75C_446EB3A61B2B_.wvu.Rows" localSheetId="11" hidden="1">Тор!$19:$24,Тор!$32:$36,Тор!$39:$39,Тор!$46:$47,Тор!$50:$50,Тор!$57:$57,Тор!$59:$60,Тор!$67:$68,Тор!$74:$74,Тор!$78:$79,Тор!$83:$95,Тор!$142:$142</definedName>
    <definedName name="Z_A54C432C_6C68_4B53_A75C_446EB3A61B2B_.wvu.Rows" localSheetId="12" hidden="1">Хор!$19:$24,Хор!$28:$33,Хор!$40:$40,Хор!$44:$44,Хор!$46:$48,Хор!$55:$55,Хор!$57:$59,Хор!$65:$66,Хор!$71:$71,Хор!$75:$76,Хор!$80:$84,Хор!$87:$94,Хор!$141:$141</definedName>
    <definedName name="Z_A54C432C_6C68_4B53_A75C_446EB3A61B2B_.wvu.Rows" localSheetId="13" hidden="1">Чум!$19:$24,Чум!$31:$36,Чум!$46:$49,Чум!$57:$57,Чум!$59:$61,Чум!$67:$68,Чум!$77:$78,Чум!$82:$86,Чум!$89:$96,Чум!$141:$141</definedName>
    <definedName name="Z_A54C432C_6C68_4B53_A75C_446EB3A61B2B_.wvu.Rows" localSheetId="14" hidden="1">Шать!$19:$25,Шать!$31:$33,Шать!$46:$49,Шать!$57:$57,Шать!$59:$60,Шать!$67:$68,Шать!$77:$78,Шать!$83:$85,Шать!$89:$96,Шать!$141:$141</definedName>
    <definedName name="Z_A54C432C_6C68_4B53_A75C_446EB3A61B2B_.wvu.Rows" localSheetId="15" hidden="1">Юнг!$19:$24,Юнг!$33:$33,Юнг!$38:$38,Юнг!$46:$47,Юнг!$56:$56,Юнг!$58:$60,Юнг!$66:$68,Юнг!$76:$77,Юнг!$81:$85,Юнг!$88:$95,Юнг!$141:$141</definedName>
    <definedName name="Z_A54C432C_6C68_4B53_A75C_446EB3A61B2B_.wvu.Rows" localSheetId="16" hidden="1">Юсь!$19:$24,Юсь!$31:$33,Юсь!$36:$36,Юсь!$40:$40,Юсь!$44:$50,Юсь!$58:$58,Юсь!$60:$61,Юсь!$68:$69,Юсь!$78:$79,Юсь!$83:$87,Юсь!$90:$97,Юсь!$141:$141</definedName>
    <definedName name="Z_A54C432C_6C68_4B53_A75C_446EB3A61B2B_.wvu.Rows" localSheetId="17" hidden="1">Яра!$19:$24,Яра!$32:$34,Яра!$46:$50,Яра!$58:$58,Яра!$60:$62,Яра!$68:$69,Яра!$79:$80,Яра!$84:$88,Яра!$91:$98,Яра!$143:$143</definedName>
    <definedName name="Z_A54C432C_6C68_4B53_A75C_446EB3A61B2B_.wvu.Rows" localSheetId="18" hidden="1">Яро!$19:$24,Яро!$28:$36,Яро!$43:$43,Яро!$46:$46,Яро!$54:$54,Яро!$56:$58,Яро!$64:$65,Яро!$74:$74,Яро!$79:$83,Яро!$86:$93</definedName>
    <definedName name="Z_B30CE22D_C12F_4E12_8BB9_3AAE0A6991CC_.wvu.Cols" localSheetId="1" hidden="1">Справка!$AV:$AX,Справка!$BB:$BD,Справка!$BH:$BP,Справка!$BT:$BY,Справка!$CX:$DF</definedName>
    <definedName name="Z_B30CE22D_C12F_4E12_8BB9_3AAE0A6991CC_.wvu.PrintArea" localSheetId="5" hidden="1">Иль!$A$1:$F$104</definedName>
    <definedName name="Z_B30CE22D_C12F_4E12_8BB9_3AAE0A6991CC_.wvu.PrintArea" localSheetId="0" hidden="1">Консол!$A$1:$K$50</definedName>
    <definedName name="Z_B30CE22D_C12F_4E12_8BB9_3AAE0A6991CC_.wvu.PrintArea" localSheetId="7" hidden="1">Мор!$A$1:$F$100</definedName>
    <definedName name="Z_B30CE22D_C12F_4E12_8BB9_3AAE0A6991CC_.wvu.PrintArea" localSheetId="1" hidden="1">Справка!$A$1:$EY$31</definedName>
    <definedName name="Z_B30CE22D_C12F_4E12_8BB9_3AAE0A6991CC_.wvu.PrintArea" localSheetId="4" hidden="1">Сун!$A$1:$F$103</definedName>
    <definedName name="Z_B30CE22D_C12F_4E12_8BB9_3AAE0A6991CC_.wvu.PrintArea" localSheetId="11" hidden="1">Тор!$A$1:$F$101</definedName>
    <definedName name="Z_B30CE22D_C12F_4E12_8BB9_3AAE0A6991CC_.wvu.PrintArea" localSheetId="15" hidden="1">Юнг!$A$1:$F$99</definedName>
    <definedName name="Z_B30CE22D_C12F_4E12_8BB9_3AAE0A6991CC_.wvu.PrintArea" localSheetId="17" hidden="1">Яра!$A$1:$F$102</definedName>
    <definedName name="Z_B30CE22D_C12F_4E12_8BB9_3AAE0A6991CC_.wvu.Rows" localSheetId="3" hidden="1">Але!$19:$24,Але!$28:$33,Але!$36:$36,Але!$46:$46,Але!$53:$53,Але!$55:$57,Але!$63:$64,Але!$73:$74,Але!$78:$82,Але!$85:$92,Але!$141:$141</definedName>
    <definedName name="Z_B30CE22D_C12F_4E12_8BB9_3AAE0A6991CC_.wvu.Rows" localSheetId="5" hidden="1">Иль!$19:$24,Иль!$30:$39,Иль!$58:$58,Иль!$60:$62,Иль!$68:$69,Иль!$78:$79,Иль!$81:$81,Иль!$86:$90,Иль!$93:$100,Иль!$143:$143</definedName>
    <definedName name="Z_B30CE22D_C12F_4E12_8BB9_3AAE0A6991CC_.wvu.Rows" localSheetId="6" hidden="1">Кад!$19:$24,Кад!$31:$35,Кад!$38:$38,Кад!$42:$42,Кад!$44:$44,Кад!$46:$46,Кад!$48:$49,Кад!$56:$56,Кад!$58:$60,Кад!$66:$67,Кад!$76:$77,Кад!$81:$85,Кад!$88:$95,Кад!$141:$141</definedName>
    <definedName name="Z_B30CE22D_C12F_4E12_8BB9_3AAE0A6991CC_.wvu.Rows" localSheetId="0" hidden="1">Консол!$22:$22,Консол!$43:$45</definedName>
    <definedName name="Z_B30CE22D_C12F_4E12_8BB9_3AAE0A6991CC_.wvu.Rows" localSheetId="19" hidden="1">Лист1!$82:$84</definedName>
    <definedName name="Z_B30CE22D_C12F_4E12_8BB9_3AAE0A6991CC_.wvu.Rows" localSheetId="7" hidden="1">Мор!$17:$24,Мор!$27:$27,Мор!$31:$35,Мор!$37:$37,Мор!$44:$44,Мор!$46:$47,Мор!$49:$50,Мор!$57:$57,Мор!$59:$60,Мор!$64:$65,Мор!$67:$68,Мор!$77:$78,Мор!$82:$87,Мор!$90:$96,Мор!$141:$141</definedName>
    <definedName name="Z_B30CE22D_C12F_4E12_8BB9_3AAE0A6991CC_.wvu.Rows" localSheetId="8" hidden="1">Мос!$19:$24,Мос!$29:$35,Мос!$44:$44,Мос!$49:$49,Мос!$57:$57,Мос!$59:$60,Мос!$67:$68,Мос!$77:$78,Мос!$80:$80,Мос!$83:$90,Мос!$93:$100,Мос!$141:$141</definedName>
    <definedName name="Z_B30CE22D_C12F_4E12_8BB9_3AAE0A6991CC_.wvu.Rows" localSheetId="9" hidden="1">Ори!$19:$24,Ори!$31:$35,Ори!$44:$44,Ори!$46:$46,Ори!$48:$50,Ори!$57:$57,Ори!$59:$60,Ори!$67:$68,Ори!$77:$78,Ори!$80:$80,Ори!$83:$87,Ори!$90:$97,Ори!$141:$141</definedName>
    <definedName name="Z_B30CE22D_C12F_4E12_8BB9_3AAE0A6991CC_.wvu.Rows" localSheetId="2" hidden="1">район!$17:$18,район!$20:$20,район!$25:$25,район!$27:$31,район!$35:$35,район!$38:$38,район!$50:$51,район!$62:$62,район!$75:$75,район!$82:$82,район!$99:$99,район!$105:$105,район!$132:$134,район!$137:$138</definedName>
    <definedName name="Z_B30CE22D_C12F_4E12_8BB9_3AAE0A6991CC_.wvu.Rows" localSheetId="1" hidden="1">Справка!$33:$33</definedName>
    <definedName name="Z_B30CE22D_C12F_4E12_8BB9_3AAE0A6991CC_.wvu.Rows" localSheetId="4" hidden="1">Сун!$19:$24,Сун!$34:$36,Сун!$45:$45,Сун!$47:$47,Сун!$49:$51,Сун!$58:$58,Сун!$60:$62,Сун!$68:$69,Сун!$78:$79,Сун!$81:$81,Сун!$84:$84,Сун!$86:$88,Сун!$92:$99,Сун!$141:$141</definedName>
    <definedName name="Z_B30CE22D_C12F_4E12_8BB9_3AAE0A6991CC_.wvu.Rows" localSheetId="10" hidden="1">Сят!$19:$24,Сят!$31:$35,Сят!$38:$38,Сят!$45:$48,Сят!$57:$57,Сят!$59:$60,Сят!$67:$68,Сят!$77:$78,Сят!$82:$86,Сят!$89:$96,Сят!$142:$142</definedName>
    <definedName name="Z_B30CE22D_C12F_4E12_8BB9_3AAE0A6991CC_.wvu.Rows" localSheetId="11" hidden="1">Тор!$19:$24,Тор!$32:$36,Тор!$39:$39,Тор!$46:$47,Тор!$50:$50,Тор!$57:$57,Тор!$59:$60,Тор!$67:$68,Тор!$74:$74,Тор!$78:$79,Тор!$83:$95,Тор!$142:$142</definedName>
    <definedName name="Z_B30CE22D_C12F_4E12_8BB9_3AAE0A6991CC_.wvu.Rows" localSheetId="12" hidden="1">Хор!$19:$24,Хор!$28:$36,Хор!$40:$40,Хор!$44:$44,Хор!$46:$48,Хор!$55:$55,Хор!$57:$59,Хор!$65:$66,Хор!$71:$71,Хор!$75:$76,Хор!$80:$84,Хор!$87:$94,Хор!$141:$141</definedName>
    <definedName name="Z_B30CE22D_C12F_4E12_8BB9_3AAE0A6991CC_.wvu.Rows" localSheetId="13" hidden="1">Чум!$19:$24,Чум!$31:$36,Чум!$46:$49,Чум!$57:$57,Чум!$59:$61,Чум!$67:$68,Чум!$77:$78,Чум!$82:$86,Чум!$89:$96,Чум!$141:$141</definedName>
    <definedName name="Z_B30CE22D_C12F_4E12_8BB9_3AAE0A6991CC_.wvu.Rows" localSheetId="14" hidden="1">Шать!$19:$25,Шать!$31:$33,Шать!$46:$49,Шать!$57:$57,Шать!$59:$60,Шать!$67:$68,Шать!$77:$78,Шать!$83:$85,Шать!$89:$96,Шать!$141:$141</definedName>
    <definedName name="Z_B30CE22D_C12F_4E12_8BB9_3AAE0A6991CC_.wvu.Rows" localSheetId="15" hidden="1">Юнг!$19:$24,Юнг!$31:$33,Юнг!$38:$38,Юнг!$46:$47,Юнг!$56:$56,Юнг!$58:$60,Юнг!$66:$68,Юнг!$76:$77,Юнг!$81:$85,Юнг!$88:$95,Юнг!$141:$141</definedName>
    <definedName name="Z_B30CE22D_C12F_4E12_8BB9_3AAE0A6991CC_.wvu.Rows" localSheetId="16" hidden="1">Юсь!$19:$24,Юсь!$31:$33,Юсь!$36:$36,Юсь!$44:$50,Юсь!$58:$58,Юсь!$60:$61,Юсь!$68:$69,Юсь!$78:$79,Юсь!$83:$87,Юсь!$90:$97,Юсь!$141:$141</definedName>
    <definedName name="Z_B30CE22D_C12F_4E12_8BB9_3AAE0A6991CC_.wvu.Rows" localSheetId="17" hidden="1">Яра!$19:$24,Яра!$32:$34,Яра!$46:$50,Яра!$58:$58,Яра!$60:$62,Яра!$68:$69,Яра!$79:$80,Яра!$84:$88,Яра!$91:$98,Яра!$143:$143</definedName>
    <definedName name="Z_B30CE22D_C12F_4E12_8BB9_3AAE0A6991CC_.wvu.Rows" localSheetId="18" hidden="1">Яро!$19:$24,Яро!$28:$36,Яро!$43:$44,Яро!$46:$46,Яро!$54:$54,Яро!$56:$58,Яро!$64:$65,Яро!$74:$74,Яро!$79:$83,Яро!$86:$93</definedName>
    <definedName name="_xlnm.Print_Area" localSheetId="5">Иль!$A$1:$F$104</definedName>
    <definedName name="_xlnm.Print_Area" localSheetId="0">Консол!$A$1:$K$50</definedName>
    <definedName name="_xlnm.Print_Area" localSheetId="7">Мор!$A$1:$F$100</definedName>
    <definedName name="_xlnm.Print_Area" localSheetId="1">Справка!$A$1:$EY$31</definedName>
    <definedName name="_xlnm.Print_Area" localSheetId="11">Тор!$A$1:$F$101</definedName>
    <definedName name="_xlnm.Print_Area" localSheetId="15">Юнг!$A$1:$F$99</definedName>
    <definedName name="_xlnm.Print_Area" localSheetId="17">Яра!$A$1:$F$102</definedName>
  </definedNames>
  <calcPr calcId="125725"/>
  <customWorkbookViews>
    <customWorkbookView name="1 - Личное представление" guid="{8E17DC23-BE06-48DD-840B-6DD85B9E86D1}" mergeInterval="0" personalView="1" maximized="1" xWindow="1" yWindow="1" windowWidth="1356" windowHeight="538" tabRatio="695" activeSheetId="19"/>
    <customWorkbookView name="morgau_fin7 - Личное представление" guid="{5BFCA170-DEAE-4D2C-98A0-1E68B427AC01}" mergeInterval="0" personalView="1" maximized="1" xWindow="1" yWindow="1" windowWidth="1916" windowHeight="850" tabRatio="695" activeSheetId="2"/>
    <customWorkbookView name="morgau_fin1 - Личное представление" guid="{3DCB9AAA-F09C-4EA6-B992-F93E466D374A}" mergeInterval="0" personalView="1" maximized="1" xWindow="1" yWindow="1" windowWidth="1920" windowHeight="850" tabRatio="695" activeSheetId="3"/>
    <customWorkbookView name="Admin - Личное представление" guid="{1718F1EE-9F48-4DBE-9531-3B70F9C4A5DD}" mergeInterval="0" personalView="1" maximized="1" windowWidth="1148" windowHeight="649" tabRatio="695" activeSheetId="18"/>
    <customWorkbookView name="Финансовый отдел администрации Моргаушского района - - Личное представление" guid="{42584DC0-1D41-4C93-9B38-C388E7B8DAC4}" mergeInterval="0" personalView="1" maximized="1" xWindow="1" yWindow="1" windowWidth="1920" windowHeight="850" tabRatio="695" activeSheetId="14"/>
    <customWorkbookView name="morgau_fin2 - Личное представление" guid="{B30CE22D-C12F-4E12-8BB9-3AAE0A6991CC}" mergeInterval="0" personalView="1" maximized="1" xWindow="1" yWindow="1" windowWidth="1276" windowHeight="803" tabRatio="695" activeSheetId="11"/>
    <customWorkbookView name="Бухгалтер 1 - Личное представление" guid="{A54C432C-6C68-4B53-A75C-446EB3A61B2B}" mergeInterval="0" personalView="1" maximized="1" xWindow="1" yWindow="1" windowWidth="1356" windowHeight="547" tabRatio="695" activeSheetId="19"/>
  </customWorkbookViews>
</workbook>
</file>

<file path=xl/calcChain.xml><?xml version="1.0" encoding="utf-8"?>
<calcChain xmlns="http://schemas.openxmlformats.org/spreadsheetml/2006/main">
  <c r="D33" i="3"/>
  <c r="E40"/>
  <c r="F40"/>
  <c r="D67" i="18" l="1"/>
  <c r="E42" i="13"/>
  <c r="D81" i="12"/>
  <c r="D64"/>
  <c r="D67" i="6"/>
  <c r="C67"/>
  <c r="E72"/>
  <c r="F72"/>
  <c r="C67" i="4"/>
  <c r="D67"/>
  <c r="D39"/>
  <c r="D98" i="3"/>
  <c r="D104" l="1"/>
  <c r="G32" i="1" s="1"/>
  <c r="CO19" i="2"/>
  <c r="C40" i="9"/>
  <c r="E48"/>
  <c r="C33" i="3"/>
  <c r="D5" i="5"/>
  <c r="D38" i="14"/>
  <c r="C29" i="12"/>
  <c r="D40" i="16"/>
  <c r="C42" i="18"/>
  <c r="C39" i="19"/>
  <c r="J15" i="2"/>
  <c r="E103" i="3"/>
  <c r="F103"/>
  <c r="D12" i="7"/>
  <c r="C64" i="6"/>
  <c r="CD14" i="2"/>
  <c r="CS17"/>
  <c r="CD17"/>
  <c r="C78" i="19"/>
  <c r="C38" i="4"/>
  <c r="AT28" i="2"/>
  <c r="F28" i="18"/>
  <c r="E28"/>
  <c r="D26"/>
  <c r="C67"/>
  <c r="F72"/>
  <c r="E72"/>
  <c r="D73"/>
  <c r="F29"/>
  <c r="E29"/>
  <c r="C115" i="3"/>
  <c r="C98"/>
  <c r="E93"/>
  <c r="F86" i="15"/>
  <c r="E86"/>
  <c r="F85"/>
  <c r="E85"/>
  <c r="F84"/>
  <c r="E84"/>
  <c r="F83"/>
  <c r="E83"/>
  <c r="D80" i="14"/>
  <c r="C42"/>
  <c r="C45" i="12"/>
  <c r="CR17" i="2"/>
  <c r="C40" i="7"/>
  <c r="D41" i="6"/>
  <c r="C41"/>
  <c r="CS16" i="2"/>
  <c r="CR16"/>
  <c r="BQ14"/>
  <c r="E51" i="6"/>
  <c r="F51"/>
  <c r="C42"/>
  <c r="D67" i="5"/>
  <c r="C42"/>
  <c r="C16"/>
  <c r="D38" i="4"/>
  <c r="BR14" i="2"/>
  <c r="CV26"/>
  <c r="CV22"/>
  <c r="CV21"/>
  <c r="D124" i="3"/>
  <c r="D73"/>
  <c r="D41" i="12"/>
  <c r="E49"/>
  <c r="F49"/>
  <c r="D40" i="11"/>
  <c r="BR25" i="2" l="1"/>
  <c r="CS23"/>
  <c r="CS19"/>
  <c r="CS18"/>
  <c r="CS14" l="1"/>
  <c r="C73" i="3"/>
  <c r="D38" i="13"/>
  <c r="D40" i="10"/>
  <c r="D40" i="9"/>
  <c r="D40" i="8"/>
  <c r="D17" i="15"/>
  <c r="E11" i="3"/>
  <c r="CS29" i="2"/>
  <c r="CR29"/>
  <c r="CS27"/>
  <c r="CS25"/>
  <c r="CS24"/>
  <c r="CS22"/>
  <c r="CS21"/>
  <c r="D41" i="15"/>
  <c r="D37" i="14"/>
  <c r="BR24" i="2" s="1"/>
  <c r="D41" i="14"/>
  <c r="D38" i="17"/>
  <c r="CR23" i="2"/>
  <c r="E9" i="12"/>
  <c r="F33" i="5" l="1"/>
  <c r="AE14" i="2"/>
  <c r="CR14"/>
  <c r="CR27"/>
  <c r="CT27" s="1"/>
  <c r="CR25"/>
  <c r="CT25" s="1"/>
  <c r="CR24"/>
  <c r="CT24" s="1"/>
  <c r="CR21"/>
  <c r="CT21" s="1"/>
  <c r="CR19"/>
  <c r="CR18"/>
  <c r="CT18" s="1"/>
  <c r="CS15"/>
  <c r="CR15"/>
  <c r="F79" i="13"/>
  <c r="F90" i="18"/>
  <c r="C75" i="17"/>
  <c r="E51"/>
  <c r="F51"/>
  <c r="C38"/>
  <c r="C73" i="16"/>
  <c r="C40"/>
  <c r="E40" s="1"/>
  <c r="E50" i="15"/>
  <c r="F50"/>
  <c r="C41" i="14"/>
  <c r="F41" s="1"/>
  <c r="E50"/>
  <c r="F50"/>
  <c r="E75" i="12"/>
  <c r="E72"/>
  <c r="E31"/>
  <c r="F31"/>
  <c r="D29"/>
  <c r="C81" i="11"/>
  <c r="C40"/>
  <c r="E40" s="1"/>
  <c r="E49"/>
  <c r="F49"/>
  <c r="C40" i="10"/>
  <c r="F40" s="1"/>
  <c r="E79" i="9"/>
  <c r="E50"/>
  <c r="F50"/>
  <c r="E47" i="8"/>
  <c r="F47"/>
  <c r="E48"/>
  <c r="F48"/>
  <c r="E49"/>
  <c r="F49"/>
  <c r="E50"/>
  <c r="F50"/>
  <c r="C40"/>
  <c r="F40" s="1"/>
  <c r="E28" i="3"/>
  <c r="E29"/>
  <c r="E30"/>
  <c r="E31"/>
  <c r="C66" i="6"/>
  <c r="F80" i="5"/>
  <c r="F75"/>
  <c r="C26"/>
  <c r="D41"/>
  <c r="E48"/>
  <c r="F48"/>
  <c r="C41"/>
  <c r="E48" i="12"/>
  <c r="F48"/>
  <c r="E67" i="3"/>
  <c r="E62"/>
  <c r="E57"/>
  <c r="E38"/>
  <c r="G24" i="1"/>
  <c r="E80" i="3"/>
  <c r="C41" i="15"/>
  <c r="F41" s="1"/>
  <c r="E42"/>
  <c r="C38" i="13"/>
  <c r="C41" i="12"/>
  <c r="F41" i="10"/>
  <c r="E44"/>
  <c r="F44"/>
  <c r="E44" i="9"/>
  <c r="F44"/>
  <c r="E44" i="8"/>
  <c r="F44"/>
  <c r="E44" i="7"/>
  <c r="F44"/>
  <c r="E45" i="6"/>
  <c r="F45"/>
  <c r="E46"/>
  <c r="F46"/>
  <c r="E45" i="5"/>
  <c r="F45"/>
  <c r="CR22" i="2"/>
  <c r="CT22" s="1"/>
  <c r="CV14"/>
  <c r="C55" i="7"/>
  <c r="D109" i="3"/>
  <c r="G33" i="1" s="1"/>
  <c r="C109" i="3"/>
  <c r="F33" i="1" s="1"/>
  <c r="E111" i="3"/>
  <c r="E112"/>
  <c r="E102"/>
  <c r="E91"/>
  <c r="E74"/>
  <c r="E75"/>
  <c r="E70"/>
  <c r="E71"/>
  <c r="E60"/>
  <c r="D52"/>
  <c r="G20" i="1" s="1"/>
  <c r="E34" i="3"/>
  <c r="E35"/>
  <c r="E25"/>
  <c r="C67" i="17"/>
  <c r="D20" i="14"/>
  <c r="AK24" i="2" s="1"/>
  <c r="E74" i="11"/>
  <c r="E34" i="10"/>
  <c r="F34"/>
  <c r="E35"/>
  <c r="F35"/>
  <c r="D80" i="8"/>
  <c r="EL18" i="2" s="1"/>
  <c r="C76" i="8"/>
  <c r="EH18" i="2" s="1"/>
  <c r="C71" i="8"/>
  <c r="EE18" i="2" s="1"/>
  <c r="E35" i="11"/>
  <c r="F35"/>
  <c r="E34"/>
  <c r="F34"/>
  <c r="E33"/>
  <c r="C7" i="8"/>
  <c r="D7" i="5"/>
  <c r="C52" i="4"/>
  <c r="D12"/>
  <c r="BP23" i="2"/>
  <c r="BO21"/>
  <c r="BP21" s="1"/>
  <c r="D96" i="12"/>
  <c r="ER22" i="2" s="1"/>
  <c r="D26" i="6"/>
  <c r="F35" i="16"/>
  <c r="E35"/>
  <c r="D34"/>
  <c r="E34" s="1"/>
  <c r="D12" i="13"/>
  <c r="D5"/>
  <c r="D78"/>
  <c r="EL23" i="2" s="1"/>
  <c r="D74" i="13"/>
  <c r="EI23" i="2" s="1"/>
  <c r="D62" i="13"/>
  <c r="D69"/>
  <c r="EF23" i="2" s="1"/>
  <c r="D54" i="13"/>
  <c r="D26"/>
  <c r="E82" i="3"/>
  <c r="AQ27" i="2"/>
  <c r="AQ25"/>
  <c r="AQ18"/>
  <c r="AQ19"/>
  <c r="AR19" s="1"/>
  <c r="AQ17"/>
  <c r="AT29"/>
  <c r="AU29" s="1"/>
  <c r="BU35"/>
  <c r="E87" i="16"/>
  <c r="C80" i="14"/>
  <c r="EK24" i="2" s="1"/>
  <c r="E15" i="14"/>
  <c r="C74" i="13"/>
  <c r="EH23" i="2" s="1"/>
  <c r="E42" i="10"/>
  <c r="F42"/>
  <c r="BO19" i="2"/>
  <c r="BP19" s="1"/>
  <c r="F74" i="9"/>
  <c r="F35"/>
  <c r="E35"/>
  <c r="D34"/>
  <c r="C34"/>
  <c r="AZ15" i="2"/>
  <c r="AZ17"/>
  <c r="AZ19"/>
  <c r="AZ20"/>
  <c r="AZ21"/>
  <c r="AZ24"/>
  <c r="AZ26"/>
  <c r="AZ27"/>
  <c r="AZ28"/>
  <c r="D69" i="3"/>
  <c r="G21" i="1" s="1"/>
  <c r="F67" i="3"/>
  <c r="E36" i="18"/>
  <c r="F36"/>
  <c r="E48" i="16"/>
  <c r="F48"/>
  <c r="E46"/>
  <c r="E47"/>
  <c r="E42"/>
  <c r="F42"/>
  <c r="C34" i="15"/>
  <c r="BN25" i="2" s="1"/>
  <c r="E36" i="15"/>
  <c r="F36"/>
  <c r="D34"/>
  <c r="BO25" i="2" s="1"/>
  <c r="E70" i="14"/>
  <c r="D34"/>
  <c r="BO24" i="2" s="1"/>
  <c r="C34" i="14"/>
  <c r="E36" i="12"/>
  <c r="F36"/>
  <c r="C35"/>
  <c r="E42" i="11"/>
  <c r="F42"/>
  <c r="E42" i="8"/>
  <c r="F42"/>
  <c r="E85" i="7"/>
  <c r="D36"/>
  <c r="BR17" i="2" s="1"/>
  <c r="E42" i="7"/>
  <c r="F42"/>
  <c r="E35"/>
  <c r="F35"/>
  <c r="E58" i="6"/>
  <c r="F58"/>
  <c r="E49"/>
  <c r="E60" i="5"/>
  <c r="E61"/>
  <c r="E62"/>
  <c r="C5"/>
  <c r="C7"/>
  <c r="E29"/>
  <c r="E31"/>
  <c r="F28"/>
  <c r="E28"/>
  <c r="E45" i="4"/>
  <c r="DN14" i="2"/>
  <c r="DQ29"/>
  <c r="DQ24"/>
  <c r="DQ22"/>
  <c r="DQ21"/>
  <c r="DQ18"/>
  <c r="DQ16"/>
  <c r="DQ14"/>
  <c r="D17" i="12"/>
  <c r="D5" i="8"/>
  <c r="D5" i="6"/>
  <c r="D56" i="12"/>
  <c r="D35"/>
  <c r="BO22" i="2" s="1"/>
  <c r="BP22" s="1"/>
  <c r="CS26"/>
  <c r="CR26"/>
  <c r="CS28"/>
  <c r="CR28"/>
  <c r="D82" i="18"/>
  <c r="D78"/>
  <c r="EI28" i="2" s="1"/>
  <c r="D41" i="18"/>
  <c r="C41"/>
  <c r="E51"/>
  <c r="F51"/>
  <c r="D34" i="7"/>
  <c r="BO17" i="2" s="1"/>
  <c r="BP17" s="1"/>
  <c r="C34" i="7"/>
  <c r="G15" i="1"/>
  <c r="D61" i="19"/>
  <c r="DZ29" i="2" s="1"/>
  <c r="D38" i="19"/>
  <c r="D35" i="18"/>
  <c r="BO28" i="2" s="1"/>
  <c r="BO20"/>
  <c r="BP20" s="1"/>
  <c r="D87" i="14"/>
  <c r="ER24" i="2" s="1"/>
  <c r="D36" i="8"/>
  <c r="BR18" i="2" s="1"/>
  <c r="E27" i="19"/>
  <c r="E56" i="16"/>
  <c r="E57"/>
  <c r="E58"/>
  <c r="E59"/>
  <c r="AQ29" i="2"/>
  <c r="AQ14"/>
  <c r="CL18"/>
  <c r="AS17"/>
  <c r="AA24"/>
  <c r="D115" i="3"/>
  <c r="G35" i="1" s="1"/>
  <c r="D35" s="1"/>
  <c r="F118" i="3"/>
  <c r="E118"/>
  <c r="D66" i="8"/>
  <c r="EC18" i="2" s="1"/>
  <c r="C66" i="8"/>
  <c r="EB18" i="2" s="1"/>
  <c r="C14" i="14"/>
  <c r="F15" s="1"/>
  <c r="F35" i="15"/>
  <c r="E35"/>
  <c r="D26" i="4"/>
  <c r="CI16" i="2"/>
  <c r="CI29"/>
  <c r="CI28"/>
  <c r="CI27"/>
  <c r="CI26"/>
  <c r="CI25"/>
  <c r="CI24"/>
  <c r="CI23"/>
  <c r="CI22"/>
  <c r="CI21"/>
  <c r="CI20"/>
  <c r="CI19"/>
  <c r="CI18"/>
  <c r="CI17"/>
  <c r="CI15"/>
  <c r="CI14"/>
  <c r="CC19"/>
  <c r="I29"/>
  <c r="P25"/>
  <c r="AN25"/>
  <c r="CP28"/>
  <c r="CP26"/>
  <c r="CP25"/>
  <c r="CP24"/>
  <c r="CP23"/>
  <c r="CP22"/>
  <c r="CP16"/>
  <c r="BE14"/>
  <c r="AY28"/>
  <c r="AY27"/>
  <c r="AY24"/>
  <c r="BA24" s="1"/>
  <c r="AY21"/>
  <c r="AY20"/>
  <c r="AY19"/>
  <c r="AY17"/>
  <c r="BA17" s="1"/>
  <c r="AY15"/>
  <c r="AY26"/>
  <c r="AS24"/>
  <c r="AQ26"/>
  <c r="AQ24"/>
  <c r="AQ22"/>
  <c r="AQ16"/>
  <c r="AQ15"/>
  <c r="D87" i="15"/>
  <c r="ER25" i="2" s="1"/>
  <c r="D20" i="12"/>
  <c r="AK22" i="2" s="1"/>
  <c r="AL22" s="1"/>
  <c r="C20" i="12"/>
  <c r="D26" i="5"/>
  <c r="C31" i="4"/>
  <c r="AP27" i="2"/>
  <c r="AZ14"/>
  <c r="CO28"/>
  <c r="CO26"/>
  <c r="CC26"/>
  <c r="CO24"/>
  <c r="CO23"/>
  <c r="CO22"/>
  <c r="CO16"/>
  <c r="D26" i="19"/>
  <c r="D53"/>
  <c r="D68"/>
  <c r="EF29" i="2" s="1"/>
  <c r="D65" i="16"/>
  <c r="D63"/>
  <c r="D55"/>
  <c r="D75"/>
  <c r="D70"/>
  <c r="EF26" i="2" s="1"/>
  <c r="D66" i="15"/>
  <c r="EC25" i="2" s="1"/>
  <c r="D7" i="7"/>
  <c r="D40"/>
  <c r="F40" s="1"/>
  <c r="D26"/>
  <c r="D17" i="5"/>
  <c r="EF14" i="2"/>
  <c r="DQ20"/>
  <c r="DQ17"/>
  <c r="D5" i="15"/>
  <c r="D5" i="9"/>
  <c r="C35" i="18"/>
  <c r="BN28" i="2" s="1"/>
  <c r="C34" i="8"/>
  <c r="AP18" i="2"/>
  <c r="AT19"/>
  <c r="AS18"/>
  <c r="E41" i="3"/>
  <c r="F41"/>
  <c r="C52"/>
  <c r="F20" i="1" s="1"/>
  <c r="DZ22" i="2"/>
  <c r="AQ21"/>
  <c r="D65" i="17"/>
  <c r="D56" i="15"/>
  <c r="D37" i="12"/>
  <c r="BR22" i="2" s="1"/>
  <c r="E15" i="5"/>
  <c r="E16"/>
  <c r="D60" i="4"/>
  <c r="G9" i="1"/>
  <c r="D9" s="1"/>
  <c r="BE22" i="2"/>
  <c r="D31" i="7"/>
  <c r="J14" i="2"/>
  <c r="J16"/>
  <c r="J17"/>
  <c r="J18"/>
  <c r="J19"/>
  <c r="J20"/>
  <c r="J21"/>
  <c r="J22"/>
  <c r="J23"/>
  <c r="J24"/>
  <c r="J25"/>
  <c r="J26"/>
  <c r="J27"/>
  <c r="J28"/>
  <c r="J29"/>
  <c r="BN18"/>
  <c r="BF18"/>
  <c r="BI18"/>
  <c r="BI31" s="1"/>
  <c r="BI35" s="1"/>
  <c r="BJ18"/>
  <c r="BK18"/>
  <c r="BL18"/>
  <c r="BM18"/>
  <c r="D66" i="14"/>
  <c r="EC24" i="2" s="1"/>
  <c r="D5" i="14"/>
  <c r="EY30" i="2"/>
  <c r="D65" i="18"/>
  <c r="DZ28" i="2" s="1"/>
  <c r="D12" i="5"/>
  <c r="E47"/>
  <c r="F47"/>
  <c r="C72"/>
  <c r="I14" i="2"/>
  <c r="AP26"/>
  <c r="AP25"/>
  <c r="AP24"/>
  <c r="AP22"/>
  <c r="AP17"/>
  <c r="AP14"/>
  <c r="AS26"/>
  <c r="AS22"/>
  <c r="AS21"/>
  <c r="D21" i="3"/>
  <c r="G11" i="1" s="1"/>
  <c r="D11" s="1"/>
  <c r="D5" i="3"/>
  <c r="G5" i="1" s="1"/>
  <c r="D129" i="3"/>
  <c r="G38" i="1" s="1"/>
  <c r="C96" i="12"/>
  <c r="EQ22" i="2" s="1"/>
  <c r="D7" i="16"/>
  <c r="E42" i="9"/>
  <c r="F42"/>
  <c r="D83" i="4"/>
  <c r="ER14" i="2" s="1"/>
  <c r="C83" i="4"/>
  <c r="EQ14" i="2" s="1"/>
  <c r="D76" i="4"/>
  <c r="EL14" i="2" s="1"/>
  <c r="C76" i="4"/>
  <c r="D72"/>
  <c r="C72"/>
  <c r="EH14" i="2" s="1"/>
  <c r="D62" i="4"/>
  <c r="C62"/>
  <c r="EB14" i="2" s="1"/>
  <c r="C60" i="4"/>
  <c r="D52"/>
  <c r="D36" i="16"/>
  <c r="D139" i="3"/>
  <c r="G41" i="1" s="1"/>
  <c r="D16" i="3"/>
  <c r="D17" i="19"/>
  <c r="D32" i="5"/>
  <c r="BF15" i="2" s="1"/>
  <c r="D66" i="11"/>
  <c r="D64"/>
  <c r="D56"/>
  <c r="DK21" i="2" s="1"/>
  <c r="D86" i="7"/>
  <c r="ER17" i="2" s="1"/>
  <c r="D81" i="7"/>
  <c r="EO17" i="2" s="1"/>
  <c r="D79" i="7"/>
  <c r="EL17" i="2" s="1"/>
  <c r="D75" i="7"/>
  <c r="EI17" i="2" s="1"/>
  <c r="D70" i="7"/>
  <c r="D65"/>
  <c r="EC17" i="2" s="1"/>
  <c r="D63" i="7"/>
  <c r="D55"/>
  <c r="D64" i="10"/>
  <c r="AS28" i="2"/>
  <c r="AS27"/>
  <c r="AS25"/>
  <c r="AS23"/>
  <c r="AS20"/>
  <c r="AS16"/>
  <c r="AS15"/>
  <c r="AS14"/>
  <c r="AP28"/>
  <c r="AP23"/>
  <c r="AP20"/>
  <c r="D7" i="13"/>
  <c r="D14"/>
  <c r="C14" i="12"/>
  <c r="Y14" i="2"/>
  <c r="Y15"/>
  <c r="Y16"/>
  <c r="Y18"/>
  <c r="Y20"/>
  <c r="Y21"/>
  <c r="Y22"/>
  <c r="Y23"/>
  <c r="Y24"/>
  <c r="Y25"/>
  <c r="Y26"/>
  <c r="Y27"/>
  <c r="Y28"/>
  <c r="Y29"/>
  <c r="DV16"/>
  <c r="CP29"/>
  <c r="CO29"/>
  <c r="DN24"/>
  <c r="DN25"/>
  <c r="DN23"/>
  <c r="DN22"/>
  <c r="DN26"/>
  <c r="DN21"/>
  <c r="DN20"/>
  <c r="DN29"/>
  <c r="DN28"/>
  <c r="DN27"/>
  <c r="DN19"/>
  <c r="DN18"/>
  <c r="DN17"/>
  <c r="DN16"/>
  <c r="DN15"/>
  <c r="DP17"/>
  <c r="D88" i="3"/>
  <c r="G29" i="1" s="1"/>
  <c r="C139" i="3"/>
  <c r="F139" s="1"/>
  <c r="D26" i="16"/>
  <c r="D7" i="4"/>
  <c r="D66" i="9"/>
  <c r="D56"/>
  <c r="AD23" i="2"/>
  <c r="I23"/>
  <c r="L23"/>
  <c r="I24"/>
  <c r="AD24"/>
  <c r="AQ28"/>
  <c r="AQ23"/>
  <c r="AQ20"/>
  <c r="AP21"/>
  <c r="AP15"/>
  <c r="C31" i="19"/>
  <c r="E43" i="14"/>
  <c r="F43"/>
  <c r="C26" i="6"/>
  <c r="C65" i="5"/>
  <c r="DE23" i="2"/>
  <c r="DE31" s="1"/>
  <c r="D77" i="17"/>
  <c r="EI27" i="2" s="1"/>
  <c r="D77" i="12"/>
  <c r="D71" i="9"/>
  <c r="E55" i="3"/>
  <c r="D23"/>
  <c r="G12" i="1" s="1"/>
  <c r="BU33" i="2"/>
  <c r="DF33"/>
  <c r="D47" i="3"/>
  <c r="D42"/>
  <c r="C88" i="17"/>
  <c r="EQ27" i="2" s="1"/>
  <c r="DP14"/>
  <c r="D26" i="17"/>
  <c r="D32" i="18"/>
  <c r="D14" i="4"/>
  <c r="C78" i="13"/>
  <c r="EK23" i="2" s="1"/>
  <c r="C26" i="11"/>
  <c r="C26" i="8"/>
  <c r="C32" i="6"/>
  <c r="E67" i="18"/>
  <c r="C64" i="15"/>
  <c r="C80" i="8"/>
  <c r="E82"/>
  <c r="F82"/>
  <c r="CG23" i="2"/>
  <c r="CF23"/>
  <c r="F40" i="13"/>
  <c r="F41"/>
  <c r="E40"/>
  <c r="E41"/>
  <c r="CG27" i="2"/>
  <c r="CF27"/>
  <c r="F40" i="17"/>
  <c r="F41"/>
  <c r="E40"/>
  <c r="E41"/>
  <c r="CP27" i="2"/>
  <c r="D7" i="10"/>
  <c r="D7" i="8"/>
  <c r="C31" i="13"/>
  <c r="EL22" i="2"/>
  <c r="EK22"/>
  <c r="D94" i="8"/>
  <c r="EU18" i="2" s="1"/>
  <c r="D65" i="6"/>
  <c r="D65" i="5"/>
  <c r="CO27" i="2"/>
  <c r="D80" i="11"/>
  <c r="EL21" i="2" s="1"/>
  <c r="D64" i="9"/>
  <c r="F44" i="17"/>
  <c r="F45"/>
  <c r="F47"/>
  <c r="F48"/>
  <c r="F49"/>
  <c r="F50"/>
  <c r="E44"/>
  <c r="E45"/>
  <c r="E47"/>
  <c r="E48"/>
  <c r="E49"/>
  <c r="E50"/>
  <c r="D17" i="18"/>
  <c r="D12" i="3"/>
  <c r="CP21" i="2"/>
  <c r="E74" i="12"/>
  <c r="F74"/>
  <c r="CO21" i="2"/>
  <c r="CO20"/>
  <c r="C7" i="19"/>
  <c r="C7" i="18"/>
  <c r="C7" i="17"/>
  <c r="C7" i="16"/>
  <c r="C7" i="15"/>
  <c r="C17" i="14"/>
  <c r="C7"/>
  <c r="C7" i="13"/>
  <c r="C7" i="12"/>
  <c r="C7" i="11"/>
  <c r="C7" i="10"/>
  <c r="C7" i="9"/>
  <c r="C7" i="7"/>
  <c r="C7" i="6"/>
  <c r="C7" i="4"/>
  <c r="D12" i="11"/>
  <c r="C129" i="3"/>
  <c r="F38" i="1" s="1"/>
  <c r="C124" i="3"/>
  <c r="F37" i="1" s="1"/>
  <c r="D121" i="3"/>
  <c r="G36" i="1" s="1"/>
  <c r="C121" i="3"/>
  <c r="F36" i="1" s="1"/>
  <c r="C132" i="3"/>
  <c r="E132" s="1"/>
  <c r="D113"/>
  <c r="C104"/>
  <c r="F32" i="1" s="1"/>
  <c r="D96" i="3"/>
  <c r="G30" i="1" s="1"/>
  <c r="E98" i="3"/>
  <c r="C88"/>
  <c r="F29" i="1" s="1"/>
  <c r="C7" i="3"/>
  <c r="F6" i="1" s="1"/>
  <c r="D12" i="6"/>
  <c r="C89" i="9"/>
  <c r="EN19" i="2" s="1"/>
  <c r="D67" i="17"/>
  <c r="EC27" i="2" s="1"/>
  <c r="F77" i="11"/>
  <c r="F78"/>
  <c r="E77"/>
  <c r="E78"/>
  <c r="D89" i="9"/>
  <c r="EO19" i="2" s="1"/>
  <c r="F85" i="9"/>
  <c r="F86"/>
  <c r="F87"/>
  <c r="F88"/>
  <c r="F90"/>
  <c r="E85"/>
  <c r="E86"/>
  <c r="E87"/>
  <c r="E88"/>
  <c r="E90"/>
  <c r="D7" i="3"/>
  <c r="G6" i="1" s="1"/>
  <c r="D5" i="19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C26"/>
  <c r="F27"/>
  <c r="E28"/>
  <c r="F28"/>
  <c r="C29"/>
  <c r="D29"/>
  <c r="E30"/>
  <c r="F30"/>
  <c r="E32"/>
  <c r="F32"/>
  <c r="E33"/>
  <c r="F33"/>
  <c r="C34"/>
  <c r="BQ29" i="2" s="1"/>
  <c r="D34" i="19"/>
  <c r="BR29" i="2" s="1"/>
  <c r="E35" i="19"/>
  <c r="F35"/>
  <c r="E36"/>
  <c r="F36"/>
  <c r="E39"/>
  <c r="E40"/>
  <c r="F40"/>
  <c r="E41"/>
  <c r="F41"/>
  <c r="E42"/>
  <c r="F42"/>
  <c r="E43"/>
  <c r="F43"/>
  <c r="E44"/>
  <c r="CQ29" i="2" s="1"/>
  <c r="F44" i="19"/>
  <c r="F45"/>
  <c r="F46"/>
  <c r="E47"/>
  <c r="F47"/>
  <c r="C53"/>
  <c r="E55"/>
  <c r="F55"/>
  <c r="F56"/>
  <c r="E57"/>
  <c r="F57"/>
  <c r="E58"/>
  <c r="F58"/>
  <c r="E59"/>
  <c r="F59"/>
  <c r="E60"/>
  <c r="F60"/>
  <c r="C61"/>
  <c r="E62"/>
  <c r="F62"/>
  <c r="C63"/>
  <c r="D63"/>
  <c r="EC29" i="2" s="1"/>
  <c r="E64" i="19"/>
  <c r="F64"/>
  <c r="E65"/>
  <c r="F65"/>
  <c r="E66"/>
  <c r="F66"/>
  <c r="E67"/>
  <c r="F67"/>
  <c r="E69"/>
  <c r="F69"/>
  <c r="E70"/>
  <c r="F70"/>
  <c r="E72"/>
  <c r="F72"/>
  <c r="D73"/>
  <c r="EI29" i="2" s="1"/>
  <c r="E74" i="19"/>
  <c r="F74"/>
  <c r="E75"/>
  <c r="F75"/>
  <c r="E76"/>
  <c r="C77"/>
  <c r="D77"/>
  <c r="EL29" i="2" s="1"/>
  <c r="E78" i="19"/>
  <c r="F78"/>
  <c r="C79"/>
  <c r="EN29" i="2" s="1"/>
  <c r="D79" i="19"/>
  <c r="EO29" i="2" s="1"/>
  <c r="E80" i="19"/>
  <c r="F80"/>
  <c r="E81"/>
  <c r="F81"/>
  <c r="E82"/>
  <c r="F82"/>
  <c r="F83"/>
  <c r="C84"/>
  <c r="EQ29" i="2" s="1"/>
  <c r="D84" i="19"/>
  <c r="ER29" i="2" s="1"/>
  <c r="E85" i="19"/>
  <c r="F85"/>
  <c r="E86"/>
  <c r="F86"/>
  <c r="E87"/>
  <c r="E88"/>
  <c r="E89"/>
  <c r="C90"/>
  <c r="D90"/>
  <c r="EU29" i="2" s="1"/>
  <c r="E91" i="19"/>
  <c r="F91"/>
  <c r="E92"/>
  <c r="F92"/>
  <c r="E93"/>
  <c r="F93"/>
  <c r="D5" i="18"/>
  <c r="D7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6" s="1"/>
  <c r="E27"/>
  <c r="F27"/>
  <c r="C30"/>
  <c r="D30"/>
  <c r="E31"/>
  <c r="F31"/>
  <c r="C32"/>
  <c r="E33"/>
  <c r="F33"/>
  <c r="E34"/>
  <c r="F34"/>
  <c r="C37"/>
  <c r="BQ28" i="2" s="1"/>
  <c r="D37" i="18"/>
  <c r="E38"/>
  <c r="F38"/>
  <c r="E39"/>
  <c r="F39"/>
  <c r="E42"/>
  <c r="F42"/>
  <c r="E43"/>
  <c r="F43"/>
  <c r="E44"/>
  <c r="F44"/>
  <c r="E45"/>
  <c r="F45"/>
  <c r="E46"/>
  <c r="F46"/>
  <c r="E47"/>
  <c r="F47"/>
  <c r="E48"/>
  <c r="F48"/>
  <c r="F49"/>
  <c r="E50"/>
  <c r="F50"/>
  <c r="D57"/>
  <c r="E59"/>
  <c r="F59"/>
  <c r="F60"/>
  <c r="E61"/>
  <c r="F61"/>
  <c r="E62"/>
  <c r="F62"/>
  <c r="E63"/>
  <c r="F63"/>
  <c r="C65"/>
  <c r="E66"/>
  <c r="F66"/>
  <c r="E68"/>
  <c r="F68"/>
  <c r="E69"/>
  <c r="F69"/>
  <c r="E70"/>
  <c r="F70"/>
  <c r="E71"/>
  <c r="F71"/>
  <c r="EF28" i="2"/>
  <c r="E75" i="18"/>
  <c r="F75"/>
  <c r="E76"/>
  <c r="F76"/>
  <c r="C78"/>
  <c r="E79"/>
  <c r="F79"/>
  <c r="E80"/>
  <c r="F80"/>
  <c r="E81"/>
  <c r="F81"/>
  <c r="C82"/>
  <c r="EK28" i="2" s="1"/>
  <c r="E83" i="18"/>
  <c r="F83"/>
  <c r="C84"/>
  <c r="EN28" i="2" s="1"/>
  <c r="D84" i="18"/>
  <c r="EO28" i="2" s="1"/>
  <c r="E85" i="18"/>
  <c r="F85"/>
  <c r="E86"/>
  <c r="F86"/>
  <c r="E87"/>
  <c r="F87"/>
  <c r="F88"/>
  <c r="D89"/>
  <c r="ER28" i="2" s="1"/>
  <c r="E90" i="18"/>
  <c r="E91"/>
  <c r="F91"/>
  <c r="E92"/>
  <c r="E93"/>
  <c r="E94"/>
  <c r="C95"/>
  <c r="ET28" i="2" s="1"/>
  <c r="D95" i="18"/>
  <c r="EU28" i="2" s="1"/>
  <c r="E96" i="18"/>
  <c r="F96"/>
  <c r="E97"/>
  <c r="F97"/>
  <c r="E98"/>
  <c r="F98"/>
  <c r="D5" i="17"/>
  <c r="D7"/>
  <c r="D14"/>
  <c r="D17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D31"/>
  <c r="BF27" i="2" s="1"/>
  <c r="C26" i="17"/>
  <c r="E27"/>
  <c r="F27"/>
  <c r="E28"/>
  <c r="F28"/>
  <c r="C29"/>
  <c r="D29"/>
  <c r="E30"/>
  <c r="F30"/>
  <c r="C31"/>
  <c r="BE27" i="2" s="1"/>
  <c r="E32" i="17"/>
  <c r="F32"/>
  <c r="E33"/>
  <c r="F33"/>
  <c r="C34"/>
  <c r="BQ27" i="2" s="1"/>
  <c r="D34" i="17"/>
  <c r="BR27" i="2" s="1"/>
  <c r="E35" i="17"/>
  <c r="F35"/>
  <c r="E36"/>
  <c r="F36"/>
  <c r="F39"/>
  <c r="E42"/>
  <c r="F42"/>
  <c r="E43"/>
  <c r="F43"/>
  <c r="C46"/>
  <c r="D46"/>
  <c r="C57"/>
  <c r="D57"/>
  <c r="E59"/>
  <c r="F59"/>
  <c r="F60"/>
  <c r="E61"/>
  <c r="F61"/>
  <c r="E62"/>
  <c r="F62"/>
  <c r="E63"/>
  <c r="F63"/>
  <c r="E64"/>
  <c r="F64"/>
  <c r="C65"/>
  <c r="E66"/>
  <c r="F66"/>
  <c r="E68"/>
  <c r="F68"/>
  <c r="E69"/>
  <c r="F69"/>
  <c r="E70"/>
  <c r="F70"/>
  <c r="E71"/>
  <c r="F71"/>
  <c r="D72"/>
  <c r="EF27" i="2" s="1"/>
  <c r="E74" i="17"/>
  <c r="F74"/>
  <c r="E75"/>
  <c r="F75"/>
  <c r="E76"/>
  <c r="F76"/>
  <c r="C77"/>
  <c r="EH27" i="2" s="1"/>
  <c r="E78" i="17"/>
  <c r="F78"/>
  <c r="E79"/>
  <c r="F79"/>
  <c r="E80"/>
  <c r="F80"/>
  <c r="D81"/>
  <c r="C83"/>
  <c r="D83"/>
  <c r="EO27" i="2" s="1"/>
  <c r="E84" i="17"/>
  <c r="F84"/>
  <c r="E85"/>
  <c r="F85"/>
  <c r="E86"/>
  <c r="F86"/>
  <c r="F87"/>
  <c r="D88"/>
  <c r="ER27" i="2" s="1"/>
  <c r="F89" i="17"/>
  <c r="E90"/>
  <c r="F90"/>
  <c r="E91"/>
  <c r="E92"/>
  <c r="E93"/>
  <c r="C94"/>
  <c r="ET27" i="2" s="1"/>
  <c r="D94" i="17"/>
  <c r="EU27" i="2" s="1"/>
  <c r="E95" i="17"/>
  <c r="F95"/>
  <c r="E96"/>
  <c r="F96"/>
  <c r="E97"/>
  <c r="F97"/>
  <c r="D5" i="16"/>
  <c r="D12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D31"/>
  <c r="BF26" i="2" s="1"/>
  <c r="E32" i="16"/>
  <c r="F32"/>
  <c r="E33"/>
  <c r="F33"/>
  <c r="C37"/>
  <c r="E37" s="1"/>
  <c r="E38"/>
  <c r="F38"/>
  <c r="E41"/>
  <c r="F41"/>
  <c r="E43"/>
  <c r="F43"/>
  <c r="E44"/>
  <c r="F44"/>
  <c r="E45"/>
  <c r="F45"/>
  <c r="F46"/>
  <c r="F47"/>
  <c r="E49"/>
  <c r="F49"/>
  <c r="C55"/>
  <c r="F57"/>
  <c r="F58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2"/>
  <c r="F72"/>
  <c r="E73"/>
  <c r="F73"/>
  <c r="E74"/>
  <c r="F74"/>
  <c r="C75"/>
  <c r="EH26" i="2" s="1"/>
  <c r="E76" i="16"/>
  <c r="F76"/>
  <c r="E77"/>
  <c r="F77"/>
  <c r="E78"/>
  <c r="F78"/>
  <c r="C79"/>
  <c r="EK26" i="2" s="1"/>
  <c r="D79" i="16"/>
  <c r="EL26" i="2" s="1"/>
  <c r="E80" i="16"/>
  <c r="F80"/>
  <c r="C81"/>
  <c r="EN26" i="2" s="1"/>
  <c r="D81" i="16"/>
  <c r="E82"/>
  <c r="F82"/>
  <c r="E83"/>
  <c r="F83"/>
  <c r="E84"/>
  <c r="F84"/>
  <c r="F85"/>
  <c r="C86"/>
  <c r="EQ26" i="2" s="1"/>
  <c r="D86" i="16"/>
  <c r="F87"/>
  <c r="E88"/>
  <c r="F88"/>
  <c r="E89"/>
  <c r="E90"/>
  <c r="E91"/>
  <c r="C92"/>
  <c r="ET26" i="2" s="1"/>
  <c r="D92" i="16"/>
  <c r="EU26" i="2" s="1"/>
  <c r="E93" i="16"/>
  <c r="F93"/>
  <c r="E94"/>
  <c r="F94"/>
  <c r="E95"/>
  <c r="F95"/>
  <c r="D7" i="15"/>
  <c r="D14"/>
  <c r="C5"/>
  <c r="E6"/>
  <c r="F6"/>
  <c r="E8"/>
  <c r="F8"/>
  <c r="E9"/>
  <c r="F9"/>
  <c r="E10"/>
  <c r="F10"/>
  <c r="E11"/>
  <c r="F11"/>
  <c r="C12"/>
  <c r="D12"/>
  <c r="E13"/>
  <c r="F13"/>
  <c r="C14"/>
  <c r="E15"/>
  <c r="F15"/>
  <c r="E16"/>
  <c r="F16"/>
  <c r="C17"/>
  <c r="E17" s="1"/>
  <c r="E18"/>
  <c r="F18"/>
  <c r="E19"/>
  <c r="F19"/>
  <c r="C20"/>
  <c r="D20"/>
  <c r="E21"/>
  <c r="F21"/>
  <c r="E22"/>
  <c r="F22"/>
  <c r="E23"/>
  <c r="F23"/>
  <c r="E24"/>
  <c r="F24"/>
  <c r="D26"/>
  <c r="C26"/>
  <c r="E27"/>
  <c r="F27"/>
  <c r="E28"/>
  <c r="F28"/>
  <c r="C29"/>
  <c r="AY25" i="2" s="1"/>
  <c r="D29" i="15"/>
  <c r="E30"/>
  <c r="F30"/>
  <c r="C31"/>
  <c r="D31"/>
  <c r="E32"/>
  <c r="F32"/>
  <c r="E33"/>
  <c r="F33"/>
  <c r="C37"/>
  <c r="D37"/>
  <c r="E38"/>
  <c r="F38"/>
  <c r="E39"/>
  <c r="F39"/>
  <c r="F42"/>
  <c r="E43"/>
  <c r="F43"/>
  <c r="E44"/>
  <c r="F44"/>
  <c r="E45"/>
  <c r="F45"/>
  <c r="E46"/>
  <c r="F46"/>
  <c r="E47"/>
  <c r="F47"/>
  <c r="E49"/>
  <c r="F49"/>
  <c r="C56"/>
  <c r="E58"/>
  <c r="F58"/>
  <c r="F59"/>
  <c r="E60"/>
  <c r="F60"/>
  <c r="E61"/>
  <c r="F61"/>
  <c r="E62"/>
  <c r="F62"/>
  <c r="E63"/>
  <c r="F63"/>
  <c r="D64"/>
  <c r="E65"/>
  <c r="F65"/>
  <c r="C66"/>
  <c r="E67"/>
  <c r="F67"/>
  <c r="E68"/>
  <c r="F68"/>
  <c r="E69"/>
  <c r="F69"/>
  <c r="E70"/>
  <c r="F70"/>
  <c r="D71"/>
  <c r="EF25" i="2" s="1"/>
  <c r="E72" i="15"/>
  <c r="F72"/>
  <c r="E73"/>
  <c r="F73"/>
  <c r="F74"/>
  <c r="E75"/>
  <c r="F75"/>
  <c r="D76"/>
  <c r="EI25" i="2" s="1"/>
  <c r="E77" i="15"/>
  <c r="F77"/>
  <c r="E78"/>
  <c r="F78"/>
  <c r="C80"/>
  <c r="EK25" i="2" s="1"/>
  <c r="D80" i="15"/>
  <c r="EL25" i="2" s="1"/>
  <c r="E81" i="15"/>
  <c r="F81"/>
  <c r="C82"/>
  <c r="EN25" i="2" s="1"/>
  <c r="D82" i="15"/>
  <c r="C87"/>
  <c r="EQ25" i="2" s="1"/>
  <c r="E88" i="15"/>
  <c r="F88"/>
  <c r="E89"/>
  <c r="F89"/>
  <c r="E90"/>
  <c r="E91"/>
  <c r="E92"/>
  <c r="C93"/>
  <c r="ET25" i="2" s="1"/>
  <c r="D93" i="15"/>
  <c r="EU25" i="2" s="1"/>
  <c r="E94" i="15"/>
  <c r="F94"/>
  <c r="E95"/>
  <c r="F95"/>
  <c r="E96"/>
  <c r="F96"/>
  <c r="D7" i="14"/>
  <c r="D14"/>
  <c r="D17"/>
  <c r="F17" s="1"/>
  <c r="C5"/>
  <c r="E6"/>
  <c r="F6"/>
  <c r="E8"/>
  <c r="F8"/>
  <c r="E9"/>
  <c r="F9"/>
  <c r="E10"/>
  <c r="F10"/>
  <c r="E11"/>
  <c r="F11"/>
  <c r="C12"/>
  <c r="D12"/>
  <c r="E13"/>
  <c r="F13"/>
  <c r="E16"/>
  <c r="F16"/>
  <c r="E18"/>
  <c r="F18"/>
  <c r="E19"/>
  <c r="F19"/>
  <c r="C20"/>
  <c r="E20" s="1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7"/>
  <c r="E37" s="1"/>
  <c r="E35" s="1"/>
  <c r="E34" s="1"/>
  <c r="E38"/>
  <c r="E36" s="1"/>
  <c r="F38"/>
  <c r="F36" s="1"/>
  <c r="E39"/>
  <c r="F39"/>
  <c r="E42"/>
  <c r="F42"/>
  <c r="E44"/>
  <c r="F44"/>
  <c r="E45"/>
  <c r="F45"/>
  <c r="E46"/>
  <c r="F46"/>
  <c r="E47"/>
  <c r="F47"/>
  <c r="F48"/>
  <c r="E49"/>
  <c r="F49"/>
  <c r="C56"/>
  <c r="D56"/>
  <c r="E58"/>
  <c r="F58"/>
  <c r="F59"/>
  <c r="E60"/>
  <c r="F60"/>
  <c r="E61"/>
  <c r="F61"/>
  <c r="E62"/>
  <c r="F62"/>
  <c r="E63"/>
  <c r="F63"/>
  <c r="C64"/>
  <c r="D64"/>
  <c r="E65"/>
  <c r="F65"/>
  <c r="C66"/>
  <c r="EB24" i="2" s="1"/>
  <c r="E67" i="14"/>
  <c r="F67"/>
  <c r="E68"/>
  <c r="F68"/>
  <c r="E69"/>
  <c r="F69"/>
  <c r="F70"/>
  <c r="D71"/>
  <c r="EF24" i="2" s="1"/>
  <c r="E72" i="14"/>
  <c r="F72"/>
  <c r="E73"/>
  <c r="F73"/>
  <c r="E74"/>
  <c r="E75"/>
  <c r="F75"/>
  <c r="D76"/>
  <c r="EI24" i="2" s="1"/>
  <c r="E78" i="14"/>
  <c r="F78"/>
  <c r="E79"/>
  <c r="F79"/>
  <c r="EL24" i="2"/>
  <c r="E81" i="14"/>
  <c r="F81"/>
  <c r="C82"/>
  <c r="EN24" i="2" s="1"/>
  <c r="D82" i="14"/>
  <c r="EO24" i="2" s="1"/>
  <c r="E83" i="14"/>
  <c r="F83"/>
  <c r="E84"/>
  <c r="F84"/>
  <c r="E85"/>
  <c r="F85"/>
  <c r="F86"/>
  <c r="C87"/>
  <c r="EQ24" i="2" s="1"/>
  <c r="E88" i="14"/>
  <c r="F88"/>
  <c r="E89"/>
  <c r="F89"/>
  <c r="E90"/>
  <c r="E91"/>
  <c r="E92"/>
  <c r="C93"/>
  <c r="D93"/>
  <c r="EU24" i="2" s="1"/>
  <c r="E94" i="14"/>
  <c r="F94"/>
  <c r="E95"/>
  <c r="F95"/>
  <c r="E96"/>
  <c r="F96"/>
  <c r="D17" i="13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F17" s="1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D31"/>
  <c r="E32"/>
  <c r="F32"/>
  <c r="E33"/>
  <c r="F33"/>
  <c r="C34"/>
  <c r="BQ23" i="2" s="1"/>
  <c r="D34" i="13"/>
  <c r="E35"/>
  <c r="F35"/>
  <c r="E36"/>
  <c r="F36"/>
  <c r="E39"/>
  <c r="F39"/>
  <c r="F42"/>
  <c r="E43"/>
  <c r="F43"/>
  <c r="E44"/>
  <c r="F44"/>
  <c r="E45"/>
  <c r="F45"/>
  <c r="F46"/>
  <c r="E47"/>
  <c r="F47"/>
  <c r="C54"/>
  <c r="E56"/>
  <c r="F56"/>
  <c r="F57"/>
  <c r="E58"/>
  <c r="F58"/>
  <c r="E59"/>
  <c r="F59"/>
  <c r="E60"/>
  <c r="F60"/>
  <c r="E61"/>
  <c r="F61"/>
  <c r="C62"/>
  <c r="E63"/>
  <c r="F63"/>
  <c r="C64"/>
  <c r="EB23" i="2" s="1"/>
  <c r="D64" i="13"/>
  <c r="EC23" i="2" s="1"/>
  <c r="E65" i="13"/>
  <c r="F65"/>
  <c r="E66"/>
  <c r="F66"/>
  <c r="E67"/>
  <c r="F67"/>
  <c r="E68"/>
  <c r="F68"/>
  <c r="C69"/>
  <c r="E71"/>
  <c r="F71"/>
  <c r="E72"/>
  <c r="F72"/>
  <c r="E73"/>
  <c r="F73"/>
  <c r="E75"/>
  <c r="F75"/>
  <c r="E76"/>
  <c r="F76"/>
  <c r="E77"/>
  <c r="F77"/>
  <c r="E79"/>
  <c r="C80"/>
  <c r="EN23" i="2" s="1"/>
  <c r="D80" i="13"/>
  <c r="E81"/>
  <c r="F81"/>
  <c r="E82"/>
  <c r="F82"/>
  <c r="E83"/>
  <c r="F83"/>
  <c r="F84"/>
  <c r="C85"/>
  <c r="EQ23" i="2" s="1"/>
  <c r="D85" i="13"/>
  <c r="ER23" i="2" s="1"/>
  <c r="E86" i="13"/>
  <c r="F86"/>
  <c r="E87"/>
  <c r="F87"/>
  <c r="E88"/>
  <c r="E89"/>
  <c r="E90"/>
  <c r="C91"/>
  <c r="ET23" i="2" s="1"/>
  <c r="D91" i="13"/>
  <c r="EU23" i="2" s="1"/>
  <c r="E92" i="13"/>
  <c r="F92"/>
  <c r="E93"/>
  <c r="F93"/>
  <c r="E94"/>
  <c r="F94"/>
  <c r="D5" i="12"/>
  <c r="D7"/>
  <c r="D12"/>
  <c r="D14"/>
  <c r="E14" s="1"/>
  <c r="C5"/>
  <c r="E6"/>
  <c r="F6"/>
  <c r="E8"/>
  <c r="F8"/>
  <c r="F9"/>
  <c r="E10"/>
  <c r="F10"/>
  <c r="E11"/>
  <c r="F11"/>
  <c r="C12"/>
  <c r="E13"/>
  <c r="F13"/>
  <c r="E15"/>
  <c r="F15"/>
  <c r="E16"/>
  <c r="F16"/>
  <c r="C17"/>
  <c r="E18"/>
  <c r="F18"/>
  <c r="E19"/>
  <c r="F19"/>
  <c r="E21"/>
  <c r="F21"/>
  <c r="E22"/>
  <c r="F22"/>
  <c r="E23"/>
  <c r="F23"/>
  <c r="E24"/>
  <c r="F24"/>
  <c r="D26"/>
  <c r="C26"/>
  <c r="E27"/>
  <c r="F27"/>
  <c r="E28"/>
  <c r="F28"/>
  <c r="AY22" i="2"/>
  <c r="E30" i="12"/>
  <c r="F30"/>
  <c r="C32"/>
  <c r="D32"/>
  <c r="BF22" i="2" s="1"/>
  <c r="E33" i="12"/>
  <c r="F33"/>
  <c r="E34"/>
  <c r="F34"/>
  <c r="C37"/>
  <c r="BQ22" i="2" s="1"/>
  <c r="E38" i="12"/>
  <c r="F38"/>
  <c r="E39"/>
  <c r="F39"/>
  <c r="E42"/>
  <c r="F42"/>
  <c r="E43"/>
  <c r="F43"/>
  <c r="E44"/>
  <c r="F44"/>
  <c r="E45"/>
  <c r="F45"/>
  <c r="E46"/>
  <c r="F46"/>
  <c r="E47"/>
  <c r="F47"/>
  <c r="E50"/>
  <c r="F50"/>
  <c r="F59"/>
  <c r="E60"/>
  <c r="F60"/>
  <c r="E61"/>
  <c r="F61"/>
  <c r="E62"/>
  <c r="F62"/>
  <c r="E63"/>
  <c r="F63"/>
  <c r="C64"/>
  <c r="E65"/>
  <c r="F65"/>
  <c r="C66"/>
  <c r="EB22" i="2" s="1"/>
  <c r="D66" i="12"/>
  <c r="EC22" i="2" s="1"/>
  <c r="E67" i="12"/>
  <c r="F67"/>
  <c r="E68"/>
  <c r="F68"/>
  <c r="E69"/>
  <c r="F69"/>
  <c r="E70"/>
  <c r="F70"/>
  <c r="D71"/>
  <c r="EF22" i="2" s="1"/>
  <c r="F72" i="12"/>
  <c r="E73"/>
  <c r="F73"/>
  <c r="F75"/>
  <c r="F76"/>
  <c r="C77"/>
  <c r="EH22" i="2" s="1"/>
  <c r="E78" i="12"/>
  <c r="F78"/>
  <c r="E79"/>
  <c r="F79"/>
  <c r="E80"/>
  <c r="F80"/>
  <c r="E82"/>
  <c r="F82"/>
  <c r="C83"/>
  <c r="EN22" i="2" s="1"/>
  <c r="D83" i="12"/>
  <c r="EO22" i="2" s="1"/>
  <c r="E84" i="12"/>
  <c r="F84"/>
  <c r="E85"/>
  <c r="F85"/>
  <c r="E86"/>
  <c r="F86"/>
  <c r="F87"/>
  <c r="C88"/>
  <c r="D88"/>
  <c r="E89"/>
  <c r="F89"/>
  <c r="E90"/>
  <c r="F90"/>
  <c r="E91"/>
  <c r="E92"/>
  <c r="E93"/>
  <c r="E94"/>
  <c r="F94"/>
  <c r="E95"/>
  <c r="F95"/>
  <c r="E97"/>
  <c r="F97"/>
  <c r="D5" i="11"/>
  <c r="D7"/>
  <c r="D14"/>
  <c r="D17"/>
  <c r="C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E18"/>
  <c r="F18"/>
  <c r="E19"/>
  <c r="F19"/>
  <c r="C20"/>
  <c r="D20"/>
  <c r="AK21" i="2" s="1"/>
  <c r="E21" i="11"/>
  <c r="F21"/>
  <c r="E22"/>
  <c r="F22"/>
  <c r="E23"/>
  <c r="F23"/>
  <c r="E24"/>
  <c r="F24"/>
  <c r="D26"/>
  <c r="D36"/>
  <c r="BR21" i="2" s="1"/>
  <c r="E27" i="11"/>
  <c r="F27"/>
  <c r="E28"/>
  <c r="F28"/>
  <c r="C29"/>
  <c r="D29"/>
  <c r="E30"/>
  <c r="F30"/>
  <c r="C31"/>
  <c r="D31"/>
  <c r="E32"/>
  <c r="F32"/>
  <c r="F33"/>
  <c r="C37"/>
  <c r="C36" s="1"/>
  <c r="E38"/>
  <c r="F38"/>
  <c r="E41"/>
  <c r="F41"/>
  <c r="E43"/>
  <c r="F43"/>
  <c r="E44"/>
  <c r="F44"/>
  <c r="E45"/>
  <c r="F45"/>
  <c r="E46"/>
  <c r="F46"/>
  <c r="F47"/>
  <c r="E48"/>
  <c r="F48"/>
  <c r="C56"/>
  <c r="E58"/>
  <c r="F58"/>
  <c r="F59"/>
  <c r="E60"/>
  <c r="F60"/>
  <c r="E61"/>
  <c r="F61"/>
  <c r="E62"/>
  <c r="F62"/>
  <c r="E63"/>
  <c r="F63"/>
  <c r="C64"/>
  <c r="E65"/>
  <c r="F65"/>
  <c r="C66"/>
  <c r="EB21" i="2" s="1"/>
  <c r="E67" i="11"/>
  <c r="F67"/>
  <c r="E68"/>
  <c r="F68"/>
  <c r="E69"/>
  <c r="F69"/>
  <c r="E70"/>
  <c r="F70"/>
  <c r="D71"/>
  <c r="EF21" i="2" s="1"/>
  <c r="E73" i="11"/>
  <c r="F73"/>
  <c r="E75"/>
  <c r="F75"/>
  <c r="C76"/>
  <c r="EH21" i="2" s="1"/>
  <c r="D76" i="11"/>
  <c r="E79"/>
  <c r="F79"/>
  <c r="F81"/>
  <c r="C82"/>
  <c r="EN21" i="2" s="1"/>
  <c r="D82" i="11"/>
  <c r="E83"/>
  <c r="F83"/>
  <c r="E84"/>
  <c r="F84"/>
  <c r="E85"/>
  <c r="F85"/>
  <c r="F86"/>
  <c r="C87"/>
  <c r="EQ21" i="2" s="1"/>
  <c r="D87" i="11"/>
  <c r="ER21" i="2" s="1"/>
  <c r="E88" i="11"/>
  <c r="F88"/>
  <c r="E89"/>
  <c r="F89"/>
  <c r="E90"/>
  <c r="E91"/>
  <c r="E92"/>
  <c r="C93"/>
  <c r="ET21" i="2" s="1"/>
  <c r="D93" i="11"/>
  <c r="EU21" i="2" s="1"/>
  <c r="E94" i="11"/>
  <c r="F94"/>
  <c r="E95"/>
  <c r="F95"/>
  <c r="E96"/>
  <c r="F96"/>
  <c r="C5" i="10"/>
  <c r="D5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D26"/>
  <c r="E27"/>
  <c r="F27"/>
  <c r="E28"/>
  <c r="F28"/>
  <c r="C29"/>
  <c r="D29"/>
  <c r="E30"/>
  <c r="F30"/>
  <c r="C31"/>
  <c r="D31"/>
  <c r="E32"/>
  <c r="F32"/>
  <c r="E33"/>
  <c r="F33"/>
  <c r="C36"/>
  <c r="BQ20" i="2" s="1"/>
  <c r="D36" i="10"/>
  <c r="BR20" i="2" s="1"/>
  <c r="E37" i="10"/>
  <c r="F37"/>
  <c r="E38"/>
  <c r="F38"/>
  <c r="E41"/>
  <c r="E43"/>
  <c r="F43"/>
  <c r="E45"/>
  <c r="F45"/>
  <c r="E46"/>
  <c r="F46"/>
  <c r="E47"/>
  <c r="F47"/>
  <c r="E48"/>
  <c r="F48"/>
  <c r="F49"/>
  <c r="E50"/>
  <c r="F50"/>
  <c r="C56"/>
  <c r="D56"/>
  <c r="E58"/>
  <c r="F58"/>
  <c r="F59"/>
  <c r="E60"/>
  <c r="F60"/>
  <c r="E61"/>
  <c r="F61"/>
  <c r="E62"/>
  <c r="F62"/>
  <c r="E63"/>
  <c r="F63"/>
  <c r="C64"/>
  <c r="E65"/>
  <c r="F65"/>
  <c r="C66"/>
  <c r="EB20" i="2" s="1"/>
  <c r="D66" i="10"/>
  <c r="EC20" i="2" s="1"/>
  <c r="E67" i="10"/>
  <c r="F67"/>
  <c r="E68"/>
  <c r="F68"/>
  <c r="E69"/>
  <c r="F69"/>
  <c r="E70"/>
  <c r="F70"/>
  <c r="D71"/>
  <c r="E72"/>
  <c r="F72"/>
  <c r="E73"/>
  <c r="E74"/>
  <c r="F74"/>
  <c r="E75"/>
  <c r="F75"/>
  <c r="C76"/>
  <c r="EH20" i="2" s="1"/>
  <c r="D76" i="10"/>
  <c r="E77"/>
  <c r="F77"/>
  <c r="E78"/>
  <c r="F78"/>
  <c r="E79"/>
  <c r="F79"/>
  <c r="E80"/>
  <c r="F80"/>
  <c r="C81"/>
  <c r="D81"/>
  <c r="EL20" i="2" s="1"/>
  <c r="E82" i="10"/>
  <c r="F82"/>
  <c r="C83"/>
  <c r="EN20" i="2" s="1"/>
  <c r="D83" i="10"/>
  <c r="EO20" i="2" s="1"/>
  <c r="E84" i="10"/>
  <c r="F84"/>
  <c r="E85"/>
  <c r="F85"/>
  <c r="E86"/>
  <c r="F86"/>
  <c r="F87"/>
  <c r="C88"/>
  <c r="EQ20" i="2" s="1"/>
  <c r="D88" i="10"/>
  <c r="ER20" i="2" s="1"/>
  <c r="E89" i="10"/>
  <c r="F89"/>
  <c r="E90"/>
  <c r="F90"/>
  <c r="E91"/>
  <c r="E92"/>
  <c r="E93"/>
  <c r="C94"/>
  <c r="ET20" i="2" s="1"/>
  <c r="D94" i="10"/>
  <c r="E95"/>
  <c r="F95"/>
  <c r="E96"/>
  <c r="F96"/>
  <c r="E97"/>
  <c r="F97"/>
  <c r="C5" i="9"/>
  <c r="E6"/>
  <c r="F6"/>
  <c r="D7"/>
  <c r="E8"/>
  <c r="F8"/>
  <c r="E9"/>
  <c r="F9"/>
  <c r="E10"/>
  <c r="F10"/>
  <c r="E11"/>
  <c r="F11"/>
  <c r="C12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AS19" i="2" s="1"/>
  <c r="D26" i="9"/>
  <c r="E27"/>
  <c r="F27"/>
  <c r="E28"/>
  <c r="F28"/>
  <c r="C29"/>
  <c r="D29"/>
  <c r="E30"/>
  <c r="F30"/>
  <c r="C31"/>
  <c r="D31"/>
  <c r="E32"/>
  <c r="F32"/>
  <c r="E33"/>
  <c r="F33"/>
  <c r="C36"/>
  <c r="BQ19" i="2" s="1"/>
  <c r="D36" i="9"/>
  <c r="BR19" i="2" s="1"/>
  <c r="E37" i="9"/>
  <c r="F37"/>
  <c r="E38"/>
  <c r="F38"/>
  <c r="E41"/>
  <c r="F41"/>
  <c r="E43"/>
  <c r="F43"/>
  <c r="E45"/>
  <c r="F45"/>
  <c r="E46"/>
  <c r="F46"/>
  <c r="E47"/>
  <c r="F47"/>
  <c r="F48"/>
  <c r="E49"/>
  <c r="F49"/>
  <c r="C56"/>
  <c r="E58"/>
  <c r="F58"/>
  <c r="F59"/>
  <c r="E60"/>
  <c r="F60"/>
  <c r="E61"/>
  <c r="F61"/>
  <c r="E62"/>
  <c r="F62"/>
  <c r="E63"/>
  <c r="F63"/>
  <c r="C64"/>
  <c r="E65"/>
  <c r="F65"/>
  <c r="C66"/>
  <c r="EB19" i="2" s="1"/>
  <c r="E67" i="9"/>
  <c r="F67"/>
  <c r="E68"/>
  <c r="F68"/>
  <c r="E69"/>
  <c r="F69"/>
  <c r="E70"/>
  <c r="F70"/>
  <c r="C71"/>
  <c r="E72"/>
  <c r="F72"/>
  <c r="E73"/>
  <c r="F73"/>
  <c r="E75"/>
  <c r="F75"/>
  <c r="C76"/>
  <c r="D76"/>
  <c r="EI19" i="2" s="1"/>
  <c r="E77" i="9"/>
  <c r="F77"/>
  <c r="E78"/>
  <c r="F78"/>
  <c r="F79"/>
  <c r="E80"/>
  <c r="F80"/>
  <c r="C81"/>
  <c r="EK19" i="2" s="1"/>
  <c r="D81" i="9"/>
  <c r="E82"/>
  <c r="F82"/>
  <c r="E83"/>
  <c r="F83"/>
  <c r="C84"/>
  <c r="D84"/>
  <c r="C91"/>
  <c r="D91"/>
  <c r="ER19" i="2" s="1"/>
  <c r="E92" i="9"/>
  <c r="F92"/>
  <c r="E93"/>
  <c r="F93"/>
  <c r="E94"/>
  <c r="E95"/>
  <c r="E96"/>
  <c r="C97"/>
  <c r="ET19" i="2" s="1"/>
  <c r="D97" i="9"/>
  <c r="EU19" i="2" s="1"/>
  <c r="E98" i="9"/>
  <c r="F98"/>
  <c r="E99"/>
  <c r="F99"/>
  <c r="E100"/>
  <c r="F100"/>
  <c r="C5" i="8"/>
  <c r="E6"/>
  <c r="F6"/>
  <c r="E8"/>
  <c r="F8"/>
  <c r="E9"/>
  <c r="F9"/>
  <c r="E10"/>
  <c r="F10"/>
  <c r="E11"/>
  <c r="F11"/>
  <c r="C12"/>
  <c r="D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D26"/>
  <c r="E27"/>
  <c r="F27"/>
  <c r="E28"/>
  <c r="F28"/>
  <c r="C29"/>
  <c r="D29"/>
  <c r="AZ18" i="2" s="1"/>
  <c r="E30" i="8"/>
  <c r="F30"/>
  <c r="C31"/>
  <c r="D31"/>
  <c r="E32"/>
  <c r="F32"/>
  <c r="E33"/>
  <c r="BG18" i="2" s="1"/>
  <c r="F33" i="8"/>
  <c r="BH18" i="2" s="1"/>
  <c r="BH31" s="1"/>
  <c r="D34" i="8"/>
  <c r="BO18" i="2" s="1"/>
  <c r="E35" i="8"/>
  <c r="F35"/>
  <c r="C36"/>
  <c r="F37"/>
  <c r="F38"/>
  <c r="E41"/>
  <c r="F41"/>
  <c r="E43"/>
  <c r="F43"/>
  <c r="E45"/>
  <c r="F45"/>
  <c r="E46"/>
  <c r="F46"/>
  <c r="C56"/>
  <c r="D56"/>
  <c r="E58"/>
  <c r="F58"/>
  <c r="F59"/>
  <c r="E60"/>
  <c r="F60"/>
  <c r="E61"/>
  <c r="F61"/>
  <c r="E62"/>
  <c r="F62"/>
  <c r="E63"/>
  <c r="F63"/>
  <c r="C64"/>
  <c r="DY18" i="2" s="1"/>
  <c r="D64" i="8"/>
  <c r="DZ18" i="2" s="1"/>
  <c r="E65" i="8"/>
  <c r="F65"/>
  <c r="E67"/>
  <c r="F67"/>
  <c r="E68"/>
  <c r="F68"/>
  <c r="E69"/>
  <c r="F69"/>
  <c r="E70"/>
  <c r="F70"/>
  <c r="D71"/>
  <c r="EF18" i="2" s="1"/>
  <c r="E72" i="8"/>
  <c r="F72"/>
  <c r="F73"/>
  <c r="E74"/>
  <c r="F74"/>
  <c r="E75"/>
  <c r="F75"/>
  <c r="D76"/>
  <c r="EI18" i="2" s="1"/>
  <c r="E77" i="8"/>
  <c r="F77"/>
  <c r="E78"/>
  <c r="F78"/>
  <c r="E81"/>
  <c r="F81"/>
  <c r="C83"/>
  <c r="EN18" i="2" s="1"/>
  <c r="D83" i="8"/>
  <c r="E84"/>
  <c r="F84"/>
  <c r="E85"/>
  <c r="F85"/>
  <c r="E86"/>
  <c r="F86"/>
  <c r="F87"/>
  <c r="C88"/>
  <c r="EQ18" i="2" s="1"/>
  <c r="D88" i="8"/>
  <c r="ER18" i="2" s="1"/>
  <c r="E89" i="8"/>
  <c r="F89"/>
  <c r="E90"/>
  <c r="F90"/>
  <c r="E91"/>
  <c r="E92"/>
  <c r="E93"/>
  <c r="C94"/>
  <c r="ET18" i="2" s="1"/>
  <c r="E95" i="8"/>
  <c r="F95"/>
  <c r="E96"/>
  <c r="F96"/>
  <c r="C5" i="7"/>
  <c r="D5"/>
  <c r="E6"/>
  <c r="F6"/>
  <c r="E8"/>
  <c r="F8"/>
  <c r="E9"/>
  <c r="F9"/>
  <c r="E10"/>
  <c r="F10"/>
  <c r="E11"/>
  <c r="F11"/>
  <c r="C12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C26"/>
  <c r="E27"/>
  <c r="F27"/>
  <c r="E28"/>
  <c r="F28"/>
  <c r="C29"/>
  <c r="D29"/>
  <c r="E30"/>
  <c r="F30"/>
  <c r="C31"/>
  <c r="E32"/>
  <c r="F32"/>
  <c r="E33"/>
  <c r="F33"/>
  <c r="C37"/>
  <c r="C36" s="1"/>
  <c r="E38"/>
  <c r="F38"/>
  <c r="E41"/>
  <c r="F41"/>
  <c r="E43"/>
  <c r="F43"/>
  <c r="E45"/>
  <c r="F45"/>
  <c r="E46"/>
  <c r="F46"/>
  <c r="E47"/>
  <c r="F47"/>
  <c r="F48"/>
  <c r="E49"/>
  <c r="F49"/>
  <c r="E57"/>
  <c r="F57"/>
  <c r="F58"/>
  <c r="E59"/>
  <c r="F59"/>
  <c r="E60"/>
  <c r="F60"/>
  <c r="E61"/>
  <c r="F61"/>
  <c r="E62"/>
  <c r="F62"/>
  <c r="C63"/>
  <c r="E64"/>
  <c r="F64"/>
  <c r="C65"/>
  <c r="E66"/>
  <c r="F66"/>
  <c r="E67"/>
  <c r="F67"/>
  <c r="E68"/>
  <c r="F68"/>
  <c r="E69"/>
  <c r="F69"/>
  <c r="E71"/>
  <c r="F71"/>
  <c r="E73"/>
  <c r="F73"/>
  <c r="E74"/>
  <c r="F74"/>
  <c r="E76"/>
  <c r="F76"/>
  <c r="E77"/>
  <c r="F77"/>
  <c r="E78"/>
  <c r="C79"/>
  <c r="E80"/>
  <c r="F80"/>
  <c r="C81"/>
  <c r="E82"/>
  <c r="F82"/>
  <c r="E83"/>
  <c r="F83"/>
  <c r="E84"/>
  <c r="F84"/>
  <c r="F85"/>
  <c r="C86"/>
  <c r="EQ17" i="2" s="1"/>
  <c r="E87" i="7"/>
  <c r="F87"/>
  <c r="E88"/>
  <c r="F88"/>
  <c r="E89"/>
  <c r="E90"/>
  <c r="E91"/>
  <c r="C92"/>
  <c r="ET17" i="2" s="1"/>
  <c r="D92" i="7"/>
  <c r="E93"/>
  <c r="F93"/>
  <c r="E94"/>
  <c r="F94"/>
  <c r="E95"/>
  <c r="F95"/>
  <c r="C5" i="6"/>
  <c r="E6"/>
  <c r="F6"/>
  <c r="D7"/>
  <c r="E8"/>
  <c r="F8"/>
  <c r="E9"/>
  <c r="F9"/>
  <c r="E10"/>
  <c r="F10"/>
  <c r="E11"/>
  <c r="F11"/>
  <c r="C12"/>
  <c r="E13"/>
  <c r="F13"/>
  <c r="C14"/>
  <c r="D14"/>
  <c r="E15"/>
  <c r="F15"/>
  <c r="E16"/>
  <c r="F16"/>
  <c r="C17"/>
  <c r="D17"/>
  <c r="E18"/>
  <c r="F18"/>
  <c r="E19"/>
  <c r="F19"/>
  <c r="C20"/>
  <c r="D20"/>
  <c r="E21"/>
  <c r="F21"/>
  <c r="E22"/>
  <c r="F22"/>
  <c r="E23"/>
  <c r="F23"/>
  <c r="E24"/>
  <c r="F24"/>
  <c r="E27"/>
  <c r="F27"/>
  <c r="E28"/>
  <c r="F28"/>
  <c r="E29"/>
  <c r="F29"/>
  <c r="C30"/>
  <c r="D30"/>
  <c r="E31"/>
  <c r="F31"/>
  <c r="D32"/>
  <c r="E33"/>
  <c r="F33"/>
  <c r="E34"/>
  <c r="F34"/>
  <c r="C35"/>
  <c r="D35"/>
  <c r="E36"/>
  <c r="F36"/>
  <c r="D37"/>
  <c r="BR16" i="2" s="1"/>
  <c r="C37" i="6"/>
  <c r="E38"/>
  <c r="E39"/>
  <c r="F39"/>
  <c r="F41"/>
  <c r="E42"/>
  <c r="F42"/>
  <c r="E43"/>
  <c r="F43"/>
  <c r="E44"/>
  <c r="F44"/>
  <c r="E47"/>
  <c r="F47"/>
  <c r="E48"/>
  <c r="F48"/>
  <c r="F49"/>
  <c r="E50"/>
  <c r="F50"/>
  <c r="C57"/>
  <c r="D57"/>
  <c r="E59"/>
  <c r="F59"/>
  <c r="F60"/>
  <c r="E61"/>
  <c r="F61"/>
  <c r="E62"/>
  <c r="F62"/>
  <c r="E63"/>
  <c r="F63"/>
  <c r="E64"/>
  <c r="F64"/>
  <c r="C65"/>
  <c r="E66"/>
  <c r="F66"/>
  <c r="EB16" i="2"/>
  <c r="E68" i="6"/>
  <c r="F68"/>
  <c r="E69"/>
  <c r="F69"/>
  <c r="E70"/>
  <c r="F70"/>
  <c r="E71"/>
  <c r="F71"/>
  <c r="D73"/>
  <c r="EF16" i="2" s="1"/>
  <c r="E74" i="6"/>
  <c r="F74"/>
  <c r="E75"/>
  <c r="F75"/>
  <c r="E77"/>
  <c r="F77"/>
  <c r="C80"/>
  <c r="D80"/>
  <c r="EI16" i="2" s="1"/>
  <c r="E81" i="6"/>
  <c r="F81"/>
  <c r="E82"/>
  <c r="F82"/>
  <c r="E83"/>
  <c r="F83"/>
  <c r="C84"/>
  <c r="EK16" i="2" s="1"/>
  <c r="D84" i="6"/>
  <c r="EL16" i="2" s="1"/>
  <c r="E85" i="6"/>
  <c r="F85"/>
  <c r="C86"/>
  <c r="EN16" i="2" s="1"/>
  <c r="D86" i="6"/>
  <c r="EO16" i="2" s="1"/>
  <c r="E87" i="6"/>
  <c r="F87"/>
  <c r="E88"/>
  <c r="F88"/>
  <c r="E89"/>
  <c r="F89"/>
  <c r="F90"/>
  <c r="C91"/>
  <c r="EQ16" i="2" s="1"/>
  <c r="D91" i="6"/>
  <c r="ER16" i="2" s="1"/>
  <c r="E92" i="6"/>
  <c r="F92"/>
  <c r="E93"/>
  <c r="F93"/>
  <c r="E94"/>
  <c r="E95"/>
  <c r="E96"/>
  <c r="C97"/>
  <c r="D97"/>
  <c r="EU16" i="2" s="1"/>
  <c r="E98" i="6"/>
  <c r="F98"/>
  <c r="E99"/>
  <c r="F99"/>
  <c r="E100"/>
  <c r="F100"/>
  <c r="E6" i="5"/>
  <c r="F6"/>
  <c r="E8"/>
  <c r="F8"/>
  <c r="E9"/>
  <c r="F9"/>
  <c r="E10"/>
  <c r="F10"/>
  <c r="E11"/>
  <c r="F11"/>
  <c r="C12"/>
  <c r="E13"/>
  <c r="F13"/>
  <c r="C14"/>
  <c r="D14"/>
  <c r="F15"/>
  <c r="F16"/>
  <c r="C17"/>
  <c r="E18"/>
  <c r="F18"/>
  <c r="E19"/>
  <c r="F19"/>
  <c r="C20"/>
  <c r="D20"/>
  <c r="E21"/>
  <c r="F21"/>
  <c r="E22"/>
  <c r="F22"/>
  <c r="E23"/>
  <c r="F23"/>
  <c r="E24"/>
  <c r="F24"/>
  <c r="E27"/>
  <c r="F27"/>
  <c r="F29"/>
  <c r="C30"/>
  <c r="D30"/>
  <c r="F31"/>
  <c r="C32"/>
  <c r="BE15" i="2" s="1"/>
  <c r="E33" i="5"/>
  <c r="E34"/>
  <c r="F34"/>
  <c r="C35"/>
  <c r="BK15" i="2" s="1"/>
  <c r="D35" i="5"/>
  <c r="BL15" i="2" s="1"/>
  <c r="E36" i="5"/>
  <c r="F36"/>
  <c r="C37"/>
  <c r="BQ15" i="2" s="1"/>
  <c r="D37" i="5"/>
  <c r="E38"/>
  <c r="F38"/>
  <c r="E39"/>
  <c r="F39"/>
  <c r="E42"/>
  <c r="F42"/>
  <c r="E43"/>
  <c r="F43"/>
  <c r="E44"/>
  <c r="F44"/>
  <c r="E46"/>
  <c r="F46"/>
  <c r="E49"/>
  <c r="F49"/>
  <c r="F50"/>
  <c r="E51"/>
  <c r="F51"/>
  <c r="C57"/>
  <c r="D57"/>
  <c r="E59"/>
  <c r="F59"/>
  <c r="F60"/>
  <c r="F61"/>
  <c r="F62"/>
  <c r="E63"/>
  <c r="F63"/>
  <c r="E64"/>
  <c r="F64"/>
  <c r="E66"/>
  <c r="F66"/>
  <c r="C67"/>
  <c r="F67" s="1"/>
  <c r="E68"/>
  <c r="F68"/>
  <c r="E69"/>
  <c r="F69"/>
  <c r="E70"/>
  <c r="F70"/>
  <c r="E71"/>
  <c r="F71"/>
  <c r="D72"/>
  <c r="EF15" i="2" s="1"/>
  <c r="E73" i="5"/>
  <c r="F73"/>
  <c r="E74"/>
  <c r="F74"/>
  <c r="E75"/>
  <c r="E76"/>
  <c r="F76"/>
  <c r="C77"/>
  <c r="D77"/>
  <c r="EI15" i="2" s="1"/>
  <c r="E78" i="5"/>
  <c r="F78"/>
  <c r="E79"/>
  <c r="F79"/>
  <c r="E80"/>
  <c r="E81"/>
  <c r="F81"/>
  <c r="C82"/>
  <c r="EK15" i="2" s="1"/>
  <c r="D82" i="5"/>
  <c r="E83"/>
  <c r="F83"/>
  <c r="E84"/>
  <c r="F84"/>
  <c r="C85"/>
  <c r="EN15" i="2" s="1"/>
  <c r="D85" i="5"/>
  <c r="EO15" i="2" s="1"/>
  <c r="E86" i="5"/>
  <c r="F86"/>
  <c r="E87"/>
  <c r="F87"/>
  <c r="E88"/>
  <c r="F88"/>
  <c r="E89"/>
  <c r="F89"/>
  <c r="C90"/>
  <c r="EQ15" i="2" s="1"/>
  <c r="D90" i="5"/>
  <c r="ER15" i="2" s="1"/>
  <c r="E91" i="5"/>
  <c r="F91"/>
  <c r="E92"/>
  <c r="F92"/>
  <c r="E93"/>
  <c r="E94"/>
  <c r="E95"/>
  <c r="E96"/>
  <c r="F96"/>
  <c r="E97"/>
  <c r="F97"/>
  <c r="E98"/>
  <c r="F98"/>
  <c r="E99"/>
  <c r="F99"/>
  <c r="C5" i="4"/>
  <c r="D5"/>
  <c r="E6"/>
  <c r="F6"/>
  <c r="E8"/>
  <c r="F8"/>
  <c r="E9"/>
  <c r="F9"/>
  <c r="E10"/>
  <c r="F10"/>
  <c r="E11"/>
  <c r="F11"/>
  <c r="C12"/>
  <c r="E13"/>
  <c r="F13"/>
  <c r="C14"/>
  <c r="E15"/>
  <c r="F15"/>
  <c r="E16"/>
  <c r="F16"/>
  <c r="C17"/>
  <c r="D17"/>
  <c r="E18"/>
  <c r="F18"/>
  <c r="E19"/>
  <c r="F19"/>
  <c r="D20"/>
  <c r="E21"/>
  <c r="F21"/>
  <c r="E22"/>
  <c r="F22"/>
  <c r="E23"/>
  <c r="F23"/>
  <c r="E24"/>
  <c r="F24"/>
  <c r="C26"/>
  <c r="E27"/>
  <c r="F27"/>
  <c r="E28"/>
  <c r="F28"/>
  <c r="C29"/>
  <c r="AY14" i="2" s="1"/>
  <c r="D29" i="4"/>
  <c r="E30"/>
  <c r="F30"/>
  <c r="D31"/>
  <c r="E32"/>
  <c r="F32"/>
  <c r="E33"/>
  <c r="F33"/>
  <c r="D34"/>
  <c r="E34" s="1"/>
  <c r="E35"/>
  <c r="F35"/>
  <c r="E36"/>
  <c r="F36"/>
  <c r="E39"/>
  <c r="E40"/>
  <c r="F40"/>
  <c r="E41"/>
  <c r="F41"/>
  <c r="E42"/>
  <c r="F42"/>
  <c r="E43"/>
  <c r="F43"/>
  <c r="E44"/>
  <c r="F44"/>
  <c r="F45"/>
  <c r="E46"/>
  <c r="F46"/>
  <c r="E54"/>
  <c r="F54"/>
  <c r="F55"/>
  <c r="E56"/>
  <c r="F56"/>
  <c r="E57"/>
  <c r="F57"/>
  <c r="E58"/>
  <c r="F58"/>
  <c r="E59"/>
  <c r="F59"/>
  <c r="E61"/>
  <c r="F61"/>
  <c r="E63"/>
  <c r="F63"/>
  <c r="E64"/>
  <c r="F64"/>
  <c r="E65"/>
  <c r="F65"/>
  <c r="E66"/>
  <c r="F66"/>
  <c r="E68"/>
  <c r="F68"/>
  <c r="E69"/>
  <c r="F69"/>
  <c r="E70"/>
  <c r="F70"/>
  <c r="E71"/>
  <c r="F71"/>
  <c r="E73"/>
  <c r="F73"/>
  <c r="E74"/>
  <c r="F74"/>
  <c r="E75"/>
  <c r="F75"/>
  <c r="E77"/>
  <c r="F77"/>
  <c r="E78"/>
  <c r="F78"/>
  <c r="E79"/>
  <c r="F79"/>
  <c r="E80"/>
  <c r="F80"/>
  <c r="E81"/>
  <c r="F81"/>
  <c r="F82"/>
  <c r="F84"/>
  <c r="E85"/>
  <c r="F85"/>
  <c r="E86"/>
  <c r="E87"/>
  <c r="E88"/>
  <c r="D89"/>
  <c r="E89" s="1"/>
  <c r="E90"/>
  <c r="F90"/>
  <c r="E91"/>
  <c r="F91"/>
  <c r="E92"/>
  <c r="F92"/>
  <c r="C5" i="3"/>
  <c r="E6"/>
  <c r="F6"/>
  <c r="E8"/>
  <c r="F8"/>
  <c r="E9"/>
  <c r="F9"/>
  <c r="E10"/>
  <c r="F10"/>
  <c r="F11"/>
  <c r="C12"/>
  <c r="E13"/>
  <c r="F13"/>
  <c r="E14"/>
  <c r="F14"/>
  <c r="E15"/>
  <c r="F15"/>
  <c r="C16"/>
  <c r="F9" i="1" s="1"/>
  <c r="E17" i="3"/>
  <c r="F17"/>
  <c r="E18"/>
  <c r="F18"/>
  <c r="E19"/>
  <c r="F19"/>
  <c r="E20"/>
  <c r="F20"/>
  <c r="C21"/>
  <c r="F11" i="1" s="1"/>
  <c r="C11" s="1"/>
  <c r="E22" i="3"/>
  <c r="F22"/>
  <c r="C23"/>
  <c r="F12" i="1" s="1"/>
  <c r="E24" i="3"/>
  <c r="F24"/>
  <c r="F25"/>
  <c r="E26"/>
  <c r="F26"/>
  <c r="C27"/>
  <c r="F13" i="1" s="1"/>
  <c r="D27" i="3"/>
  <c r="F28"/>
  <c r="F29"/>
  <c r="F30"/>
  <c r="F31"/>
  <c r="F34"/>
  <c r="F35"/>
  <c r="E36"/>
  <c r="F36"/>
  <c r="E37"/>
  <c r="F37"/>
  <c r="F38"/>
  <c r="E39"/>
  <c r="F39"/>
  <c r="C42"/>
  <c r="F16" i="1" s="1"/>
  <c r="C16" s="1"/>
  <c r="E43" i="3"/>
  <c r="F43"/>
  <c r="C44"/>
  <c r="F17" i="1" s="1"/>
  <c r="D44" i="3"/>
  <c r="G17" i="1" s="1"/>
  <c r="E45" i="3"/>
  <c r="F45"/>
  <c r="F46"/>
  <c r="C47"/>
  <c r="F18" i="1" s="1"/>
  <c r="D50" i="3"/>
  <c r="G19" i="1" s="1"/>
  <c r="D19" s="1"/>
  <c r="E48" i="3"/>
  <c r="F48"/>
  <c r="E49"/>
  <c r="F49"/>
  <c r="C50"/>
  <c r="E51"/>
  <c r="F51"/>
  <c r="E53"/>
  <c r="F53"/>
  <c r="E54"/>
  <c r="F54"/>
  <c r="F55"/>
  <c r="E56"/>
  <c r="F56"/>
  <c r="F57"/>
  <c r="E58"/>
  <c r="F58"/>
  <c r="E59"/>
  <c r="F59"/>
  <c r="F60"/>
  <c r="E61"/>
  <c r="F61"/>
  <c r="F62"/>
  <c r="E63"/>
  <c r="F63"/>
  <c r="E64"/>
  <c r="F64"/>
  <c r="E65"/>
  <c r="F65"/>
  <c r="E66"/>
  <c r="F66"/>
  <c r="E68"/>
  <c r="F68"/>
  <c r="C69"/>
  <c r="F70"/>
  <c r="F71"/>
  <c r="F74"/>
  <c r="F75"/>
  <c r="E76"/>
  <c r="F76"/>
  <c r="E77"/>
  <c r="F77"/>
  <c r="E78"/>
  <c r="F78"/>
  <c r="E79"/>
  <c r="F79"/>
  <c r="F80"/>
  <c r="E81"/>
  <c r="F81"/>
  <c r="F82"/>
  <c r="E89"/>
  <c r="F89"/>
  <c r="E90"/>
  <c r="F90"/>
  <c r="F91"/>
  <c r="E92"/>
  <c r="F92"/>
  <c r="F93"/>
  <c r="E94"/>
  <c r="F94"/>
  <c r="E95"/>
  <c r="F95"/>
  <c r="C96"/>
  <c r="E97"/>
  <c r="F97"/>
  <c r="E99"/>
  <c r="F99"/>
  <c r="E100"/>
  <c r="F100"/>
  <c r="E101"/>
  <c r="F101"/>
  <c r="F102"/>
  <c r="E105"/>
  <c r="F105"/>
  <c r="E106"/>
  <c r="F106"/>
  <c r="E107"/>
  <c r="F107"/>
  <c r="E108"/>
  <c r="F108"/>
  <c r="E110"/>
  <c r="F110"/>
  <c r="F111"/>
  <c r="F112"/>
  <c r="C113"/>
  <c r="F34" i="1" s="1"/>
  <c r="C34" s="1"/>
  <c r="E114" i="3"/>
  <c r="F114"/>
  <c r="E116"/>
  <c r="F116"/>
  <c r="E117"/>
  <c r="F117"/>
  <c r="E119"/>
  <c r="F119"/>
  <c r="E120"/>
  <c r="F120"/>
  <c r="E122"/>
  <c r="F122"/>
  <c r="E123"/>
  <c r="F123"/>
  <c r="E125"/>
  <c r="F125"/>
  <c r="E126"/>
  <c r="F126"/>
  <c r="E127"/>
  <c r="F127"/>
  <c r="E128"/>
  <c r="F128"/>
  <c r="E130"/>
  <c r="F130"/>
  <c r="E131"/>
  <c r="F131"/>
  <c r="E133"/>
  <c r="E134"/>
  <c r="C135"/>
  <c r="F39" i="1" s="1"/>
  <c r="C39" s="1"/>
  <c r="D135" i="3"/>
  <c r="E136"/>
  <c r="F136"/>
  <c r="C137"/>
  <c r="F40" i="1" s="1"/>
  <c r="C40" s="1"/>
  <c r="G40"/>
  <c r="D40" s="1"/>
  <c r="F138" i="3"/>
  <c r="E140"/>
  <c r="F140"/>
  <c r="E141"/>
  <c r="F141"/>
  <c r="E142"/>
  <c r="F142"/>
  <c r="L14" i="2"/>
  <c r="M14"/>
  <c r="O14"/>
  <c r="P14"/>
  <c r="R14"/>
  <c r="S14"/>
  <c r="U14"/>
  <c r="V14"/>
  <c r="X14"/>
  <c r="AA14"/>
  <c r="AB14"/>
  <c r="AD14"/>
  <c r="AG14"/>
  <c r="AH14"/>
  <c r="AL14"/>
  <c r="AO14"/>
  <c r="AT14"/>
  <c r="AX14"/>
  <c r="BB14"/>
  <c r="BC14"/>
  <c r="BC31" s="1"/>
  <c r="BJ14"/>
  <c r="BP14"/>
  <c r="BV14"/>
  <c r="BV31" s="1"/>
  <c r="BV35" s="1"/>
  <c r="BY14"/>
  <c r="BY31" s="1"/>
  <c r="CC14"/>
  <c r="CF14"/>
  <c r="CG14"/>
  <c r="CJ14"/>
  <c r="CL14"/>
  <c r="CM14"/>
  <c r="CT14"/>
  <c r="CZ14"/>
  <c r="DM14"/>
  <c r="DS14"/>
  <c r="DT14"/>
  <c r="DV14"/>
  <c r="DW14"/>
  <c r="DY14"/>
  <c r="DZ14"/>
  <c r="EN14"/>
  <c r="EO14"/>
  <c r="ET14"/>
  <c r="I15"/>
  <c r="L15"/>
  <c r="M15"/>
  <c r="O15"/>
  <c r="P15"/>
  <c r="R15"/>
  <c r="S15"/>
  <c r="U15"/>
  <c r="V15"/>
  <c r="X15"/>
  <c r="AA15"/>
  <c r="AB15"/>
  <c r="AD15"/>
  <c r="AE15"/>
  <c r="AG15"/>
  <c r="AH15"/>
  <c r="AL15"/>
  <c r="AM15"/>
  <c r="AN15"/>
  <c r="AT15"/>
  <c r="AX15"/>
  <c r="BJ15"/>
  <c r="BV15"/>
  <c r="BY15"/>
  <c r="CC15"/>
  <c r="CD15"/>
  <c r="CF15"/>
  <c r="CG15"/>
  <c r="CJ15"/>
  <c r="CL15"/>
  <c r="CM15"/>
  <c r="CO15"/>
  <c r="CP15"/>
  <c r="CZ15"/>
  <c r="DM15"/>
  <c r="DP15"/>
  <c r="DQ15"/>
  <c r="DS15"/>
  <c r="DT15"/>
  <c r="DV15"/>
  <c r="DW15"/>
  <c r="DY15"/>
  <c r="DZ15"/>
  <c r="EC15"/>
  <c r="ET15"/>
  <c r="EU15"/>
  <c r="I16"/>
  <c r="L16"/>
  <c r="M16"/>
  <c r="O16"/>
  <c r="P16"/>
  <c r="R16"/>
  <c r="S16"/>
  <c r="U16"/>
  <c r="V16"/>
  <c r="X16"/>
  <c r="AA16"/>
  <c r="AB16"/>
  <c r="AD16"/>
  <c r="AE16"/>
  <c r="AG16"/>
  <c r="AH16"/>
  <c r="AL16"/>
  <c r="AM16"/>
  <c r="AN16"/>
  <c r="AP16"/>
  <c r="AT16"/>
  <c r="AX16"/>
  <c r="BA16"/>
  <c r="BE16"/>
  <c r="BF16"/>
  <c r="BJ16"/>
  <c r="BV16"/>
  <c r="BY16"/>
  <c r="CC16"/>
  <c r="CD16"/>
  <c r="CF16"/>
  <c r="CG16"/>
  <c r="CJ16"/>
  <c r="CL16"/>
  <c r="CM16"/>
  <c r="CT16"/>
  <c r="CZ16"/>
  <c r="DM16"/>
  <c r="DP16"/>
  <c r="DS16"/>
  <c r="DT16"/>
  <c r="DW16"/>
  <c r="DY16"/>
  <c r="DZ16"/>
  <c r="I17"/>
  <c r="L17"/>
  <c r="M17"/>
  <c r="O17"/>
  <c r="P17"/>
  <c r="R17"/>
  <c r="S17"/>
  <c r="U17"/>
  <c r="V17"/>
  <c r="X17"/>
  <c r="AA17"/>
  <c r="AB17"/>
  <c r="AD17"/>
  <c r="AE17"/>
  <c r="AG17"/>
  <c r="AH17"/>
  <c r="AL17"/>
  <c r="AO17"/>
  <c r="AT17"/>
  <c r="AX17"/>
  <c r="BE17"/>
  <c r="BF17"/>
  <c r="BJ17"/>
  <c r="BV17"/>
  <c r="BY17"/>
  <c r="CC17"/>
  <c r="CF17"/>
  <c r="CG17"/>
  <c r="CJ17"/>
  <c r="CL17"/>
  <c r="CM17"/>
  <c r="CT17"/>
  <c r="CZ17"/>
  <c r="DM17"/>
  <c r="DS17"/>
  <c r="DT17"/>
  <c r="DV17"/>
  <c r="DW17"/>
  <c r="DY17"/>
  <c r="DZ17"/>
  <c r="I18"/>
  <c r="L18"/>
  <c r="M18"/>
  <c r="O18"/>
  <c r="P18"/>
  <c r="R18"/>
  <c r="S18"/>
  <c r="U18"/>
  <c r="V18"/>
  <c r="X18"/>
  <c r="AA18"/>
  <c r="AB18"/>
  <c r="AD18"/>
  <c r="AE18"/>
  <c r="AG18"/>
  <c r="AH18"/>
  <c r="AJ18"/>
  <c r="AK18"/>
  <c r="AN18"/>
  <c r="AO18" s="1"/>
  <c r="AX18"/>
  <c r="BE18"/>
  <c r="BV18"/>
  <c r="BY18"/>
  <c r="CC18"/>
  <c r="CD18"/>
  <c r="CF18"/>
  <c r="CG18"/>
  <c r="CJ18"/>
  <c r="CM18"/>
  <c r="CO18"/>
  <c r="CP18"/>
  <c r="CZ18"/>
  <c r="DM18"/>
  <c r="DP18"/>
  <c r="DS18"/>
  <c r="DT18"/>
  <c r="DV18"/>
  <c r="DW18"/>
  <c r="I19"/>
  <c r="L19"/>
  <c r="M19"/>
  <c r="O19"/>
  <c r="P19"/>
  <c r="R19"/>
  <c r="S19"/>
  <c r="U19"/>
  <c r="V19"/>
  <c r="X19"/>
  <c r="AA19"/>
  <c r="AB19"/>
  <c r="AD19"/>
  <c r="AE19"/>
  <c r="AG19"/>
  <c r="AH19"/>
  <c r="AL19"/>
  <c r="AM19"/>
  <c r="AN19"/>
  <c r="AX19"/>
  <c r="BE19"/>
  <c r="BF19"/>
  <c r="BJ19"/>
  <c r="BV19"/>
  <c r="BY19"/>
  <c r="CD19"/>
  <c r="CF19"/>
  <c r="CG19"/>
  <c r="CJ19"/>
  <c r="CL19"/>
  <c r="CM19"/>
  <c r="CP19"/>
  <c r="CZ19"/>
  <c r="DM19"/>
  <c r="DP19"/>
  <c r="DQ19"/>
  <c r="DS19"/>
  <c r="DT19"/>
  <c r="DV19"/>
  <c r="DW19"/>
  <c r="DY19"/>
  <c r="DZ19"/>
  <c r="I20"/>
  <c r="L20"/>
  <c r="M20"/>
  <c r="O20"/>
  <c r="P20"/>
  <c r="R20"/>
  <c r="S20"/>
  <c r="U20"/>
  <c r="V20"/>
  <c r="X20"/>
  <c r="AA20"/>
  <c r="AB20"/>
  <c r="AD20"/>
  <c r="AE20"/>
  <c r="AG20"/>
  <c r="AH20"/>
  <c r="AL20"/>
  <c r="AO20"/>
  <c r="AT20"/>
  <c r="AX20"/>
  <c r="BE20"/>
  <c r="BF20"/>
  <c r="BJ20"/>
  <c r="BV20"/>
  <c r="BY20"/>
  <c r="CD20"/>
  <c r="CF20"/>
  <c r="CG20"/>
  <c r="CJ20"/>
  <c r="CL20"/>
  <c r="CM20"/>
  <c r="CP20"/>
  <c r="CR20"/>
  <c r="CS20"/>
  <c r="CZ20"/>
  <c r="DM20"/>
  <c r="DP20"/>
  <c r="DS20"/>
  <c r="DT20"/>
  <c r="DV20"/>
  <c r="DW20"/>
  <c r="DY20"/>
  <c r="DZ20"/>
  <c r="I21"/>
  <c r="M21"/>
  <c r="P21"/>
  <c r="S21"/>
  <c r="V21"/>
  <c r="AB21"/>
  <c r="AE21"/>
  <c r="AH21"/>
  <c r="AT21"/>
  <c r="L21"/>
  <c r="O21"/>
  <c r="R21"/>
  <c r="U21"/>
  <c r="X21"/>
  <c r="AA21"/>
  <c r="AD21"/>
  <c r="AG21"/>
  <c r="AJ21"/>
  <c r="AO21"/>
  <c r="AX21"/>
  <c r="BE21"/>
  <c r="BF21"/>
  <c r="BJ21"/>
  <c r="BV21"/>
  <c r="BY21"/>
  <c r="CC21"/>
  <c r="CD21"/>
  <c r="CJ21"/>
  <c r="CM21"/>
  <c r="CF21"/>
  <c r="CG21"/>
  <c r="CL21"/>
  <c r="CZ21"/>
  <c r="DM21"/>
  <c r="DP21"/>
  <c r="DS21"/>
  <c r="DT21"/>
  <c r="DV21"/>
  <c r="DW21"/>
  <c r="DY21"/>
  <c r="DZ21"/>
  <c r="I22"/>
  <c r="M22"/>
  <c r="P22"/>
  <c r="S22"/>
  <c r="V22"/>
  <c r="AB22"/>
  <c r="AE22"/>
  <c r="AH22"/>
  <c r="AT22"/>
  <c r="L22"/>
  <c r="O22"/>
  <c r="R22"/>
  <c r="U22"/>
  <c r="X22"/>
  <c r="AA22"/>
  <c r="AD22"/>
  <c r="AG22"/>
  <c r="AX22"/>
  <c r="BJ22"/>
  <c r="BV22"/>
  <c r="BY22"/>
  <c r="CC22"/>
  <c r="CD22"/>
  <c r="CM22"/>
  <c r="CF22"/>
  <c r="CG22"/>
  <c r="CJ22"/>
  <c r="CL22"/>
  <c r="CZ22"/>
  <c r="DP22"/>
  <c r="DS22"/>
  <c r="DT22"/>
  <c r="DV22"/>
  <c r="DW22"/>
  <c r="DY22"/>
  <c r="ET22"/>
  <c r="EU22"/>
  <c r="M23"/>
  <c r="P23"/>
  <c r="S23"/>
  <c r="V23"/>
  <c r="AB23"/>
  <c r="AE23"/>
  <c r="AH23"/>
  <c r="CD23"/>
  <c r="CJ23"/>
  <c r="CM23"/>
  <c r="O23"/>
  <c r="R23"/>
  <c r="U23"/>
  <c r="X23"/>
  <c r="AA23"/>
  <c r="AG23"/>
  <c r="AL23"/>
  <c r="AO23"/>
  <c r="AT23"/>
  <c r="AX23"/>
  <c r="BE23"/>
  <c r="BF23"/>
  <c r="BJ23"/>
  <c r="BV23"/>
  <c r="BY23"/>
  <c r="CC23"/>
  <c r="CL23"/>
  <c r="CT23"/>
  <c r="CZ23"/>
  <c r="DM23"/>
  <c r="DP23"/>
  <c r="DQ23"/>
  <c r="DS23"/>
  <c r="DT23"/>
  <c r="DV23"/>
  <c r="DW23"/>
  <c r="DY23"/>
  <c r="DZ23"/>
  <c r="M24"/>
  <c r="P24"/>
  <c r="S24"/>
  <c r="V24"/>
  <c r="AB24"/>
  <c r="AE24"/>
  <c r="AH24"/>
  <c r="CD24"/>
  <c r="CJ24"/>
  <c r="CM24"/>
  <c r="L24"/>
  <c r="O24"/>
  <c r="R24"/>
  <c r="U24"/>
  <c r="X24"/>
  <c r="AG24"/>
  <c r="AJ24"/>
  <c r="AO24"/>
  <c r="AT24"/>
  <c r="AX24"/>
  <c r="BE24"/>
  <c r="BF24"/>
  <c r="BJ24"/>
  <c r="BV24"/>
  <c r="BY24"/>
  <c r="CC24"/>
  <c r="CF24"/>
  <c r="CG24"/>
  <c r="CL24"/>
  <c r="CZ24"/>
  <c r="DM24"/>
  <c r="DP24"/>
  <c r="DS24"/>
  <c r="DT24"/>
  <c r="DV24"/>
  <c r="DW24"/>
  <c r="DY24"/>
  <c r="DZ24"/>
  <c r="M25"/>
  <c r="S25"/>
  <c r="V25"/>
  <c r="AB25"/>
  <c r="AE25"/>
  <c r="AH25"/>
  <c r="AO25"/>
  <c r="AT25"/>
  <c r="CD25"/>
  <c r="CJ25"/>
  <c r="CM25"/>
  <c r="I25"/>
  <c r="L25"/>
  <c r="O25"/>
  <c r="R25"/>
  <c r="U25"/>
  <c r="X25"/>
  <c r="AA25"/>
  <c r="AD25"/>
  <c r="AG25"/>
  <c r="AL25"/>
  <c r="AX25"/>
  <c r="BE25"/>
  <c r="BF25"/>
  <c r="BJ25"/>
  <c r="BV25"/>
  <c r="BY25"/>
  <c r="CC25"/>
  <c r="CF25"/>
  <c r="CG25"/>
  <c r="CL25"/>
  <c r="CO25"/>
  <c r="CZ25"/>
  <c r="DM25"/>
  <c r="DP25"/>
  <c r="DQ25"/>
  <c r="DS25"/>
  <c r="DT25"/>
  <c r="DV25"/>
  <c r="DW25"/>
  <c r="DY25"/>
  <c r="DZ25"/>
  <c r="M26"/>
  <c r="P26"/>
  <c r="S26"/>
  <c r="V26"/>
  <c r="AB26"/>
  <c r="AE26"/>
  <c r="AH26"/>
  <c r="AT26"/>
  <c r="CD26"/>
  <c r="CM26"/>
  <c r="I26"/>
  <c r="L26"/>
  <c r="O26"/>
  <c r="R26"/>
  <c r="U26"/>
  <c r="X26"/>
  <c r="AA26"/>
  <c r="AD26"/>
  <c r="AG26"/>
  <c r="AL26"/>
  <c r="AX26"/>
  <c r="BE26"/>
  <c r="BJ26"/>
  <c r="BV26"/>
  <c r="BY26"/>
  <c r="CF26"/>
  <c r="CG26"/>
  <c r="CJ26"/>
  <c r="CL26"/>
  <c r="CZ26"/>
  <c r="DM26"/>
  <c r="DP26"/>
  <c r="DQ26"/>
  <c r="DS26"/>
  <c r="DT26"/>
  <c r="DV26"/>
  <c r="DW26"/>
  <c r="DY26"/>
  <c r="DZ26"/>
  <c r="M27"/>
  <c r="P27"/>
  <c r="S27"/>
  <c r="V27"/>
  <c r="AB27"/>
  <c r="AE27"/>
  <c r="AH27"/>
  <c r="AT27"/>
  <c r="CD27"/>
  <c r="CM27"/>
  <c r="I27"/>
  <c r="L27"/>
  <c r="O27"/>
  <c r="R27"/>
  <c r="U27"/>
  <c r="X27"/>
  <c r="AA27"/>
  <c r="AD27"/>
  <c r="AG27"/>
  <c r="AL27"/>
  <c r="AX27"/>
  <c r="BJ27"/>
  <c r="BP27"/>
  <c r="BV27"/>
  <c r="BY27"/>
  <c r="CC27"/>
  <c r="CJ27"/>
  <c r="CL27"/>
  <c r="CZ27"/>
  <c r="DM27"/>
  <c r="DP27"/>
  <c r="DQ27"/>
  <c r="DS27"/>
  <c r="DT27"/>
  <c r="DV27"/>
  <c r="DW27"/>
  <c r="DY27"/>
  <c r="DZ27"/>
  <c r="M28"/>
  <c r="P28"/>
  <c r="S28"/>
  <c r="V28"/>
  <c r="AB28"/>
  <c r="AE28"/>
  <c r="AH28"/>
  <c r="CD28"/>
  <c r="CM28"/>
  <c r="I28"/>
  <c r="L28"/>
  <c r="O28"/>
  <c r="R28"/>
  <c r="U28"/>
  <c r="X28"/>
  <c r="AA28"/>
  <c r="AD28"/>
  <c r="AG28"/>
  <c r="AL28"/>
  <c r="AO28"/>
  <c r="AX28"/>
  <c r="BG28"/>
  <c r="BJ28"/>
  <c r="BV28"/>
  <c r="BY28"/>
  <c r="CC28"/>
  <c r="CF28"/>
  <c r="CG28"/>
  <c r="CJ28"/>
  <c r="CL28"/>
  <c r="CZ28"/>
  <c r="DB28"/>
  <c r="DC28" s="1"/>
  <c r="DM28"/>
  <c r="DP28"/>
  <c r="DQ28"/>
  <c r="DS28"/>
  <c r="DT28"/>
  <c r="DV28"/>
  <c r="DW28"/>
  <c r="DY28"/>
  <c r="M29"/>
  <c r="P29"/>
  <c r="S29"/>
  <c r="V29"/>
  <c r="AB29"/>
  <c r="AE29"/>
  <c r="AH29"/>
  <c r="CD29"/>
  <c r="CJ29"/>
  <c r="CM29"/>
  <c r="L29"/>
  <c r="O29"/>
  <c r="R29"/>
  <c r="U29"/>
  <c r="X29"/>
  <c r="AA29"/>
  <c r="AD29"/>
  <c r="AG29"/>
  <c r="AL29"/>
  <c r="AX29"/>
  <c r="BA29"/>
  <c r="BE29"/>
  <c r="BJ29"/>
  <c r="BP29"/>
  <c r="BV29"/>
  <c r="BY29"/>
  <c r="CC29"/>
  <c r="CF29"/>
  <c r="CG29"/>
  <c r="CL29"/>
  <c r="CT29"/>
  <c r="CZ29"/>
  <c r="DM29"/>
  <c r="DP29"/>
  <c r="DS29"/>
  <c r="DT29"/>
  <c r="DV29"/>
  <c r="DW29"/>
  <c r="EK29"/>
  <c r="BA30"/>
  <c r="AV31"/>
  <c r="AV35" s="1"/>
  <c r="AW31"/>
  <c r="AW33" s="1"/>
  <c r="BT31"/>
  <c r="BT35" s="1"/>
  <c r="BW31"/>
  <c r="BW35" s="1"/>
  <c r="BX31"/>
  <c r="BX33" s="1"/>
  <c r="CU31"/>
  <c r="CU35" s="1"/>
  <c r="CX31"/>
  <c r="CX35" s="1"/>
  <c r="CY31"/>
  <c r="CY35" s="1"/>
  <c r="DA31"/>
  <c r="DA33" s="1"/>
  <c r="DD31"/>
  <c r="DD35" s="1"/>
  <c r="C22" i="1"/>
  <c r="D22"/>
  <c r="E24"/>
  <c r="F24"/>
  <c r="F26"/>
  <c r="C26" s="1"/>
  <c r="G26"/>
  <c r="D26" s="1"/>
  <c r="E32"/>
  <c r="E33"/>
  <c r="E36"/>
  <c r="AO22" i="2"/>
  <c r="AO29"/>
  <c r="AO27"/>
  <c r="AO26"/>
  <c r="F38" i="6"/>
  <c r="BS14" i="2"/>
  <c r="E29" i="1"/>
  <c r="G37"/>
  <c r="E72" i="11"/>
  <c r="E58" i="12"/>
  <c r="F58"/>
  <c r="C56"/>
  <c r="DM22" i="2"/>
  <c r="F77" i="14"/>
  <c r="C76"/>
  <c r="EH24" i="2" s="1"/>
  <c r="E77" i="14"/>
  <c r="F79" i="15"/>
  <c r="C76"/>
  <c r="EH25" i="2" s="1"/>
  <c r="E79" i="15"/>
  <c r="F74" i="18"/>
  <c r="E74"/>
  <c r="C68" i="19"/>
  <c r="F71"/>
  <c r="E71"/>
  <c r="F40" i="11"/>
  <c r="E41" i="6"/>
  <c r="E74" i="9"/>
  <c r="F74" i="11"/>
  <c r="F73" i="3"/>
  <c r="E73"/>
  <c r="E76" i="12"/>
  <c r="F73" i="17"/>
  <c r="C72"/>
  <c r="EE27" i="2" s="1"/>
  <c r="E73" i="17"/>
  <c r="E79" i="8"/>
  <c r="F79"/>
  <c r="E73"/>
  <c r="CC20" i="2"/>
  <c r="E37" i="1"/>
  <c r="E38"/>
  <c r="E31"/>
  <c r="C71" i="12"/>
  <c r="C38" i="19"/>
  <c r="F39"/>
  <c r="D93" i="4" l="1"/>
  <c r="K27" i="2"/>
  <c r="F60" i="4"/>
  <c r="H9" i="1"/>
  <c r="E17" i="19"/>
  <c r="F80" i="14"/>
  <c r="AZ23" i="2"/>
  <c r="BA23" s="1"/>
  <c r="D25" i="13"/>
  <c r="E40" i="9"/>
  <c r="EB15" i="2"/>
  <c r="ED15" s="1"/>
  <c r="E5" i="12"/>
  <c r="F55" i="16"/>
  <c r="E40" i="8"/>
  <c r="CK27" i="2"/>
  <c r="E69" i="13"/>
  <c r="F7" i="7"/>
  <c r="E66" i="15"/>
  <c r="D25" i="18"/>
  <c r="F5" i="17"/>
  <c r="AC24" i="2"/>
  <c r="CK28"/>
  <c r="F32" i="18"/>
  <c r="F12" i="12"/>
  <c r="E7"/>
  <c r="AU21" i="2"/>
  <c r="F5" i="16"/>
  <c r="E26" i="5"/>
  <c r="E5" i="14"/>
  <c r="DR29" i="2"/>
  <c r="K26"/>
  <c r="E5" i="13"/>
  <c r="AU22" i="2"/>
  <c r="F81" i="12"/>
  <c r="CQ20" i="2"/>
  <c r="E5" i="8"/>
  <c r="F26" i="5"/>
  <c r="E96" i="3"/>
  <c r="E69"/>
  <c r="F26" i="12"/>
  <c r="AR22" i="2"/>
  <c r="F41" i="5"/>
  <c r="F7" i="12"/>
  <c r="E37" i="5"/>
  <c r="C25"/>
  <c r="CH23" i="2"/>
  <c r="Z20"/>
  <c r="ES14"/>
  <c r="F113" i="3"/>
  <c r="E54" i="13"/>
  <c r="N22" i="2"/>
  <c r="F14" i="11"/>
  <c r="DO18" i="2"/>
  <c r="K17"/>
  <c r="E124" i="3"/>
  <c r="AF14" i="2"/>
  <c r="C36" i="16"/>
  <c r="BQ26" i="2" s="1"/>
  <c r="F26" s="1"/>
  <c r="E17" i="16"/>
  <c r="ED23" i="2"/>
  <c r="E17" i="13"/>
  <c r="E26" i="12"/>
  <c r="CK22" i="2"/>
  <c r="F5" i="12"/>
  <c r="CH19" i="2"/>
  <c r="AI18"/>
  <c r="AC18"/>
  <c r="AI17"/>
  <c r="E26" i="6"/>
  <c r="F80"/>
  <c r="F20"/>
  <c r="DU29" i="2"/>
  <c r="AF28"/>
  <c r="E26" i="17"/>
  <c r="E26" i="14"/>
  <c r="E66"/>
  <c r="CN23" i="2"/>
  <c r="EA23"/>
  <c r="W21"/>
  <c r="E37" i="11"/>
  <c r="EA21" i="2"/>
  <c r="N21"/>
  <c r="F14" i="9"/>
  <c r="E89"/>
  <c r="CN18" i="2"/>
  <c r="F56" i="8"/>
  <c r="E7"/>
  <c r="W18" i="2"/>
  <c r="E34" i="7"/>
  <c r="F67" i="6"/>
  <c r="E35" i="5"/>
  <c r="E32"/>
  <c r="E67"/>
  <c r="DU15" i="2"/>
  <c r="CN15"/>
  <c r="F57" i="5"/>
  <c r="C4"/>
  <c r="BN15" i="2"/>
  <c r="F15" s="1"/>
  <c r="F35" i="5"/>
  <c r="F30"/>
  <c r="AU14" i="2"/>
  <c r="F34" i="4"/>
  <c r="F17"/>
  <c r="F5"/>
  <c r="F41" i="1"/>
  <c r="H41" s="1"/>
  <c r="F69" i="3"/>
  <c r="DD33" i="2"/>
  <c r="F26" i="19"/>
  <c r="E17" i="17"/>
  <c r="CH27" i="2"/>
  <c r="EA25"/>
  <c r="AU25"/>
  <c r="CH25"/>
  <c r="Z25"/>
  <c r="CE25"/>
  <c r="F37" i="14"/>
  <c r="F35" s="1"/>
  <c r="F34" s="1"/>
  <c r="F20" i="13"/>
  <c r="F62"/>
  <c r="Q22" i="2"/>
  <c r="E93" i="11"/>
  <c r="F40" i="9"/>
  <c r="E20"/>
  <c r="F36"/>
  <c r="F84"/>
  <c r="AU19" i="2"/>
  <c r="F7" i="8"/>
  <c r="ES18" i="2"/>
  <c r="F14" i="8"/>
  <c r="F79" i="7"/>
  <c r="E37" i="6"/>
  <c r="E35"/>
  <c r="CE15" i="2"/>
  <c r="AF15"/>
  <c r="W15"/>
  <c r="EP15"/>
  <c r="E83" i="4"/>
  <c r="E72"/>
  <c r="D4"/>
  <c r="G31" i="1"/>
  <c r="E129" i="3"/>
  <c r="F7" i="19"/>
  <c r="BA27" i="2"/>
  <c r="F31" i="16"/>
  <c r="E29"/>
  <c r="F31" i="15"/>
  <c r="F29"/>
  <c r="E20"/>
  <c r="AI24" i="2"/>
  <c r="CK23"/>
  <c r="E26" i="13"/>
  <c r="CH22" i="2"/>
  <c r="F93" i="11"/>
  <c r="F37"/>
  <c r="E7"/>
  <c r="DJ20" i="2"/>
  <c r="CT20"/>
  <c r="E26" i="10"/>
  <c r="F20"/>
  <c r="E12"/>
  <c r="BG19" i="2"/>
  <c r="BZ18"/>
  <c r="E14" i="8"/>
  <c r="T18" i="2"/>
  <c r="BP18"/>
  <c r="F80" i="8"/>
  <c r="F17" i="7"/>
  <c r="DJ16" i="2"/>
  <c r="F37" i="6"/>
  <c r="F86"/>
  <c r="C4"/>
  <c r="DR15" i="2"/>
  <c r="BO15"/>
  <c r="F20" i="5"/>
  <c r="DX14" i="2"/>
  <c r="CE14"/>
  <c r="E7" i="19"/>
  <c r="D4"/>
  <c r="E34"/>
  <c r="AC29" i="2"/>
  <c r="DK29"/>
  <c r="DH29" s="1"/>
  <c r="E84" i="18"/>
  <c r="F77" i="17"/>
  <c r="C25"/>
  <c r="E31"/>
  <c r="AI27" i="2"/>
  <c r="E81" i="16"/>
  <c r="W26" i="2"/>
  <c r="C4" i="16"/>
  <c r="E26"/>
  <c r="E12"/>
  <c r="AZ25" i="2"/>
  <c r="G25" s="1"/>
  <c r="E31" i="15"/>
  <c r="F20"/>
  <c r="F26" i="14"/>
  <c r="E82"/>
  <c r="DK24" i="2"/>
  <c r="DH24" s="1"/>
  <c r="F91" i="13"/>
  <c r="F23" i="2"/>
  <c r="DO23"/>
  <c r="F54" i="13"/>
  <c r="D95"/>
  <c r="F85"/>
  <c r="D4"/>
  <c r="F77" i="12"/>
  <c r="EI22" i="2"/>
  <c r="EJ22" s="1"/>
  <c r="E29" i="12"/>
  <c r="DO22" i="2"/>
  <c r="F29" i="12"/>
  <c r="DR22" i="2"/>
  <c r="E64" i="12"/>
  <c r="F37"/>
  <c r="E77"/>
  <c r="E12"/>
  <c r="F7" i="11"/>
  <c r="F83" i="10"/>
  <c r="E7"/>
  <c r="E66"/>
  <c r="AF20" i="2"/>
  <c r="AR20"/>
  <c r="F20" i="9"/>
  <c r="CK19" i="2"/>
  <c r="F64" i="9"/>
  <c r="DK19" i="2"/>
  <c r="DX19"/>
  <c r="Q19"/>
  <c r="CQ19"/>
  <c r="K19"/>
  <c r="E66" i="8"/>
  <c r="CE18" i="2"/>
  <c r="K18"/>
  <c r="BL31"/>
  <c r="BL33" s="1"/>
  <c r="E88" i="8"/>
  <c r="EA18" i="2"/>
  <c r="AR18"/>
  <c r="BZ16"/>
  <c r="E7" i="6"/>
  <c r="E32"/>
  <c r="F12"/>
  <c r="F85" i="5"/>
  <c r="E20"/>
  <c r="DO15" i="2"/>
  <c r="E20" i="4"/>
  <c r="CK14" i="2"/>
  <c r="Z14"/>
  <c r="C25" i="4"/>
  <c r="E14"/>
  <c r="E7"/>
  <c r="F31"/>
  <c r="F104" i="3"/>
  <c r="F47"/>
  <c r="CU33" i="2"/>
  <c r="F29" i="19"/>
  <c r="E29"/>
  <c r="E12"/>
  <c r="E26"/>
  <c r="AI29" i="2"/>
  <c r="F31" i="19"/>
  <c r="E90"/>
  <c r="DO29" i="2"/>
  <c r="W29"/>
  <c r="E17" i="18"/>
  <c r="E7"/>
  <c r="Z28" i="2"/>
  <c r="E77" i="17"/>
  <c r="E46"/>
  <c r="DX27" i="2"/>
  <c r="E34" i="17"/>
  <c r="EV27" i="2"/>
  <c r="F31" i="17"/>
  <c r="W27" i="2"/>
  <c r="E94" i="17"/>
  <c r="F94"/>
  <c r="BS27" i="2"/>
  <c r="E86" i="16"/>
  <c r="E55"/>
  <c r="F92"/>
  <c r="EO26" i="2"/>
  <c r="EP26" s="1"/>
  <c r="BO26"/>
  <c r="BP26" s="1"/>
  <c r="ER26"/>
  <c r="ER31" s="1"/>
  <c r="J38" i="1" s="1"/>
  <c r="N26" i="2"/>
  <c r="F26" i="16"/>
  <c r="BA26" i="2"/>
  <c r="F34" i="16"/>
  <c r="F37"/>
  <c r="F29"/>
  <c r="F12"/>
  <c r="F7"/>
  <c r="EV25" i="2"/>
  <c r="F56" i="15"/>
  <c r="E41"/>
  <c r="F93"/>
  <c r="EB25" i="2"/>
  <c r="ED25" s="1"/>
  <c r="K25"/>
  <c r="E87" i="15"/>
  <c r="E56"/>
  <c r="DX25" i="2"/>
  <c r="EJ24"/>
  <c r="E17" i="14"/>
  <c r="BQ24" i="2"/>
  <c r="BS24" s="1"/>
  <c r="F64" i="14"/>
  <c r="E87"/>
  <c r="BZ24" i="2"/>
  <c r="N24"/>
  <c r="F5" i="14"/>
  <c r="AR24" i="2"/>
  <c r="E64" i="13"/>
  <c r="F26"/>
  <c r="BZ23" i="2"/>
  <c r="AI23"/>
  <c r="AR23"/>
  <c r="E88" i="12"/>
  <c r="F71"/>
  <c r="F96"/>
  <c r="E96"/>
  <c r="AZ22" i="2"/>
  <c r="BA22" s="1"/>
  <c r="F82" i="11"/>
  <c r="EO21" i="2"/>
  <c r="EP21" s="1"/>
  <c r="E87" i="11"/>
  <c r="AF21" i="2"/>
  <c r="AJ31"/>
  <c r="AJ35" s="1"/>
  <c r="K21"/>
  <c r="ES20"/>
  <c r="F66" i="10"/>
  <c r="F76"/>
  <c r="F7"/>
  <c r="DO20" i="2"/>
  <c r="E29" i="10"/>
  <c r="E20"/>
  <c r="E14"/>
  <c r="E84" i="9"/>
  <c r="E64"/>
  <c r="DO19" i="2"/>
  <c r="E34" i="9"/>
  <c r="F26"/>
  <c r="D97" i="8"/>
  <c r="EV18" i="2"/>
  <c r="EJ18"/>
  <c r="F20" i="8"/>
  <c r="E94"/>
  <c r="F34"/>
  <c r="BK31" i="2"/>
  <c r="BK33" s="1"/>
  <c r="E20" i="7"/>
  <c r="O31" i="2"/>
  <c r="O35" s="1"/>
  <c r="E86" i="7"/>
  <c r="AU17" i="2"/>
  <c r="F92" i="7"/>
  <c r="E65"/>
  <c r="ES16" i="2"/>
  <c r="E20" i="6"/>
  <c r="BO16" i="2"/>
  <c r="BP16" s="1"/>
  <c r="E91" i="6"/>
  <c r="DR16" i="2"/>
  <c r="E12" i="6"/>
  <c r="DU16" i="2"/>
  <c r="AI16"/>
  <c r="AC16"/>
  <c r="W16"/>
  <c r="C100" i="5"/>
  <c r="D100"/>
  <c r="EV15" i="2"/>
  <c r="BC35"/>
  <c r="BC33"/>
  <c r="E12" i="4"/>
  <c r="F89"/>
  <c r="F20"/>
  <c r="E23" i="3"/>
  <c r="D143"/>
  <c r="F7"/>
  <c r="F109"/>
  <c r="Q29" i="2"/>
  <c r="DX28"/>
  <c r="DR28"/>
  <c r="CE28"/>
  <c r="Q27"/>
  <c r="N27"/>
  <c r="T26"/>
  <c r="Q24"/>
  <c r="DK23"/>
  <c r="AC23"/>
  <c r="BZ22"/>
  <c r="W22"/>
  <c r="DU19"/>
  <c r="BZ19"/>
  <c r="AL18"/>
  <c r="CN16"/>
  <c r="AO16"/>
  <c r="F16"/>
  <c r="DK15"/>
  <c r="DJ15"/>
  <c r="AO15"/>
  <c r="AA31"/>
  <c r="AA35" s="1"/>
  <c r="E17" i="4"/>
  <c r="C4"/>
  <c r="F82" i="5"/>
  <c r="EP16" i="2"/>
  <c r="E80" i="6"/>
  <c r="C25"/>
  <c r="F17"/>
  <c r="F86" i="7"/>
  <c r="F29"/>
  <c r="F5"/>
  <c r="E56" i="8"/>
  <c r="E17"/>
  <c r="E76" i="9"/>
  <c r="F31"/>
  <c r="C4"/>
  <c r="E81" i="10"/>
  <c r="F56"/>
  <c r="E36"/>
  <c r="E17"/>
  <c r="F76" i="11"/>
  <c r="E17"/>
  <c r="E20" i="13"/>
  <c r="E31" i="14"/>
  <c r="E29"/>
  <c r="C25" i="15"/>
  <c r="E12"/>
  <c r="F86" i="16"/>
  <c r="F14"/>
  <c r="F88" i="17"/>
  <c r="E12"/>
  <c r="C4"/>
  <c r="E5"/>
  <c r="E20" i="18"/>
  <c r="E5" i="19"/>
  <c r="C4" i="14"/>
  <c r="F12" i="3"/>
  <c r="F31" i="13"/>
  <c r="E71" i="9"/>
  <c r="DK17" i="2"/>
  <c r="G21"/>
  <c r="F7" i="13"/>
  <c r="E64" i="10"/>
  <c r="BG15" i="2"/>
  <c r="K16"/>
  <c r="BG22"/>
  <c r="AR21"/>
  <c r="E34" i="8"/>
  <c r="E26" i="7"/>
  <c r="F65" i="16"/>
  <c r="BZ26" i="2"/>
  <c r="ES24"/>
  <c r="E41" i="18"/>
  <c r="CT28" i="2"/>
  <c r="D25" i="6"/>
  <c r="E67" i="4"/>
  <c r="F76" i="8"/>
  <c r="H20" i="1"/>
  <c r="CT15" i="2"/>
  <c r="E67" i="6"/>
  <c r="AF27" i="2"/>
  <c r="AF25"/>
  <c r="N25"/>
  <c r="T24"/>
  <c r="F20"/>
  <c r="C4" i="7"/>
  <c r="C4" i="8"/>
  <c r="BS19" i="2"/>
  <c r="D4" i="10"/>
  <c r="C4" i="11"/>
  <c r="E14" i="15"/>
  <c r="F17" i="16"/>
  <c r="F84" i="19"/>
  <c r="C25"/>
  <c r="E113" i="3"/>
  <c r="E7" i="9"/>
  <c r="F26" i="17"/>
  <c r="Z24" i="2"/>
  <c r="Z16"/>
  <c r="F65" i="7"/>
  <c r="D4" i="5"/>
  <c r="E5" i="15"/>
  <c r="D25" i="19"/>
  <c r="BZ17" i="2"/>
  <c r="BZ21"/>
  <c r="ED18"/>
  <c r="F5" i="6"/>
  <c r="DK22" i="2"/>
  <c r="BA20"/>
  <c r="AR17"/>
  <c r="E71" i="8"/>
  <c r="D97" i="11"/>
  <c r="F56"/>
  <c r="F56" i="9"/>
  <c r="E56" i="12"/>
  <c r="F57" i="17"/>
  <c r="DK18" i="2"/>
  <c r="DR18"/>
  <c r="E56" i="11"/>
  <c r="F89" i="18"/>
  <c r="BZ28" i="2"/>
  <c r="F14" i="18"/>
  <c r="E35"/>
  <c r="W28" i="2"/>
  <c r="C89" i="18"/>
  <c r="EQ28" i="2" s="1"/>
  <c r="ES28" s="1"/>
  <c r="F5" i="18"/>
  <c r="F35"/>
  <c r="F26"/>
  <c r="E12"/>
  <c r="E68" i="19"/>
  <c r="BZ29" i="2"/>
  <c r="E37" i="18"/>
  <c r="E38" i="19"/>
  <c r="F17" i="17"/>
  <c r="DQ31" i="2"/>
  <c r="DQ33" s="1"/>
  <c r="D4" i="16"/>
  <c r="F7" i="18"/>
  <c r="BZ27" i="2"/>
  <c r="CN27"/>
  <c r="DT31"/>
  <c r="DT33" s="1"/>
  <c r="AG31"/>
  <c r="I12" i="1" s="1"/>
  <c r="C12" s="1"/>
  <c r="I31" i="2"/>
  <c r="I35" s="1"/>
  <c r="D96" i="16"/>
  <c r="EG27" i="2"/>
  <c r="DO26"/>
  <c r="CP31"/>
  <c r="CP35" s="1"/>
  <c r="D99" i="18"/>
  <c r="H33" i="1"/>
  <c r="H6"/>
  <c r="F124" i="3"/>
  <c r="E139"/>
  <c r="D25" i="16"/>
  <c r="D39" s="1"/>
  <c r="D50" s="1"/>
  <c r="BR26" i="2"/>
  <c r="AQ31"/>
  <c r="AQ33" s="1"/>
  <c r="D4" i="3"/>
  <c r="EM25" i="2"/>
  <c r="DJ25"/>
  <c r="W25"/>
  <c r="E82" i="15"/>
  <c r="D25"/>
  <c r="E64" i="14"/>
  <c r="AE31" i="2"/>
  <c r="AE35" s="1"/>
  <c r="CL31"/>
  <c r="CL33" s="1"/>
  <c r="D97" i="15"/>
  <c r="F76" i="14"/>
  <c r="E41"/>
  <c r="BZ25" i="2"/>
  <c r="E80" i="15"/>
  <c r="DP31" i="2"/>
  <c r="DP35" s="1"/>
  <c r="DJ24"/>
  <c r="V31"/>
  <c r="V35" s="1"/>
  <c r="F64" i="15"/>
  <c r="H24" i="1"/>
  <c r="E47" i="3"/>
  <c r="BY35" i="2"/>
  <c r="BY33"/>
  <c r="EM26"/>
  <c r="BI33"/>
  <c r="F76" i="15"/>
  <c r="Z21" i="2"/>
  <c r="D98" i="12"/>
  <c r="E76" i="8"/>
  <c r="AC15" i="2"/>
  <c r="EU14"/>
  <c r="EV14" s="1"/>
  <c r="ES17"/>
  <c r="E7" i="13"/>
  <c r="F34" i="9"/>
  <c r="E34" i="15"/>
  <c r="F95" i="18"/>
  <c r="DO17" i="2"/>
  <c r="F89" i="9"/>
  <c r="F44" i="3"/>
  <c r="G34" i="1"/>
  <c r="G7"/>
  <c r="BF29" i="2"/>
  <c r="G29" s="1"/>
  <c r="EC26"/>
  <c r="EO25"/>
  <c r="EP25" s="1"/>
  <c r="N23"/>
  <c r="EC16"/>
  <c r="ED16" s="1"/>
  <c r="F26" i="6"/>
  <c r="DJ26" i="2"/>
  <c r="AN31"/>
  <c r="AN33" s="1"/>
  <c r="E63" i="16"/>
  <c r="E84" i="19"/>
  <c r="AW35" i="2"/>
  <c r="E66" i="12"/>
  <c r="F66"/>
  <c r="F80" i="15"/>
  <c r="F137" i="3"/>
  <c r="F64" i="13"/>
  <c r="F71" i="8"/>
  <c r="C97"/>
  <c r="D97" i="14"/>
  <c r="E78" i="13"/>
  <c r="E20" i="12"/>
  <c r="F82" i="15"/>
  <c r="E90" i="5"/>
  <c r="F17" i="15"/>
  <c r="EU17" i="2"/>
  <c r="EV17" s="1"/>
  <c r="E84" i="6"/>
  <c r="E16" i="3"/>
  <c r="F32" i="6"/>
  <c r="CK17" i="2"/>
  <c r="CY33"/>
  <c r="E17" i="6"/>
  <c r="EL15" i="2"/>
  <c r="EM15" s="1"/>
  <c r="F36" i="10"/>
  <c r="K29" i="2"/>
  <c r="F26" i="7"/>
  <c r="E7" i="16"/>
  <c r="E104" i="3"/>
  <c r="F26" i="15"/>
  <c r="E31" i="9"/>
  <c r="D4" i="15"/>
  <c r="E52" i="3"/>
  <c r="E109"/>
  <c r="AP29" i="2"/>
  <c r="AR29" s="1"/>
  <c r="E29" i="15"/>
  <c r="F23" i="3"/>
  <c r="F33"/>
  <c r="D25" i="9"/>
  <c r="F81" i="7"/>
  <c r="F34" i="15"/>
  <c r="E91" i="13"/>
  <c r="F17" i="18"/>
  <c r="DR14" i="2"/>
  <c r="F17" i="11"/>
  <c r="F84" i="6"/>
  <c r="F74" i="13"/>
  <c r="F79" i="16"/>
  <c r="F61" i="19"/>
  <c r="E14" i="18"/>
  <c r="F20" i="14"/>
  <c r="Q25" i="2"/>
  <c r="CK25"/>
  <c r="Z22"/>
  <c r="EK20"/>
  <c r="EM20" s="1"/>
  <c r="EH16"/>
  <c r="EJ16" s="1"/>
  <c r="E56" i="9"/>
  <c r="F7"/>
  <c r="E64" i="15"/>
  <c r="F78" i="13"/>
  <c r="E92" i="7"/>
  <c r="E5" i="6"/>
  <c r="D25" i="10"/>
  <c r="DN31" i="2"/>
  <c r="DN35" s="1"/>
  <c r="E37" i="12"/>
  <c r="F64"/>
  <c r="EC28" i="2"/>
  <c r="AU24"/>
  <c r="AR16"/>
  <c r="E65" i="6"/>
  <c r="DJ18" i="2"/>
  <c r="F17" i="19"/>
  <c r="E29" i="4"/>
  <c r="E79" i="16"/>
  <c r="E97" i="9"/>
  <c r="DJ19" i="2"/>
  <c r="F14" i="4"/>
  <c r="E76" i="15"/>
  <c r="E93"/>
  <c r="E81" i="12"/>
  <c r="E77" i="19"/>
  <c r="C25" i="12"/>
  <c r="F29" i="10"/>
  <c r="E83"/>
  <c r="F66" i="8"/>
  <c r="E82" i="5"/>
  <c r="ES25" i="2"/>
  <c r="C4" i="13"/>
  <c r="E33" i="3"/>
  <c r="F21" i="1"/>
  <c r="F66" i="14"/>
  <c r="E95" i="18"/>
  <c r="F34" i="19"/>
  <c r="CK29" i="2"/>
  <c r="DO24"/>
  <c r="CK24"/>
  <c r="AU23"/>
  <c r="CS31"/>
  <c r="AU20"/>
  <c r="EB17"/>
  <c r="ED17" s="1"/>
  <c r="Z15"/>
  <c r="EE14"/>
  <c r="EG14" s="1"/>
  <c r="E31" i="13"/>
  <c r="F12"/>
  <c r="E65" i="18"/>
  <c r="AR28" i="2"/>
  <c r="DR17"/>
  <c r="AI25"/>
  <c r="W24"/>
  <c r="EE29"/>
  <c r="EG29" s="1"/>
  <c r="F28"/>
  <c r="CN29"/>
  <c r="AF16"/>
  <c r="F97" i="6"/>
  <c r="E7" i="3"/>
  <c r="N28" i="2"/>
  <c r="F129" i="3"/>
  <c r="D96" i="7"/>
  <c r="C93" i="4"/>
  <c r="AI28" i="2"/>
  <c r="CN21"/>
  <c r="K14"/>
  <c r="EA28"/>
  <c r="D25" i="12"/>
  <c r="CK21" i="2"/>
  <c r="F57" i="6"/>
  <c r="F7"/>
  <c r="DM31" i="2"/>
  <c r="DM35" s="1"/>
  <c r="J31"/>
  <c r="CE26"/>
  <c r="CA26"/>
  <c r="CA29"/>
  <c r="CA28"/>
  <c r="CA27"/>
  <c r="CO31"/>
  <c r="CO35" s="1"/>
  <c r="CA24"/>
  <c r="CA23"/>
  <c r="EP22"/>
  <c r="CF31"/>
  <c r="CF35" s="1"/>
  <c r="CA22"/>
  <c r="AD31"/>
  <c r="I10" i="1" s="1"/>
  <c r="C10" s="1"/>
  <c r="L31" i="2"/>
  <c r="L35" s="1"/>
  <c r="AC22"/>
  <c r="CA21"/>
  <c r="CA18"/>
  <c r="CA17"/>
  <c r="BA19"/>
  <c r="CA25"/>
  <c r="CA20"/>
  <c r="CA19"/>
  <c r="CA16"/>
  <c r="CA15"/>
  <c r="CA14"/>
  <c r="G20"/>
  <c r="AF22"/>
  <c r="CE20"/>
  <c r="M31"/>
  <c r="M33" s="1"/>
  <c r="P31"/>
  <c r="P33" s="1"/>
  <c r="E37" i="7"/>
  <c r="F37"/>
  <c r="E57" i="6"/>
  <c r="E55" i="7"/>
  <c r="F55"/>
  <c r="F38" i="19"/>
  <c r="EA17" i="2"/>
  <c r="F14" i="5"/>
  <c r="EV19" i="2"/>
  <c r="E26" i="9"/>
  <c r="E31" i="10"/>
  <c r="F5"/>
  <c r="E74" i="13"/>
  <c r="F91" i="6"/>
  <c r="H36" i="1"/>
  <c r="CH18" i="2"/>
  <c r="F17" i="10"/>
  <c r="F56" i="12"/>
  <c r="BT33" i="2"/>
  <c r="CH14"/>
  <c r="F12" i="14"/>
  <c r="F12" i="17"/>
  <c r="E5" i="18"/>
  <c r="E7" i="14"/>
  <c r="E7" i="15"/>
  <c r="T22" i="2"/>
  <c r="F5" i="8"/>
  <c r="E41" i="5"/>
  <c r="F96" i="3"/>
  <c r="F30" i="1"/>
  <c r="H30" s="1"/>
  <c r="BR15" i="2"/>
  <c r="F37" i="5"/>
  <c r="E81" i="7"/>
  <c r="EN17" i="2"/>
  <c r="EP17" s="1"/>
  <c r="F36" i="8"/>
  <c r="BQ18" i="2"/>
  <c r="BS18" s="1"/>
  <c r="E26" i="8"/>
  <c r="D25"/>
  <c r="E12" i="13"/>
  <c r="AS31" i="2"/>
  <c r="AS35" s="1"/>
  <c r="DJ22"/>
  <c r="CX33"/>
  <c r="F19"/>
  <c r="BS22"/>
  <c r="E26" i="4"/>
  <c r="F26"/>
  <c r="C4" i="15"/>
  <c r="E65" i="16"/>
  <c r="EB26" i="2"/>
  <c r="F7" i="17"/>
  <c r="E7"/>
  <c r="F98" i="3"/>
  <c r="F31" i="1"/>
  <c r="F72" i="4"/>
  <c r="EI14" i="2"/>
  <c r="EJ14" s="1"/>
  <c r="Z29"/>
  <c r="DO28"/>
  <c r="Z27"/>
  <c r="AU27"/>
  <c r="AU26"/>
  <c r="DR24"/>
  <c r="AF24"/>
  <c r="Z23"/>
  <c r="AF23"/>
  <c r="CK20"/>
  <c r="AU16"/>
  <c r="CK15"/>
  <c r="K15"/>
  <c r="F12" i="4"/>
  <c r="E72" i="5"/>
  <c r="E79" i="7"/>
  <c r="F7" i="14"/>
  <c r="F5" i="15"/>
  <c r="F7"/>
  <c r="F63" i="16"/>
  <c r="E31" i="19"/>
  <c r="E67" i="17"/>
  <c r="AU28" i="2"/>
  <c r="AR14"/>
  <c r="AR25"/>
  <c r="BA14"/>
  <c r="F14"/>
  <c r="CE24"/>
  <c r="T21"/>
  <c r="F12" i="19"/>
  <c r="F41" i="12"/>
  <c r="E41"/>
  <c r="F38" i="17"/>
  <c r="E38"/>
  <c r="AF29" i="2"/>
  <c r="E14" i="11"/>
  <c r="D4"/>
  <c r="E7" i="7"/>
  <c r="C70"/>
  <c r="EE17" i="2" s="1"/>
  <c r="F15" i="1"/>
  <c r="H15" s="1"/>
  <c r="C32" i="3"/>
  <c r="CE27" i="2"/>
  <c r="T23"/>
  <c r="DX15"/>
  <c r="EP14"/>
  <c r="F30" i="6"/>
  <c r="D98" i="10"/>
  <c r="G18" i="1"/>
  <c r="H18" s="1"/>
  <c r="D32" i="3"/>
  <c r="K23" i="2"/>
  <c r="DV31"/>
  <c r="DV33" s="1"/>
  <c r="D25" i="11"/>
  <c r="CJ31" i="2"/>
  <c r="CJ35" s="1"/>
  <c r="EJ25"/>
  <c r="E40" i="7"/>
  <c r="F68" i="19"/>
  <c r="AL24" i="2"/>
  <c r="BZ20"/>
  <c r="E76" i="14"/>
  <c r="DA35" i="2"/>
  <c r="AV33"/>
  <c r="BW33"/>
  <c r="EP29"/>
  <c r="ES27"/>
  <c r="DK25"/>
  <c r="BG23"/>
  <c r="E36" i="9"/>
  <c r="F46" i="17"/>
  <c r="F34"/>
  <c r="C98" i="12"/>
  <c r="E71"/>
  <c r="AC26" i="2"/>
  <c r="DU24"/>
  <c r="CH24"/>
  <c r="AO19"/>
  <c r="N19"/>
  <c r="DU18"/>
  <c r="E86" i="6"/>
  <c r="F17" i="9"/>
  <c r="F81" i="10"/>
  <c r="E5"/>
  <c r="E85" i="13"/>
  <c r="F81" i="16"/>
  <c r="BP24" i="2"/>
  <c r="G24"/>
  <c r="C9" i="1"/>
  <c r="E9" s="1"/>
  <c r="AK31" i="2"/>
  <c r="EE22"/>
  <c r="EG22" s="1"/>
  <c r="E72" i="17"/>
  <c r="AX31" i="2"/>
  <c r="BS29"/>
  <c r="EA26"/>
  <c r="DX26"/>
  <c r="DK26"/>
  <c r="AI26"/>
  <c r="DU23"/>
  <c r="Q21"/>
  <c r="AI21"/>
  <c r="Q18"/>
  <c r="DU17"/>
  <c r="X31"/>
  <c r="R31"/>
  <c r="R35" s="1"/>
  <c r="EA16"/>
  <c r="CE16"/>
  <c r="Q16"/>
  <c r="E85" i="5"/>
  <c r="F65" i="6"/>
  <c r="F35"/>
  <c r="E29" i="7"/>
  <c r="E17"/>
  <c r="F64" i="8"/>
  <c r="E31"/>
  <c r="F29" i="11"/>
  <c r="E83" i="12"/>
  <c r="EM24" i="2"/>
  <c r="D25" i="14"/>
  <c r="F84" i="18"/>
  <c r="F37"/>
  <c r="F20"/>
  <c r="D4"/>
  <c r="E60" i="4"/>
  <c r="F41" i="18"/>
  <c r="AC25" i="2"/>
  <c r="S31"/>
  <c r="S33" s="1"/>
  <c r="F87" i="15"/>
  <c r="H32" i="1"/>
  <c r="E137" i="3"/>
  <c r="H12" i="1"/>
  <c r="E80" i="14"/>
  <c r="G27" i="2"/>
  <c r="CG31"/>
  <c r="CG35" s="1"/>
  <c r="CM31"/>
  <c r="CM35" s="1"/>
  <c r="AB31"/>
  <c r="AB33" s="1"/>
  <c r="EK17"/>
  <c r="EM17" s="1"/>
  <c r="N17"/>
  <c r="ED22"/>
  <c r="EM29"/>
  <c r="BZ14"/>
  <c r="F90" i="5"/>
  <c r="EP19" i="2"/>
  <c r="F20" i="12"/>
  <c r="F34" i="7"/>
  <c r="BS16" i="2"/>
  <c r="CC31"/>
  <c r="CC35" s="1"/>
  <c r="H37" i="1"/>
  <c r="BV33" i="2"/>
  <c r="CZ31"/>
  <c r="CZ33" s="1"/>
  <c r="DB31"/>
  <c r="BX35"/>
  <c r="T29"/>
  <c r="EV28"/>
  <c r="AC28"/>
  <c r="T27"/>
  <c r="DX24"/>
  <c r="DX23"/>
  <c r="DR23"/>
  <c r="W23"/>
  <c r="CE22"/>
  <c r="DX21"/>
  <c r="BG21"/>
  <c r="AI20"/>
  <c r="W20"/>
  <c r="Q20"/>
  <c r="N20"/>
  <c r="CN19"/>
  <c r="AM31"/>
  <c r="AM35" s="1"/>
  <c r="AI19"/>
  <c r="AC19"/>
  <c r="DX18"/>
  <c r="DX17"/>
  <c r="CE17"/>
  <c r="AC17"/>
  <c r="T17"/>
  <c r="T16"/>
  <c r="N16"/>
  <c r="Q15"/>
  <c r="N15"/>
  <c r="DJ14"/>
  <c r="CN14"/>
  <c r="AI14"/>
  <c r="E44" i="3"/>
  <c r="F29" i="4"/>
  <c r="E5"/>
  <c r="E57" i="5"/>
  <c r="D25"/>
  <c r="E30" i="6"/>
  <c r="E5" i="7"/>
  <c r="AT18" i="2"/>
  <c r="G18" s="1"/>
  <c r="E20" i="8"/>
  <c r="E12"/>
  <c r="E14" i="9"/>
  <c r="F31" i="10"/>
  <c r="F26"/>
  <c r="F87" i="11"/>
  <c r="E29"/>
  <c r="F31" i="14"/>
  <c r="E92" i="16"/>
  <c r="F83" i="17"/>
  <c r="E57"/>
  <c r="E20"/>
  <c r="ES29" i="2"/>
  <c r="F77" i="19"/>
  <c r="F20"/>
  <c r="H38" i="1"/>
  <c r="BG27" i="2"/>
  <c r="BE31"/>
  <c r="F27"/>
  <c r="E36" i="7"/>
  <c r="F36"/>
  <c r="BQ17" i="2"/>
  <c r="BS17" s="1"/>
  <c r="DZ31"/>
  <c r="BP28"/>
  <c r="EV26"/>
  <c r="DJ23"/>
  <c r="AF17"/>
  <c r="CH16"/>
  <c r="EA15"/>
  <c r="CQ15"/>
  <c r="BZ15"/>
  <c r="E64" i="8"/>
  <c r="C25" i="9"/>
  <c r="F88" i="10"/>
  <c r="F14"/>
  <c r="F83" i="12"/>
  <c r="F5" i="13"/>
  <c r="F82" i="14"/>
  <c r="E26" i="15"/>
  <c r="F12"/>
  <c r="E31" i="16"/>
  <c r="F20" i="17"/>
  <c r="F65" i="18"/>
  <c r="E20" i="19"/>
  <c r="Z26" i="2"/>
  <c r="F16" i="3"/>
  <c r="E62" i="13"/>
  <c r="F40" i="16"/>
  <c r="E40" i="10"/>
  <c r="EM16" i="2"/>
  <c r="CN26"/>
  <c r="EP24"/>
  <c r="EM22"/>
  <c r="EA22"/>
  <c r="CN22"/>
  <c r="DU21"/>
  <c r="ED20"/>
  <c r="EA19"/>
  <c r="AI15"/>
  <c r="T15"/>
  <c r="T14"/>
  <c r="EP20"/>
  <c r="F14" i="15"/>
  <c r="E5" i="16"/>
  <c r="C25" i="13"/>
  <c r="E65" i="5"/>
  <c r="Z18" i="2"/>
  <c r="F67" i="4"/>
  <c r="F52" i="3"/>
  <c r="DS31" i="2"/>
  <c r="DS35" s="1"/>
  <c r="CH15"/>
  <c r="AC14"/>
  <c r="E30" i="5"/>
  <c r="F20" i="7"/>
  <c r="F29" i="14"/>
  <c r="F12" i="18"/>
  <c r="C4"/>
  <c r="F7" i="4"/>
  <c r="AU15" i="2"/>
  <c r="F32" i="5"/>
  <c r="BA28" i="2"/>
  <c r="EA27"/>
  <c r="AF26"/>
  <c r="Q26"/>
  <c r="DU25"/>
  <c r="CN24"/>
  <c r="ES23"/>
  <c r="EV21"/>
  <c r="AC21"/>
  <c r="EA20"/>
  <c r="DU20"/>
  <c r="CN20"/>
  <c r="CH20"/>
  <c r="ES15"/>
  <c r="F83" i="4"/>
  <c r="E14" i="5"/>
  <c r="F88" i="8"/>
  <c r="F12"/>
  <c r="C25" i="10"/>
  <c r="E82" i="11"/>
  <c r="BR28" i="2"/>
  <c r="G28" s="1"/>
  <c r="K28"/>
  <c r="K24"/>
  <c r="F66" i="15"/>
  <c r="BP25" i="2"/>
  <c r="BB31"/>
  <c r="BD14"/>
  <c r="F135" i="3"/>
  <c r="G39" i="1"/>
  <c r="E135" i="3"/>
  <c r="F5"/>
  <c r="F5" i="1"/>
  <c r="C4" i="3"/>
  <c r="E5"/>
  <c r="E12" i="5"/>
  <c r="F12"/>
  <c r="E31" i="7"/>
  <c r="F31"/>
  <c r="C25"/>
  <c r="F17" i="8"/>
  <c r="D4"/>
  <c r="EH19" i="2"/>
  <c r="EJ19" s="1"/>
  <c r="F76" i="9"/>
  <c r="E5"/>
  <c r="F5"/>
  <c r="E76" i="10"/>
  <c r="EI20" i="2"/>
  <c r="EI21"/>
  <c r="EJ21" s="1"/>
  <c r="E76" i="11"/>
  <c r="E31"/>
  <c r="C25"/>
  <c r="E26"/>
  <c r="F26"/>
  <c r="E32" i="12"/>
  <c r="F32"/>
  <c r="E34" i="13"/>
  <c r="BR23" i="2"/>
  <c r="BS23" s="1"/>
  <c r="F34" i="13"/>
  <c r="E14"/>
  <c r="F14"/>
  <c r="F20" i="16"/>
  <c r="E20"/>
  <c r="E29" i="17"/>
  <c r="F29"/>
  <c r="D25"/>
  <c r="E61" i="19"/>
  <c r="DY29" i="2"/>
  <c r="EA29" s="1"/>
  <c r="E88" i="3"/>
  <c r="C143"/>
  <c r="F88"/>
  <c r="EK18" i="2"/>
  <c r="E80" i="8"/>
  <c r="C25"/>
  <c r="F26"/>
  <c r="E42" i="3"/>
  <c r="G16" i="1"/>
  <c r="F42" i="3"/>
  <c r="E66" i="9"/>
  <c r="EC19" i="2"/>
  <c r="F66" i="9"/>
  <c r="E66" i="11"/>
  <c r="F66"/>
  <c r="EC21" i="2"/>
  <c r="E76" i="4"/>
  <c r="EK14" i="2"/>
  <c r="F76" i="4"/>
  <c r="C71" i="15"/>
  <c r="C97" s="1"/>
  <c r="E74"/>
  <c r="C70" i="16"/>
  <c r="F71"/>
  <c r="E71"/>
  <c r="C81" i="17"/>
  <c r="E81" s="1"/>
  <c r="F82"/>
  <c r="E82"/>
  <c r="E77" i="18"/>
  <c r="C73"/>
  <c r="F77"/>
  <c r="E64"/>
  <c r="C57"/>
  <c r="F64"/>
  <c r="C73" i="19"/>
  <c r="F76"/>
  <c r="H11" i="1"/>
  <c r="D101" i="6"/>
  <c r="F91" i="9"/>
  <c r="E88" i="10"/>
  <c r="EV23" i="2"/>
  <c r="F65" i="5"/>
  <c r="E32" i="18"/>
  <c r="CK18" i="2"/>
  <c r="E27" i="3"/>
  <c r="G13" i="1"/>
  <c r="F27" i="3"/>
  <c r="BF14" i="2"/>
  <c r="E31" i="4"/>
  <c r="D25"/>
  <c r="E5" i="5"/>
  <c r="F5"/>
  <c r="ET16" i="2"/>
  <c r="E97" i="6"/>
  <c r="E14"/>
  <c r="D4"/>
  <c r="F14"/>
  <c r="EQ19" i="2"/>
  <c r="E91" i="9"/>
  <c r="EE19" i="2"/>
  <c r="C101" i="9"/>
  <c r="F94" i="10"/>
  <c r="EU20" i="2"/>
  <c r="E94" i="10"/>
  <c r="E56"/>
  <c r="F36" i="11"/>
  <c r="BQ21" i="2"/>
  <c r="BS21" s="1"/>
  <c r="E36" i="11"/>
  <c r="E37" i="15"/>
  <c r="BQ25" i="2"/>
  <c r="F37" i="15"/>
  <c r="EB28" i="2"/>
  <c r="F67" i="18"/>
  <c r="ET29" i="2"/>
  <c r="EV29" s="1"/>
  <c r="F90" i="19"/>
  <c r="F35" i="1"/>
  <c r="E115" i="3"/>
  <c r="F115"/>
  <c r="F121"/>
  <c r="E121"/>
  <c r="E12" i="11"/>
  <c r="F12"/>
  <c r="CQ21" i="2"/>
  <c r="E21" i="3"/>
  <c r="F21"/>
  <c r="EE15" i="2"/>
  <c r="F72" i="5"/>
  <c r="D98" i="17"/>
  <c r="E65"/>
  <c r="F65"/>
  <c r="F75" i="16"/>
  <c r="E75"/>
  <c r="EI26" i="2"/>
  <c r="E53" i="19"/>
  <c r="D94"/>
  <c r="F53"/>
  <c r="E82" i="18"/>
  <c r="EL28" i="2"/>
  <c r="EM28" s="1"/>
  <c r="F82" i="18"/>
  <c r="F39" i="4"/>
  <c r="E76" i="6"/>
  <c r="C73"/>
  <c r="F76"/>
  <c r="E72" i="7"/>
  <c r="F72"/>
  <c r="F78"/>
  <c r="C75"/>
  <c r="CR31" i="2"/>
  <c r="CT19"/>
  <c r="F72" i="17"/>
  <c r="CN28" i="2"/>
  <c r="F50" i="3"/>
  <c r="F31" i="8"/>
  <c r="E17" i="9"/>
  <c r="F31" i="11"/>
  <c r="F88" i="12"/>
  <c r="C95" i="13"/>
  <c r="F87" i="14"/>
  <c r="C25"/>
  <c r="E14" i="16"/>
  <c r="D101" i="9"/>
  <c r="ES22" i="2"/>
  <c r="DK16"/>
  <c r="DX16"/>
  <c r="F19" i="1"/>
  <c r="E50" i="3"/>
  <c r="E12"/>
  <c r="F7" i="1"/>
  <c r="EH15" i="2"/>
  <c r="F77" i="5"/>
  <c r="E77"/>
  <c r="E14" i="7"/>
  <c r="F14"/>
  <c r="AY18" i="2"/>
  <c r="F29" i="8"/>
  <c r="E29"/>
  <c r="E81" i="9"/>
  <c r="F81"/>
  <c r="EL19" i="2"/>
  <c r="F12" i="10"/>
  <c r="C4"/>
  <c r="F64" i="11"/>
  <c r="E64"/>
  <c r="E20"/>
  <c r="F20"/>
  <c r="E5"/>
  <c r="F5"/>
  <c r="F17" i="12"/>
  <c r="C4"/>
  <c r="E17"/>
  <c r="F80" i="13"/>
  <c r="EO23" i="2"/>
  <c r="EP23" s="1"/>
  <c r="E80" i="13"/>
  <c r="EE23" i="2"/>
  <c r="F69" i="13"/>
  <c r="F56" i="14"/>
  <c r="E56"/>
  <c r="E12"/>
  <c r="D4"/>
  <c r="EL27" i="2"/>
  <c r="D4" i="17"/>
  <c r="F14"/>
  <c r="E14"/>
  <c r="F30" i="18"/>
  <c r="E30"/>
  <c r="C25"/>
  <c r="E14" i="19"/>
  <c r="F14"/>
  <c r="F71" i="9"/>
  <c r="EF19" i="2"/>
  <c r="E52" i="4"/>
  <c r="F52"/>
  <c r="DK20" i="2"/>
  <c r="DR20"/>
  <c r="DO14"/>
  <c r="DK14"/>
  <c r="F35" i="12"/>
  <c r="E35"/>
  <c r="E38" i="13"/>
  <c r="F38"/>
  <c r="E7" i="5"/>
  <c r="F7"/>
  <c r="EB27" i="2"/>
  <c r="F67" i="17"/>
  <c r="E13" i="7"/>
  <c r="Y17" i="2"/>
  <c r="F13" i="7"/>
  <c r="Y19" i="2"/>
  <c r="G19" s="1"/>
  <c r="E13" i="9"/>
  <c r="D12"/>
  <c r="F94" i="8"/>
  <c r="CE23" i="2"/>
  <c r="K22"/>
  <c r="F22"/>
  <c r="E17" i="5"/>
  <c r="F17"/>
  <c r="E63" i="7"/>
  <c r="F63"/>
  <c r="F83" i="8"/>
  <c r="E83"/>
  <c r="EO18" i="2"/>
  <c r="E29" i="9"/>
  <c r="F29"/>
  <c r="EF20" i="2"/>
  <c r="F14" i="12"/>
  <c r="D4"/>
  <c r="E29" i="13"/>
  <c r="F29"/>
  <c r="E93" i="14"/>
  <c r="F93"/>
  <c r="ET24" i="2"/>
  <c r="EV24" s="1"/>
  <c r="E14" i="14"/>
  <c r="F14"/>
  <c r="E83" i="17"/>
  <c r="EN27" i="2"/>
  <c r="EP27" s="1"/>
  <c r="E78" i="18"/>
  <c r="EH28" i="2"/>
  <c r="EJ28" s="1"/>
  <c r="F78" i="18"/>
  <c r="E79" i="19"/>
  <c r="F79"/>
  <c r="EB29" i="2"/>
  <c r="ED29" s="1"/>
  <c r="E63" i="19"/>
  <c r="F63"/>
  <c r="C4"/>
  <c r="F5"/>
  <c r="F64" i="10"/>
  <c r="EF17" i="2"/>
  <c r="EC14"/>
  <c r="F62" i="4"/>
  <c r="E62"/>
  <c r="CI31" i="2"/>
  <c r="CK16"/>
  <c r="CW14"/>
  <c r="CV31"/>
  <c r="F73" i="10"/>
  <c r="C71"/>
  <c r="EE20" i="2" s="1"/>
  <c r="F72" i="11"/>
  <c r="C71"/>
  <c r="C80"/>
  <c r="E81"/>
  <c r="E70" i="13"/>
  <c r="F70"/>
  <c r="C71" i="14"/>
  <c r="F74"/>
  <c r="F97" i="9"/>
  <c r="D25" i="7"/>
  <c r="BA21" i="2"/>
  <c r="BA15"/>
  <c r="EM23"/>
  <c r="EP28"/>
  <c r="CK26"/>
  <c r="DO25"/>
  <c r="EA24"/>
  <c r="DR21"/>
  <c r="AL21"/>
  <c r="DX20"/>
  <c r="K20"/>
  <c r="AF19"/>
  <c r="AF18"/>
  <c r="N18"/>
  <c r="CN17"/>
  <c r="Q17"/>
  <c r="AR26"/>
  <c r="H29" i="1"/>
  <c r="DJ29" i="2"/>
  <c r="CH29"/>
  <c r="N29"/>
  <c r="DU28"/>
  <c r="DU27"/>
  <c r="DO27"/>
  <c r="AC27"/>
  <c r="DR26"/>
  <c r="BG26"/>
  <c r="DR25"/>
  <c r="BG25"/>
  <c r="T25"/>
  <c r="CN25"/>
  <c r="ED24"/>
  <c r="EJ23"/>
  <c r="Q23"/>
  <c r="EV22"/>
  <c r="DU22"/>
  <c r="AI22"/>
  <c r="AC20"/>
  <c r="CE19"/>
  <c r="T19"/>
  <c r="U31"/>
  <c r="U35" s="1"/>
  <c r="CH17"/>
  <c r="BG17"/>
  <c r="W17"/>
  <c r="DO16"/>
  <c r="W14"/>
  <c r="Q14"/>
  <c r="BS20"/>
  <c r="H17" i="1"/>
  <c r="DX29" i="2"/>
  <c r="CE29"/>
  <c r="DK28"/>
  <c r="CH28"/>
  <c r="T28"/>
  <c r="Q28"/>
  <c r="EJ27"/>
  <c r="DR27"/>
  <c r="DU26"/>
  <c r="CH26"/>
  <c r="BG24"/>
  <c r="DX22"/>
  <c r="ES21"/>
  <c r="DO21"/>
  <c r="CH21"/>
  <c r="CE21"/>
  <c r="BG20"/>
  <c r="T20"/>
  <c r="DR19"/>
  <c r="W19"/>
  <c r="CQ18"/>
  <c r="DJ17"/>
  <c r="CD31"/>
  <c r="CD33" s="1"/>
  <c r="BG16"/>
  <c r="EA14"/>
  <c r="DU14"/>
  <c r="N14"/>
  <c r="AR15"/>
  <c r="CT26"/>
  <c r="AR27"/>
  <c r="E11" i="1"/>
  <c r="BH33" i="2"/>
  <c r="BH35"/>
  <c r="BJ31"/>
  <c r="DE35"/>
  <c r="DE33"/>
  <c r="DJ28"/>
  <c r="DJ27"/>
  <c r="DW31"/>
  <c r="AH31"/>
  <c r="EG18"/>
  <c r="DK27"/>
  <c r="DJ21"/>
  <c r="C40" i="5" l="1"/>
  <c r="C52" s="1"/>
  <c r="C53" s="1"/>
  <c r="X33" i="2"/>
  <c r="X35"/>
  <c r="D40" i="18"/>
  <c r="D52" s="1"/>
  <c r="D53" s="1"/>
  <c r="J33" i="2"/>
  <c r="J35"/>
  <c r="BS15"/>
  <c r="G15"/>
  <c r="D15" s="1"/>
  <c r="CB29"/>
  <c r="D37" i="19"/>
  <c r="D48" s="1"/>
  <c r="D49" s="1"/>
  <c r="E25" i="15"/>
  <c r="ED26" i="2"/>
  <c r="BN31"/>
  <c r="I20" i="1" s="1"/>
  <c r="C20" s="1"/>
  <c r="E25" i="5"/>
  <c r="E4" i="13"/>
  <c r="CZ35" i="2"/>
  <c r="C25" i="16"/>
  <c r="E25" s="1"/>
  <c r="BS26" i="2"/>
  <c r="F4" i="16"/>
  <c r="E36"/>
  <c r="F36"/>
  <c r="E4" i="10"/>
  <c r="D39"/>
  <c r="D51" s="1"/>
  <c r="F17" i="2"/>
  <c r="C17" s="1"/>
  <c r="BP15"/>
  <c r="CB18"/>
  <c r="CB23"/>
  <c r="E4" i="16"/>
  <c r="C40" i="14"/>
  <c r="C51" s="1"/>
  <c r="F4" i="13"/>
  <c r="E25" i="12"/>
  <c r="E70" i="7"/>
  <c r="C40" i="6"/>
  <c r="C52" s="1"/>
  <c r="G16" i="2"/>
  <c r="D16" s="1"/>
  <c r="BO31"/>
  <c r="BO35" s="1"/>
  <c r="E4" i="5"/>
  <c r="F4" i="4"/>
  <c r="D37"/>
  <c r="D47" s="1"/>
  <c r="DG20" i="2"/>
  <c r="DL23"/>
  <c r="DL19"/>
  <c r="BM31"/>
  <c r="BM33" s="1"/>
  <c r="DY31"/>
  <c r="I30" i="1" s="1"/>
  <c r="C30" s="1"/>
  <c r="ES26" i="2"/>
  <c r="D40" i="14"/>
  <c r="AL31" i="2"/>
  <c r="DL24"/>
  <c r="H20"/>
  <c r="C19"/>
  <c r="BL35"/>
  <c r="F97" i="8"/>
  <c r="CB16" i="2"/>
  <c r="DG14"/>
  <c r="H31" i="1"/>
  <c r="BK35" i="2"/>
  <c r="C16"/>
  <c r="CB19"/>
  <c r="C28"/>
  <c r="AZ31"/>
  <c r="J17" i="1" s="1"/>
  <c r="D17" s="1"/>
  <c r="E4" i="11"/>
  <c r="F25" i="9"/>
  <c r="F70" i="7"/>
  <c r="E25" i="6"/>
  <c r="F4" i="5"/>
  <c r="C23" i="2"/>
  <c r="E25" i="19"/>
  <c r="DL29" i="2"/>
  <c r="C37" i="17"/>
  <c r="C52" s="1"/>
  <c r="DL26" i="2"/>
  <c r="BA25"/>
  <c r="F25" i="15"/>
  <c r="DH22" i="2"/>
  <c r="F25" i="12"/>
  <c r="F4" i="11"/>
  <c r="AJ33" i="2"/>
  <c r="I13" i="1"/>
  <c r="C13" s="1"/>
  <c r="F100" i="5"/>
  <c r="E4" i="4"/>
  <c r="F93"/>
  <c r="CB26" i="2"/>
  <c r="DL18"/>
  <c r="DL15"/>
  <c r="F25" i="19"/>
  <c r="BG29" i="2"/>
  <c r="C26"/>
  <c r="DH25"/>
  <c r="CB25"/>
  <c r="O33"/>
  <c r="F24"/>
  <c r="C24" s="1"/>
  <c r="CB24"/>
  <c r="G22"/>
  <c r="H22" s="1"/>
  <c r="C40" i="12"/>
  <c r="C51" s="1"/>
  <c r="C52" s="1"/>
  <c r="C39" i="11"/>
  <c r="C51" s="1"/>
  <c r="CF33" i="2"/>
  <c r="CB17"/>
  <c r="C39" i="7"/>
  <c r="C50" s="1"/>
  <c r="DL17" i="2"/>
  <c r="F25" i="6"/>
  <c r="AO31" i="2"/>
  <c r="AO33" s="1"/>
  <c r="AD33"/>
  <c r="AN35"/>
  <c r="V33"/>
  <c r="CL35"/>
  <c r="E100" i="5"/>
  <c r="ER33" i="2"/>
  <c r="C15"/>
  <c r="AA33"/>
  <c r="I6" i="1"/>
  <c r="C6" s="1"/>
  <c r="C37" i="4"/>
  <c r="C47" s="1"/>
  <c r="E93"/>
  <c r="AG35" i="2"/>
  <c r="I8" i="1"/>
  <c r="C8" s="1"/>
  <c r="DH15" i="2"/>
  <c r="CB20"/>
  <c r="C22"/>
  <c r="CB14"/>
  <c r="AG33"/>
  <c r="D28"/>
  <c r="H28"/>
  <c r="CB27"/>
  <c r="F4" i="15"/>
  <c r="CO33" i="2"/>
  <c r="DT35"/>
  <c r="CB28"/>
  <c r="E89" i="18"/>
  <c r="BZ31" i="2"/>
  <c r="BZ35" s="1"/>
  <c r="DU31"/>
  <c r="DU33" s="1"/>
  <c r="I33"/>
  <c r="D27"/>
  <c r="DO31"/>
  <c r="CQ31"/>
  <c r="CP33"/>
  <c r="DS33"/>
  <c r="CC33"/>
  <c r="I5" i="1"/>
  <c r="C5" s="1"/>
  <c r="L33" i="2"/>
  <c r="N31"/>
  <c r="DQ35"/>
  <c r="G4" i="1"/>
  <c r="G26" i="2"/>
  <c r="D26" s="1"/>
  <c r="AQ35"/>
  <c r="D72" i="3"/>
  <c r="F4"/>
  <c r="AF31" i="2"/>
  <c r="AE33"/>
  <c r="J10" i="1"/>
  <c r="D10" s="1"/>
  <c r="E10" s="1"/>
  <c r="DR31" i="2"/>
  <c r="DR33" s="1"/>
  <c r="E4" i="15"/>
  <c r="D40"/>
  <c r="D51" s="1"/>
  <c r="DP33" i="2"/>
  <c r="DL25"/>
  <c r="D29"/>
  <c r="EX29" s="1"/>
  <c r="J25" i="1"/>
  <c r="D25" s="1"/>
  <c r="CS35" i="2"/>
  <c r="CS33"/>
  <c r="M35"/>
  <c r="AM33"/>
  <c r="DH16"/>
  <c r="ED28"/>
  <c r="F25" i="10"/>
  <c r="D25" i="2"/>
  <c r="DN33"/>
  <c r="AD35"/>
  <c r="AP31"/>
  <c r="I15" i="1" s="1"/>
  <c r="C15" s="1"/>
  <c r="H34"/>
  <c r="D34"/>
  <c r="E34" s="1"/>
  <c r="K31" i="2"/>
  <c r="BQ31"/>
  <c r="BQ33" s="1"/>
  <c r="DG18"/>
  <c r="D39" i="11"/>
  <c r="D51" s="1"/>
  <c r="DG23" i="2"/>
  <c r="J5" i="1"/>
  <c r="D5" s="1"/>
  <c r="C37" i="13"/>
  <c r="C49" s="1"/>
  <c r="C50" s="1"/>
  <c r="DM33" i="2"/>
  <c r="E97" i="8"/>
  <c r="F29" i="2"/>
  <c r="C29" s="1"/>
  <c r="D20"/>
  <c r="P35"/>
  <c r="Q31"/>
  <c r="R33"/>
  <c r="D24"/>
  <c r="I7" i="1"/>
  <c r="E25" i="9"/>
  <c r="ER35" i="2"/>
  <c r="EM18"/>
  <c r="C20"/>
  <c r="CJ33"/>
  <c r="AS33"/>
  <c r="C14"/>
  <c r="J6" i="1"/>
  <c r="D6" s="1"/>
  <c r="CM33" i="2"/>
  <c r="DV35"/>
  <c r="Z19"/>
  <c r="DG22"/>
  <c r="DL16"/>
  <c r="U33"/>
  <c r="DH28"/>
  <c r="EN31"/>
  <c r="EN33" s="1"/>
  <c r="BS28"/>
  <c r="C40" i="15"/>
  <c r="DL22" i="2"/>
  <c r="EG19"/>
  <c r="D40" i="5"/>
  <c r="E143" i="3"/>
  <c r="S35" i="2"/>
  <c r="T31"/>
  <c r="F98" i="12"/>
  <c r="E98"/>
  <c r="CH31" i="2"/>
  <c r="DK31"/>
  <c r="DK33" s="1"/>
  <c r="CG33"/>
  <c r="AK35"/>
  <c r="J13" i="1"/>
  <c r="D13" s="1"/>
  <c r="AK33" i="2"/>
  <c r="AX33"/>
  <c r="AX35"/>
  <c r="F25" i="5"/>
  <c r="CN31" i="2"/>
  <c r="C40" i="18"/>
  <c r="AC31" i="2"/>
  <c r="J8" i="1"/>
  <c r="AB35" i="2"/>
  <c r="W31"/>
  <c r="CE31"/>
  <c r="AU18"/>
  <c r="AT31"/>
  <c r="D18"/>
  <c r="DH20"/>
  <c r="DB33"/>
  <c r="DC31"/>
  <c r="DB35"/>
  <c r="CB15"/>
  <c r="F4" i="18"/>
  <c r="E4"/>
  <c r="DZ35" i="2"/>
  <c r="DZ33"/>
  <c r="J30" i="1"/>
  <c r="D30" s="1"/>
  <c r="DL28" i="2"/>
  <c r="E25" i="18"/>
  <c r="E25" i="10"/>
  <c r="C39" i="9"/>
  <c r="BE33" i="2"/>
  <c r="I18" i="1"/>
  <c r="C18" s="1"/>
  <c r="BE35" i="2"/>
  <c r="CD35"/>
  <c r="E71" i="10"/>
  <c r="F21" i="2"/>
  <c r="C27"/>
  <c r="H27"/>
  <c r="EE24"/>
  <c r="E71" i="14"/>
  <c r="F71"/>
  <c r="C97"/>
  <c r="EK21" i="2"/>
  <c r="EM21" s="1"/>
  <c r="F80" i="11"/>
  <c r="E80"/>
  <c r="DH14" i="2"/>
  <c r="DL14"/>
  <c r="EE16"/>
  <c r="C101" i="6"/>
  <c r="E73"/>
  <c r="EV16" i="2"/>
  <c r="ET31"/>
  <c r="F73" i="18"/>
  <c r="E73"/>
  <c r="EE28" i="2"/>
  <c r="EG28" s="1"/>
  <c r="F25" i="7"/>
  <c r="E25"/>
  <c r="F71" i="11"/>
  <c r="E71"/>
  <c r="EE21" i="2"/>
  <c r="EG21" s="1"/>
  <c r="C97" i="11"/>
  <c r="CV33" i="2"/>
  <c r="CW31"/>
  <c r="CV35"/>
  <c r="E4" i="12"/>
  <c r="D40"/>
  <c r="F4"/>
  <c r="F12" i="9"/>
  <c r="E12"/>
  <c r="D4"/>
  <c r="Y31" i="2"/>
  <c r="G17"/>
  <c r="Z17"/>
  <c r="F4" i="10"/>
  <c r="C39"/>
  <c r="EJ15" i="2"/>
  <c r="C19" i="1"/>
  <c r="F14"/>
  <c r="EG15" i="2"/>
  <c r="DG15"/>
  <c r="E4" i="6"/>
  <c r="D40"/>
  <c r="F4"/>
  <c r="G14" i="2"/>
  <c r="BG14"/>
  <c r="BF31"/>
  <c r="F57" i="18"/>
  <c r="E57"/>
  <c r="C99"/>
  <c r="EE25" i="2"/>
  <c r="E71" i="15"/>
  <c r="F71"/>
  <c r="ED21" i="2"/>
  <c r="DH21"/>
  <c r="ED19"/>
  <c r="DH19"/>
  <c r="E25" i="11"/>
  <c r="F25"/>
  <c r="EJ20" i="2"/>
  <c r="EI31"/>
  <c r="EI35" s="1"/>
  <c r="EG23"/>
  <c r="EG20"/>
  <c r="F95" i="13"/>
  <c r="EB31" i="2"/>
  <c r="EB35" s="1"/>
  <c r="DG19"/>
  <c r="ED27"/>
  <c r="CI35"/>
  <c r="CI33"/>
  <c r="CK31"/>
  <c r="DH17"/>
  <c r="EG17"/>
  <c r="EF31"/>
  <c r="EF35" s="1"/>
  <c r="EO31"/>
  <c r="EP18"/>
  <c r="BA18"/>
  <c r="AY31"/>
  <c r="F18"/>
  <c r="C35" i="1"/>
  <c r="E35" s="1"/>
  <c r="F28"/>
  <c r="H35"/>
  <c r="F4"/>
  <c r="H5"/>
  <c r="F32" i="3"/>
  <c r="E32"/>
  <c r="ED14" i="2"/>
  <c r="EC31"/>
  <c r="EC35" s="1"/>
  <c r="D19"/>
  <c r="H19"/>
  <c r="D4" i="7"/>
  <c r="F12"/>
  <c r="E12"/>
  <c r="D37" i="17"/>
  <c r="F4"/>
  <c r="E4"/>
  <c r="E4" i="14"/>
  <c r="F4"/>
  <c r="EM19" i="2"/>
  <c r="EL31"/>
  <c r="F101" i="9"/>
  <c r="E101"/>
  <c r="E75" i="7"/>
  <c r="F75"/>
  <c r="C96"/>
  <c r="EH17" i="2"/>
  <c r="EJ17" s="1"/>
  <c r="ES19"/>
  <c r="EQ31"/>
  <c r="F25" i="4"/>
  <c r="E25"/>
  <c r="F73" i="19"/>
  <c r="EH29" i="2"/>
  <c r="E73" i="19"/>
  <c r="C94"/>
  <c r="F94" s="1"/>
  <c r="EE26" i="2"/>
  <c r="F70" i="16"/>
  <c r="C96"/>
  <c r="E70"/>
  <c r="EM14" i="2"/>
  <c r="E25" i="8"/>
  <c r="F25"/>
  <c r="F25" i="17"/>
  <c r="E25"/>
  <c r="G23" i="2"/>
  <c r="BR31"/>
  <c r="D39" i="8"/>
  <c r="F4"/>
  <c r="E4"/>
  <c r="D39" i="1"/>
  <c r="H39"/>
  <c r="G28"/>
  <c r="E95" i="13"/>
  <c r="F71" i="10"/>
  <c r="C98"/>
  <c r="E98" s="1"/>
  <c r="F25" i="18"/>
  <c r="DL20" i="2"/>
  <c r="C72" i="3"/>
  <c r="C39" i="8"/>
  <c r="C51" s="1"/>
  <c r="C52" s="1"/>
  <c r="F143" i="3"/>
  <c r="E4"/>
  <c r="D37" i="13"/>
  <c r="F25"/>
  <c r="E25"/>
  <c r="CB21" i="2"/>
  <c r="D21"/>
  <c r="EK27"/>
  <c r="DG27" s="1"/>
  <c r="C98" i="17"/>
  <c r="D16" i="1"/>
  <c r="E16" s="1"/>
  <c r="G14"/>
  <c r="H16"/>
  <c r="E4" i="19"/>
  <c r="C37"/>
  <c r="C48" s="1"/>
  <c r="F4"/>
  <c r="H7" i="1"/>
  <c r="F25" i="14"/>
  <c r="E25"/>
  <c r="I25" i="1"/>
  <c r="CR33" i="2"/>
  <c r="CR35"/>
  <c r="CT31"/>
  <c r="E38" i="4"/>
  <c r="F38"/>
  <c r="EJ26" i="2"/>
  <c r="DH26"/>
  <c r="F25"/>
  <c r="BS25"/>
  <c r="EV20"/>
  <c r="EU31"/>
  <c r="BB35"/>
  <c r="BB33"/>
  <c r="BD31"/>
  <c r="F73" i="6"/>
  <c r="F81" i="17"/>
  <c r="DH23" i="2"/>
  <c r="DH18"/>
  <c r="DL21"/>
  <c r="CB22"/>
  <c r="CA31"/>
  <c r="BJ33"/>
  <c r="BJ35"/>
  <c r="DX31"/>
  <c r="DW35"/>
  <c r="DW33"/>
  <c r="DH27"/>
  <c r="DL27"/>
  <c r="AH33"/>
  <c r="J12" i="1"/>
  <c r="AI31" i="2"/>
  <c r="AH35"/>
  <c r="DJ31"/>
  <c r="D83" i="3" l="1"/>
  <c r="D84" s="1"/>
  <c r="D52" i="15"/>
  <c r="D52" i="11"/>
  <c r="D52" i="10"/>
  <c r="C51" i="9"/>
  <c r="C52" s="1"/>
  <c r="W33" i="2"/>
  <c r="D28" i="1"/>
  <c r="C53" i="17"/>
  <c r="EW23" i="2"/>
  <c r="DG28"/>
  <c r="EW28" s="1"/>
  <c r="F25" i="16"/>
  <c r="BN35" i="2"/>
  <c r="BN33"/>
  <c r="E16"/>
  <c r="EX25"/>
  <c r="E28"/>
  <c r="C39" i="16"/>
  <c r="C50" s="1"/>
  <c r="E50" s="1"/>
  <c r="BM35" i="2"/>
  <c r="EW20"/>
  <c r="J20" i="1"/>
  <c r="D20" s="1"/>
  <c r="E20" s="1"/>
  <c r="BO33" i="2"/>
  <c r="C53" i="6"/>
  <c r="BP31" i="2"/>
  <c r="DY35"/>
  <c r="H16"/>
  <c r="DI14"/>
  <c r="EW19"/>
  <c r="EA31"/>
  <c r="DY33"/>
  <c r="DG21"/>
  <c r="AZ35"/>
  <c r="EW14"/>
  <c r="AZ33"/>
  <c r="EW22"/>
  <c r="C51" i="7"/>
  <c r="F101" i="6"/>
  <c r="H15" i="2"/>
  <c r="EX16"/>
  <c r="E26"/>
  <c r="H26"/>
  <c r="H24"/>
  <c r="E24"/>
  <c r="D22"/>
  <c r="E22" s="1"/>
  <c r="F39" i="11"/>
  <c r="E6" i="1"/>
  <c r="E37" i="4"/>
  <c r="F37"/>
  <c r="I21" i="1"/>
  <c r="C21" s="1"/>
  <c r="I24"/>
  <c r="I4"/>
  <c r="E27" i="2"/>
  <c r="EX20"/>
  <c r="K8" i="1"/>
  <c r="DI23" i="2"/>
  <c r="D8" i="1"/>
  <c r="E8" s="1"/>
  <c r="EX28" i="2"/>
  <c r="BQ35"/>
  <c r="F40" i="18"/>
  <c r="K5" i="1"/>
  <c r="BZ33" i="2"/>
  <c r="DK35"/>
  <c r="C7" i="1"/>
  <c r="C4" s="1"/>
  <c r="EW27" i="2"/>
  <c r="J29" i="1"/>
  <c r="D51" i="16"/>
  <c r="K10" i="1"/>
  <c r="H14"/>
  <c r="AP33" i="2"/>
  <c r="AR31"/>
  <c r="AP35"/>
  <c r="H29"/>
  <c r="EN35"/>
  <c r="EX24"/>
  <c r="E29"/>
  <c r="EX18"/>
  <c r="I37" i="1"/>
  <c r="E39" i="11"/>
  <c r="E101" i="6"/>
  <c r="E40" i="18"/>
  <c r="C52"/>
  <c r="C53" s="1"/>
  <c r="C48" i="4"/>
  <c r="E20" i="2"/>
  <c r="K6" i="1"/>
  <c r="DI20" i="2"/>
  <c r="DI22"/>
  <c r="C51" i="15"/>
  <c r="C52" s="1"/>
  <c r="F40"/>
  <c r="E40"/>
  <c r="D52" i="5"/>
  <c r="E40"/>
  <c r="F40"/>
  <c r="E96" i="7"/>
  <c r="K30" i="1"/>
  <c r="DI21" i="2"/>
  <c r="EX21"/>
  <c r="F96" i="7"/>
  <c r="DC35" i="2"/>
  <c r="DC33"/>
  <c r="AT35"/>
  <c r="AT33"/>
  <c r="J15" i="1"/>
  <c r="AU31" i="2"/>
  <c r="H28" i="1"/>
  <c r="EK31" i="2"/>
  <c r="EM31" s="1"/>
  <c r="E94" i="19"/>
  <c r="DG17" i="2"/>
  <c r="EW17" s="1"/>
  <c r="EM27"/>
  <c r="H21"/>
  <c r="C21"/>
  <c r="E21" s="1"/>
  <c r="F37" i="13"/>
  <c r="D49"/>
  <c r="E37"/>
  <c r="C83" i="3"/>
  <c r="F72"/>
  <c r="E72"/>
  <c r="H23" i="2"/>
  <c r="D23"/>
  <c r="F96" i="16"/>
  <c r="E96"/>
  <c r="E4" i="7"/>
  <c r="D39"/>
  <c r="F4"/>
  <c r="H4" i="1"/>
  <c r="F23"/>
  <c r="F27" s="1"/>
  <c r="F43" s="1"/>
  <c r="EI33" i="2"/>
  <c r="J33" i="1"/>
  <c r="F97" i="15"/>
  <c r="E97"/>
  <c r="F99" i="18"/>
  <c r="E99"/>
  <c r="D17" i="2"/>
  <c r="H17"/>
  <c r="ET33"/>
  <c r="ET35"/>
  <c r="I41" i="1"/>
  <c r="DG16" i="2"/>
  <c r="EG16"/>
  <c r="EE31"/>
  <c r="EE35" s="1"/>
  <c r="E97" i="14"/>
  <c r="F97"/>
  <c r="F47" i="4"/>
  <c r="E47"/>
  <c r="D48"/>
  <c r="BD35" i="2"/>
  <c r="BD33"/>
  <c r="E37" i="19"/>
  <c r="F37"/>
  <c r="E39" i="1"/>
  <c r="J21"/>
  <c r="D21" s="1"/>
  <c r="BR33" i="2"/>
  <c r="BR35"/>
  <c r="BS31"/>
  <c r="EQ35"/>
  <c r="EQ33"/>
  <c r="I38" i="1"/>
  <c r="K38" s="1"/>
  <c r="ES31" i="2"/>
  <c r="EC33"/>
  <c r="J31" i="1"/>
  <c r="ED31" i="2"/>
  <c r="BA31"/>
  <c r="AY35"/>
  <c r="AY33"/>
  <c r="I17" i="1"/>
  <c r="J32"/>
  <c r="EF33" i="2"/>
  <c r="I31" i="1"/>
  <c r="EB33" i="2"/>
  <c r="EG25"/>
  <c r="DG25"/>
  <c r="DI25" s="1"/>
  <c r="J18" i="1"/>
  <c r="BF33" i="2"/>
  <c r="BF35"/>
  <c r="BG31"/>
  <c r="BG33" s="1"/>
  <c r="E40" i="6"/>
  <c r="F40"/>
  <c r="D52"/>
  <c r="E15" i="2"/>
  <c r="EX15"/>
  <c r="E97" i="11"/>
  <c r="F97"/>
  <c r="EG24" i="2"/>
  <c r="DG24"/>
  <c r="DI19"/>
  <c r="F98" i="10"/>
  <c r="G23" i="1"/>
  <c r="E5"/>
  <c r="DI18" i="2"/>
  <c r="EH31"/>
  <c r="EH35" s="1"/>
  <c r="F51" i="11"/>
  <c r="C52"/>
  <c r="E51"/>
  <c r="J41" i="1"/>
  <c r="EU35" i="2"/>
  <c r="EV31"/>
  <c r="EU33"/>
  <c r="EX26"/>
  <c r="F39" i="8"/>
  <c r="D51"/>
  <c r="E39"/>
  <c r="DG26" i="2"/>
  <c r="EW26" s="1"/>
  <c r="EG26"/>
  <c r="EL35"/>
  <c r="J36" i="1"/>
  <c r="EL33" i="2"/>
  <c r="E19"/>
  <c r="EX19"/>
  <c r="C18"/>
  <c r="H18"/>
  <c r="F31"/>
  <c r="EO33"/>
  <c r="EO35"/>
  <c r="J37" i="1"/>
  <c r="EP31" i="2"/>
  <c r="E4" i="9"/>
  <c r="F4"/>
  <c r="D39"/>
  <c r="F40" i="12"/>
  <c r="D51"/>
  <c r="E40"/>
  <c r="E98" i="17"/>
  <c r="H25" i="2"/>
  <c r="C25"/>
  <c r="K25" i="1"/>
  <c r="C25"/>
  <c r="E25" s="1"/>
  <c r="EJ29" i="2"/>
  <c r="DG29"/>
  <c r="F40" i="14"/>
  <c r="D51"/>
  <c r="E40"/>
  <c r="D52" i="17"/>
  <c r="E37"/>
  <c r="F37"/>
  <c r="H14" i="2"/>
  <c r="G31"/>
  <c r="D14"/>
  <c r="EW15"/>
  <c r="DI15"/>
  <c r="C51" i="10"/>
  <c r="F39"/>
  <c r="E39"/>
  <c r="J7" i="1"/>
  <c r="J4" s="1"/>
  <c r="Y33" i="2"/>
  <c r="Z31"/>
  <c r="Y35"/>
  <c r="CW33"/>
  <c r="F98" i="17"/>
  <c r="C52" i="14"/>
  <c r="I29" i="1"/>
  <c r="DJ33" i="2"/>
  <c r="DJ35"/>
  <c r="EX27"/>
  <c r="DI27"/>
  <c r="E30" i="1"/>
  <c r="C28"/>
  <c r="K12"/>
  <c r="D12"/>
  <c r="DH31" i="2"/>
  <c r="DL31"/>
  <c r="CA35"/>
  <c r="CB31"/>
  <c r="J24" i="1"/>
  <c r="CA33" i="2"/>
  <c r="DI28" l="1"/>
  <c r="EY28"/>
  <c r="F50" i="16"/>
  <c r="C51"/>
  <c r="F39"/>
  <c r="E39"/>
  <c r="EY20" i="2"/>
  <c r="EY19"/>
  <c r="EX22"/>
  <c r="EY22" s="1"/>
  <c r="DI17"/>
  <c r="D31"/>
  <c r="D35" s="1"/>
  <c r="EY27"/>
  <c r="K29" i="1"/>
  <c r="EK33" i="2"/>
  <c r="E52" i="18"/>
  <c r="F52"/>
  <c r="D53" i="6"/>
  <c r="E51" i="15"/>
  <c r="F51"/>
  <c r="D53" i="5"/>
  <c r="E52"/>
  <c r="F52"/>
  <c r="EK35" i="2"/>
  <c r="I36" i="1"/>
  <c r="K36" s="1"/>
  <c r="K15"/>
  <c r="D15"/>
  <c r="E15" s="1"/>
  <c r="EY15" i="2"/>
  <c r="DI26"/>
  <c r="EW21"/>
  <c r="EY21" s="1"/>
  <c r="DG31"/>
  <c r="DI31" s="1"/>
  <c r="J28" i="1"/>
  <c r="C17"/>
  <c r="K17"/>
  <c r="I14"/>
  <c r="I32"/>
  <c r="K32" s="1"/>
  <c r="EE33" i="2"/>
  <c r="G33"/>
  <c r="G35"/>
  <c r="H31"/>
  <c r="EW29"/>
  <c r="EY29" s="1"/>
  <c r="DI29"/>
  <c r="F51" i="12"/>
  <c r="E51"/>
  <c r="D52"/>
  <c r="EX14" i="2"/>
  <c r="E14"/>
  <c r="E51" i="14"/>
  <c r="F51"/>
  <c r="D52"/>
  <c r="E39" i="9"/>
  <c r="D51"/>
  <c r="F39"/>
  <c r="E23" i="2"/>
  <c r="EX23"/>
  <c r="EY23" s="1"/>
  <c r="C84" i="3"/>
  <c r="E83"/>
  <c r="F83"/>
  <c r="EG31" i="2"/>
  <c r="K31" i="1"/>
  <c r="F39" i="7"/>
  <c r="D50"/>
  <c r="E39"/>
  <c r="I33" i="1"/>
  <c r="K33" s="1"/>
  <c r="EH33" i="2"/>
  <c r="EX17"/>
  <c r="EY17" s="1"/>
  <c r="E17"/>
  <c r="D50" i="13"/>
  <c r="E49"/>
  <c r="F49"/>
  <c r="D7" i="1"/>
  <c r="E7" s="1"/>
  <c r="K7"/>
  <c r="F33" i="2"/>
  <c r="F35"/>
  <c r="F51" i="8"/>
  <c r="D52"/>
  <c r="E51"/>
  <c r="E52" i="6"/>
  <c r="F52"/>
  <c r="C52" i="10"/>
  <c r="E51"/>
  <c r="F51"/>
  <c r="D53" i="17"/>
  <c r="F52"/>
  <c r="E52"/>
  <c r="EW25" i="2"/>
  <c r="EY25" s="1"/>
  <c r="E25"/>
  <c r="EW18"/>
  <c r="EY18" s="1"/>
  <c r="E18"/>
  <c r="C31"/>
  <c r="G27" i="1"/>
  <c r="H23"/>
  <c r="DI24" i="2"/>
  <c r="EW24"/>
  <c r="EY24" s="1"/>
  <c r="J14" i="1"/>
  <c r="J23" s="1"/>
  <c r="J27" s="1"/>
  <c r="K18"/>
  <c r="D18"/>
  <c r="E48" i="19"/>
  <c r="C49"/>
  <c r="F48"/>
  <c r="EW16" i="2"/>
  <c r="EY16" s="1"/>
  <c r="DI16"/>
  <c r="EY26"/>
  <c r="EJ31"/>
  <c r="K4" i="1"/>
  <c r="DH33" i="2"/>
  <c r="DH35"/>
  <c r="E28" i="1"/>
  <c r="E12"/>
  <c r="K24"/>
  <c r="E31" i="2" l="1"/>
  <c r="D33"/>
  <c r="DG35"/>
  <c r="I28" i="1"/>
  <c r="K28" s="1"/>
  <c r="DG33" i="2"/>
  <c r="EY14"/>
  <c r="EX31"/>
  <c r="D52" i="9"/>
  <c r="F51"/>
  <c r="E51"/>
  <c r="E18" i="1"/>
  <c r="D14"/>
  <c r="D4"/>
  <c r="E4" s="1"/>
  <c r="K14"/>
  <c r="I23"/>
  <c r="I27" s="1"/>
  <c r="G43"/>
  <c r="H27"/>
  <c r="F50" i="7"/>
  <c r="D51"/>
  <c r="E50"/>
  <c r="EW31" i="2"/>
  <c r="C33"/>
  <c r="C35"/>
  <c r="E17" i="1"/>
  <c r="C14"/>
  <c r="C23" s="1"/>
  <c r="C27" s="1"/>
  <c r="J43"/>
  <c r="C43" l="1"/>
  <c r="D23"/>
  <c r="D27" s="1"/>
  <c r="I43"/>
  <c r="F44" s="1"/>
  <c r="F45" s="1"/>
  <c r="E14"/>
  <c r="G44"/>
  <c r="EX33" i="2"/>
  <c r="EX35"/>
  <c r="EY31"/>
  <c r="EW35"/>
  <c r="EW33"/>
  <c r="K27" i="1"/>
  <c r="K23"/>
  <c r="E23" l="1"/>
  <c r="G45"/>
  <c r="C44"/>
  <c r="E27"/>
  <c r="D43"/>
  <c r="D44" s="1"/>
</calcChain>
</file>

<file path=xl/sharedStrings.xml><?xml version="1.0" encoding="utf-8"?>
<sst xmlns="http://schemas.openxmlformats.org/spreadsheetml/2006/main" count="2830" uniqueCount="437">
  <si>
    <t xml:space="preserve">                     Анализ исполнения райбюджета</t>
  </si>
  <si>
    <t>Коды бюджетной классификации РФ</t>
  </si>
  <si>
    <t>Наименование доходов</t>
  </si>
  <si>
    <t>% испол.</t>
  </si>
  <si>
    <t>отклон.</t>
  </si>
  <si>
    <t>НАЛОГОВЫЕ ДОХОДЫ</t>
  </si>
  <si>
    <t>НАЛОГИ НА ПРИБЫЛЬ</t>
  </si>
  <si>
    <t>НАЛОГИ НА СОВОКУПНЫЙ ДОХОД</t>
  </si>
  <si>
    <t>Земельный налог</t>
  </si>
  <si>
    <t>Налог на имущество физ.лиц</t>
  </si>
  <si>
    <t>НАЛОГИ, СБОРЫ И РЕГУЛЯРНЫЕ ПЛАТЕЖИ ЗА ПОЛЬЗОВАНИЕ ПРИРОДНЫМИ РЕСУРСАМИ</t>
  </si>
  <si>
    <t>ПРОЧИЕ НАЛОГИ, СБОРЫ И ПОШЛИНЫ</t>
  </si>
  <si>
    <t xml:space="preserve">   Государственная пошлина за государственную регистрацию, а также за совершение прочих юридически 
значимых действий</t>
  </si>
  <si>
    <t>НЕНАЛОГОВЫЕ ДОХОДЫ</t>
  </si>
  <si>
    <t xml:space="preserve">   Доходы от сдачи в аренду имущ.наход.</t>
  </si>
  <si>
    <t xml:space="preserve">  Доходы от оказания платных услуг</t>
  </si>
  <si>
    <t xml:space="preserve">Д. в. за соверш. преступл, и возмещение ущерба имущ. </t>
  </si>
  <si>
    <t>Денежные взыскания  (штрафы) за нарушения законодательства РФ о размещении заказов на поставки товаров, выполнение работ, оказание услуг</t>
  </si>
  <si>
    <t>Невыясненные поступления</t>
  </si>
  <si>
    <t>ИТОГО СОБСТВЕННЫХ ДОХОДОВ</t>
  </si>
  <si>
    <t>БЕЗВОЗДМЕЗДНЫЕ ПЕРЕЧИСЛЕНИЯ</t>
  </si>
  <si>
    <t>Дотация от бюджетов других уровней</t>
  </si>
  <si>
    <t>Субсидии бюджетам РФ</t>
  </si>
  <si>
    <t>Субвенции бюджетам РФ</t>
  </si>
  <si>
    <t>Иные межбюджетные трансферты</t>
  </si>
  <si>
    <t>Прочие безвозмездные поступления от других бюджетов 
бюджетной системы</t>
  </si>
  <si>
    <t>Возврат остатков субвенций и субсидий</t>
  </si>
  <si>
    <t>ДОХОДЫ ОТ ПРЕДПРИНИМАТЕЛЬСКОЙ И ИНОЙ ПРИН.</t>
  </si>
  <si>
    <t xml:space="preserve">  ВСЕГО ДОХОДОВ</t>
  </si>
  <si>
    <t>Наименование расходов</t>
  </si>
  <si>
    <t>0100</t>
  </si>
  <si>
    <t>ОБЩЕГОСУДАРСТВЕННЫЕ ВОПРОСЫ</t>
  </si>
  <si>
    <t>0103</t>
  </si>
  <si>
    <t>Функционирование представительных органов муниципальных образований</t>
  </si>
  <si>
    <t>0104</t>
  </si>
  <si>
    <t>Функционирование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</si>
  <si>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</si>
  <si>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</si>
  <si>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</si>
  <si>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надзора</t>
  </si>
  <si>
    <t>0107</t>
  </si>
  <si>
    <t>Выборы</t>
  </si>
  <si>
    <t>0111</t>
  </si>
  <si>
    <t xml:space="preserve">Резервные фонды                                                      </t>
  </si>
  <si>
    <t>0113</t>
  </si>
  <si>
    <t xml:space="preserve">Другие общегосударственные вопросы        </t>
  </si>
  <si>
    <t>0200</t>
  </si>
  <si>
    <t>НАЦИОНАЛЬНАЯ ОБОРОНА</t>
  </si>
  <si>
    <t>0203</t>
  </si>
  <si>
    <t xml:space="preserve">Мобилизационная и вневоинская подготовка  </t>
  </si>
  <si>
    <t>0300</t>
  </si>
  <si>
    <t>НАЦИОНАЛЬНАЯ БЕЗОПАСНОСТЬ</t>
  </si>
  <si>
    <t>0302</t>
  </si>
  <si>
    <t>Органы внутренних дел</t>
  </si>
  <si>
    <t>0304</t>
  </si>
  <si>
    <t>Органы юсиции</t>
  </si>
  <si>
    <t>0309</t>
  </si>
  <si>
    <t>Защита населения и территории от последствий ЧС</t>
  </si>
  <si>
    <t>0400</t>
  </si>
  <si>
    <t>НАЦИОНАЛЬНАЯ ЭКОНОМИКА</t>
  </si>
  <si>
    <t>0405</t>
  </si>
  <si>
    <t>Сельское хозяйство</t>
  </si>
  <si>
    <t>0406</t>
  </si>
  <si>
    <t>Водные ресурсы</t>
  </si>
  <si>
    <t>0409</t>
  </si>
  <si>
    <t>Дорожное хозяйство</t>
  </si>
  <si>
    <t>0412</t>
  </si>
  <si>
    <t>Другие вопросы в области национальной экономики</t>
  </si>
  <si>
    <t>0500</t>
  </si>
  <si>
    <t xml:space="preserve">ЖИЛИЩНО-КОММУНАЛЬНОЕ ХОЗЯЙСТВО              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</si>
  <si>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</si>
  <si>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</si>
  <si>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</si>
  <si>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</si>
  <si>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</si>
  <si>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</si>
  <si>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</si>
  <si>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</si>
  <si>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0603</t>
  </si>
  <si>
    <t>Охрана обьектов растительного и животного мира и среды их обитания</t>
  </si>
  <si>
    <t>0700</t>
  </si>
  <si>
    <t>ОБРАЗОВАНИЕ</t>
  </si>
  <si>
    <t>0701</t>
  </si>
  <si>
    <t>0702</t>
  </si>
  <si>
    <t>0707</t>
  </si>
  <si>
    <t>0709</t>
  </si>
  <si>
    <t>0800</t>
  </si>
  <si>
    <t xml:space="preserve">КУЛЬТУРА И КИНЕМАТОГРАФИЯ </t>
  </si>
  <si>
    <t>0801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</si>
  <si>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</si>
  <si>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</si>
  <si>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</si>
  <si>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</si>
  <si>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</si>
  <si>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</si>
  <si>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</si>
  <si>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</si>
  <si>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</si>
  <si>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 xml:space="preserve">Физическая культура </t>
  </si>
  <si>
    <t>1102</t>
  </si>
  <si>
    <t>Массовый спорт</t>
  </si>
  <si>
    <t>1103</t>
  </si>
  <si>
    <t>Спорт высших достижений</t>
  </si>
  <si>
    <t>1104</t>
  </si>
  <si>
    <t>Прикладные научные исследования в области физической культуры и спорта</t>
  </si>
  <si>
    <t>1105</t>
  </si>
  <si>
    <t>Другие вопросы в области физическая культуры и спорта</t>
  </si>
  <si>
    <t>1200</t>
  </si>
  <si>
    <t>СРЕДСТВА МАССОВОЙ ИНФОРМАЦИИ</t>
  </si>
  <si>
    <t>1202</t>
  </si>
  <si>
    <t>Периодическая печать и издательство</t>
  </si>
  <si>
    <t>1300</t>
  </si>
  <si>
    <t>ОБСЛУЖИВАНИЕ ГОСУДАРСТВЕННОГО И МУНИЦИПАЛЬНОГО ДОЛГА</t>
  </si>
  <si>
    <t>1301</t>
  </si>
  <si>
    <t>Обслуживание внутренноего государственного и муниципального долга</t>
  </si>
  <si>
    <t>МЕЖБЮДЖЕТНЫЕ ТРАНСФЕРТЫ</t>
  </si>
  <si>
    <t>Дотации на выравнивание бюджетной обеспеченности</t>
  </si>
  <si>
    <t>Иные дотации</t>
  </si>
  <si>
    <t xml:space="preserve">Прочие межбюджетные трансферты </t>
  </si>
  <si>
    <t xml:space="preserve">Итого расходов  </t>
  </si>
  <si>
    <t>Начальник финансового отдела</t>
  </si>
  <si>
    <t xml:space="preserve">администрации Моргаушского района </t>
  </si>
  <si>
    <t>Ананьева Р.И.</t>
  </si>
  <si>
    <t>Налог на имущество организаций</t>
  </si>
  <si>
    <t xml:space="preserve">   ЗАДОЛЖЕННОСТЬ И ПЕРЕРАСЧЕТЫ ПО ОТМЕНЕННЫМ НАЛОГАМ И СБОРАМ</t>
  </si>
  <si>
    <t>Налог на прибыль организаций, зачисл. до 1 янв. 2005г.</t>
  </si>
  <si>
    <t>Налоги на иммущество</t>
  </si>
  <si>
    <t>Прочие налоги и сборы (по отм. нал. и сборам РФ)</t>
  </si>
  <si>
    <t>Прочие налоги и сборы (по отм. местн. нал. и сборам  )</t>
  </si>
  <si>
    <t>ДОХОДЫ ОТ ИСПОЛЬЗОВАНИЯ ИМУЩЕСТВА, НАХОДЯЩЕГОСЯ В ГОСУД. И МУН. СОБСТВ.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</si>
  <si>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</si>
  <si>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</si>
  <si>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МАТ. И НЕМАТ. АКТИВОВ</t>
  </si>
  <si>
    <t xml:space="preserve">  Доходы от реализации имущества</t>
  </si>
  <si>
    <t xml:space="preserve"> ШТРАФЫ, САНКЦИИ, ВОЗМЕЩЕНИЕ УЩЕРБА</t>
  </si>
  <si>
    <t>ПРОЧИЕ НЕНАЛОГОВЫЕ ДОХОДЫ</t>
  </si>
  <si>
    <t>НАЛОГИ НА ИМУЩЕСТВО</t>
  </si>
  <si>
    <t>Приложение 3</t>
  </si>
  <si>
    <t>к письму Минфина Чувашии</t>
  </si>
  <si>
    <t>от 02.02.2007 №04-16/491</t>
  </si>
  <si>
    <t>С П Р А В К А</t>
  </si>
  <si>
    <t>№ п/п</t>
  </si>
  <si>
    <t>Наименование поселений</t>
  </si>
  <si>
    <t>Доходы -  всего (код дохода 00085000000000000000)</t>
  </si>
  <si>
    <t>в том числе:</t>
  </si>
  <si>
    <t>Расходы -  всего (код расхода 00096000000000000000)</t>
  </si>
  <si>
    <t>Дефицит -  всего (код БК 00079000000000000000)</t>
  </si>
  <si>
    <t>Налоговые и неналоговые доходы (код дохода 00010000000000000000)</t>
  </si>
  <si>
    <t>из них:</t>
  </si>
  <si>
    <t>Безвозмездные поступления (код дохода 00020000000000000000)</t>
  </si>
  <si>
    <t>Доходы от предпринимательской и иной приносящей доход деятельности (код дохода 00030000000000000000)</t>
  </si>
  <si>
    <t>налог на доходы физических лиц (код дохода 00010102000010000110)</t>
  </si>
  <si>
    <t>единый сельскохозяйственный налог (код дохода 00010503000010000110)</t>
  </si>
  <si>
    <t>налог на имущество физических лиц, зачисляемые в бюджеты поселений (код дохода 00010601030100000110)</t>
  </si>
  <si>
    <t>земельный налог (код дохода 00010606000000000110)</t>
  </si>
  <si>
    <t>Госпошлина                                      (108)</t>
  </si>
  <si>
    <t>арендная плата за земли, находящиеся в государственной собственности до разграничения государственной собственности на землю, и поступления от продажи права на заключение договоров аренды указанных земельных участков (код дохода 00011105010000000120)</t>
  </si>
  <si>
    <t>доходы от сдачи в аренду имущества, находящегося в оперативном управлении органов управления поселений и создаваемых ими учреждений и в хозяйственном ведении муниципальных унитарных предприятий (код дохода 00011105035100000120)</t>
  </si>
  <si>
    <t>Задолженность и перерасчет по отмененным налогам (109)</t>
  </si>
  <si>
    <t>Продажа земли                                          000 114 06014100000 420</t>
  </si>
  <si>
    <t>Прочие доходы от оказания платных услуг получателям средств бюджетов поселений и компенсации затрат бюджетов поселений (код       000 113 03050 10 0000 180</t>
  </si>
  <si>
    <t>прочие неналоговые доходы бюджетов поселений (код 000 1 17 00000 00 0000 000)</t>
  </si>
  <si>
    <t xml:space="preserve">Государственная пошлина за совершение нотариальных  действийдолжностными лицами органов местного самоуправления (000 1 08 04020 01 0000 110) </t>
  </si>
  <si>
    <t>Возврат остатков субсидий и сцбвенций из бюджетов поселений (000 1 19 05000 10 0000 151)</t>
  </si>
  <si>
    <t>Субсидии</t>
  </si>
  <si>
    <t>Субвенции</t>
  </si>
  <si>
    <t>Прочие безвозмездные поступления от других бюджетов бюджетной системы</t>
  </si>
  <si>
    <t>Общегосударственные вопросы (код расхода 00001000000000000000)</t>
  </si>
  <si>
    <t>Национальная оборона      (02000000000000)</t>
  </si>
  <si>
    <t>Национальная безопасность     (0300000000000000)</t>
  </si>
  <si>
    <t>Национальная экономика (код расхода 00004000000000000000)</t>
  </si>
  <si>
    <t>Жилищно-коммунальное хозяйство (код расхода 00005000000000000000)</t>
  </si>
  <si>
    <t>Cоциальная  политика (код БК расходов 100000000000)</t>
  </si>
  <si>
    <t>Функционирование местных администраций (код расхода 01040000000000000)</t>
  </si>
  <si>
    <t>Обеспечение проведения выборов и референдумов (010700000000000)</t>
  </si>
  <si>
    <t>Резервные фонды (0111000000000000)</t>
  </si>
  <si>
    <t xml:space="preserve">план </t>
  </si>
  <si>
    <t>факт</t>
  </si>
  <si>
    <t>процент исполнения</t>
  </si>
  <si>
    <t>план</t>
  </si>
  <si>
    <t>Итого по поселениям</t>
  </si>
  <si>
    <t>Показатели</t>
  </si>
  <si>
    <t>Код БК</t>
  </si>
  <si>
    <t>Консолидированный бюджет</t>
  </si>
  <si>
    <t>Районный бюджет</t>
  </si>
  <si>
    <t>Бюджеты сельских поселений</t>
  </si>
  <si>
    <t>налог на доходы физических лиц</t>
  </si>
  <si>
    <t>налог на совокупный доход</t>
  </si>
  <si>
    <t>налог на имущество</t>
  </si>
  <si>
    <t>земельный налог</t>
  </si>
  <si>
    <t>налоги, сборы за пользование природными ресурсами</t>
  </si>
  <si>
    <t>госпошлина</t>
  </si>
  <si>
    <t xml:space="preserve">задол. по отм. нал., сборам </t>
  </si>
  <si>
    <t>доходы от использования имущества, находящегося в государственной и муниципальной собственности</t>
  </si>
  <si>
    <t>плата за негативное воздействие на окуржающую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</si>
  <si>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</si>
  <si>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</si>
  <si>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возмещние ущерба</t>
  </si>
  <si>
    <t>прочие неналоговые доходы</t>
  </si>
  <si>
    <t>ДОХОДЫ ОТ ПРЕДПРИНИМАТЕЛЬСКОЙ ДЕЯТЕЛЬНОСТИ</t>
  </si>
  <si>
    <t>БЕЗВОЗМЕЗДНЫЕ ПЕРЕЧИСЛЕНИЯ</t>
  </si>
  <si>
    <t>ВСЕГО ДОХОДОВ</t>
  </si>
  <si>
    <t>ВСЕГО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</si>
  <si>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</si>
  <si>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</si>
  <si>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</si>
  <si>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</si>
  <si>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</si>
  <si>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</si>
  <si>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</si>
  <si>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</si>
  <si>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социальная политика</t>
  </si>
  <si>
    <t>1000</t>
  </si>
  <si>
    <t>физическая культура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</si>
  <si>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</si>
  <si>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</si>
  <si>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</t>
  </si>
  <si>
    <t>1400</t>
  </si>
  <si>
    <t>администрации Моргаушского района</t>
  </si>
  <si>
    <t>0310</t>
  </si>
  <si>
    <t>Обеспечение пожарной безопасности</t>
  </si>
  <si>
    <t>Прочие неналоговые доходы</t>
  </si>
  <si>
    <t>Доходы от реализации имущества</t>
  </si>
  <si>
    <t>Доходы от продажи земли</t>
  </si>
  <si>
    <t>Доходы от оказания платных услуг</t>
  </si>
  <si>
    <t>Доходы от сдачи в аренду имущ.наход.</t>
  </si>
  <si>
    <t>Арендная плата за землю</t>
  </si>
  <si>
    <t>Государственная пошлина за государственную регистрацию, а также за совершение прочих юридически 
значимых действий</t>
  </si>
  <si>
    <t>Государственная пошлина за соверш.нотар.действ.</t>
  </si>
  <si>
    <t>Налог на доходы физических лиц</t>
  </si>
  <si>
    <t>ЕН с/х предприятий</t>
  </si>
  <si>
    <t>ЗАДОЛЖЕННОСТЬ И ПЕРЕРАСЧЕТЫ ПО ОТМЕНЕННЫМ НАЛОГАМ И СБОРАМ</t>
  </si>
  <si>
    <t>Сбалансированность</t>
  </si>
  <si>
    <t>Налоги на имущество</t>
  </si>
  <si>
    <t>Культура</t>
  </si>
  <si>
    <t>АДМИНИСТРАТИВНЫЕ ПЛАТЕЖИ И СБОРЫ</t>
  </si>
  <si>
    <t>Платежи, вымаемые организациями муниципальных районов за выполнение определенных функций</t>
  </si>
  <si>
    <t>Прочие поступления от денежных взысканий и иных сумм от возмещение ущерба</t>
  </si>
  <si>
    <t>Д. в. за наруш. Зак.в области сан.эпидем.благоп.</t>
  </si>
  <si>
    <t>ЕН на вмененный доход</t>
  </si>
  <si>
    <t>Налог на добычу общераспространенных полезных ископаемых</t>
  </si>
  <si>
    <t xml:space="preserve">Государственная пошлина по делам, рассм. в судах </t>
  </si>
  <si>
    <t xml:space="preserve">Проценты, полученные от предос. бюдж. кред </t>
  </si>
  <si>
    <t>Доходы от муниципальных унитарных предприятий</t>
  </si>
  <si>
    <t>Плата за негативные воздействия на окружающую среду</t>
  </si>
  <si>
    <t>Ден.взыс. за наруш. закон. о налогах и сборах</t>
  </si>
  <si>
    <t>Д.в. за административные правонарушения</t>
  </si>
  <si>
    <t>Д. в. за наруш. закон. о применении ККМ</t>
  </si>
  <si>
    <t>Штрафы за адм. правонаруш. в обл. рег. произ-ва спирта</t>
  </si>
  <si>
    <t>Д. в. за наруш. ФЗ "О пожарной безопасности"</t>
  </si>
  <si>
    <t>Другие общегосударственные расходы (0113000000000000)</t>
  </si>
  <si>
    <t>административные платежи и сборы</t>
  </si>
  <si>
    <t>ШТРАФЫ, САНКЦИИ, ВОЗМЕЩЕНИЕ УЩЕРБА</t>
  </si>
  <si>
    <t>Штрафы, санкции, возмещение ущерба (код 000 1 16 00000 00 0000 000)</t>
  </si>
  <si>
    <t>Налог на имущество физ. лиц</t>
  </si>
  <si>
    <t>Задолженность  и перерасчеты по отмененным налогам, сборам и иным обязательным платежам (код дохода 00010900000000000000)</t>
  </si>
  <si>
    <t>Возврат излишне уплаченных налогов из бюджетов поселений</t>
  </si>
  <si>
    <t>Доходы от оказания платных услуг и компенсации затрат государства                                         000 113 00000 00 0000 000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</si>
  <si>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</si>
  <si>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</si>
  <si>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</si>
  <si>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</si>
  <si>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Д. в. за взыскания  (штрафы) за нарушения законодательства РФ о об адм. Правонар., предусмотренные ст. 20.25 КоАП</t>
  </si>
  <si>
    <t>Возврат остатков субсидий и субвенций</t>
  </si>
  <si>
    <t>0505</t>
  </si>
  <si>
    <t>Другие вопросы в области ЖКХ</t>
  </si>
  <si>
    <t>Налог, взимаемый в связи с применением патентной системы налогообложения</t>
  </si>
  <si>
    <t>Р.И. Ананьева</t>
  </si>
  <si>
    <t>Денежные взыскания за нарушение законодательства РФ о размещении заказов на поставки товаров, выполнение работ, оказание услуг для нужд поселений</t>
  </si>
  <si>
    <t>Д. в. за наруш. Земельного законодательства</t>
  </si>
  <si>
    <t>Д. в. за правонаруш. В области дорожного движения</t>
  </si>
  <si>
    <t>Прочие безвозмездные поступления в бюджеты поселений</t>
  </si>
  <si>
    <t>Государственная пошлина за соверш. нотар. действ.</t>
  </si>
  <si>
    <t>0804</t>
  </si>
  <si>
    <t>Другие вопросы в области культуры, кинематографии</t>
  </si>
  <si>
    <t>\</t>
  </si>
  <si>
    <t>Дотации бюджетам муниципальных районов на поощрение достижения наилучших показателей деятельности органов местного самоуправления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</si>
  <si>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муниципального районов ( за исключением земельных участков муниципальных бюджетных и автономных учреждений)</t>
  </si>
  <si>
    <t>Другие вопросы в области жилищно-коммунального хозяйства</t>
  </si>
  <si>
    <t xml:space="preserve">Акцизы </t>
  </si>
  <si>
    <t>Транспортный налог</t>
  </si>
  <si>
    <t>Налоги на товары (работы и услуги) реализуемые на территории РФ</t>
  </si>
  <si>
    <t>Акцизы на автомобильный бензин</t>
  </si>
  <si>
    <t>Акцизы на диз. топливо</t>
  </si>
  <si>
    <t>налоги на товары (работы и услуги), реализуемые на территории РФ</t>
  </si>
  <si>
    <t>транспортный налог</t>
  </si>
  <si>
    <t>Денежные взыскания (штрафы) за нарушение законодательства о налогах и сборах                                                   (116 00000 00 0000 000)</t>
  </si>
  <si>
    <t>Акциз на моторные масла</t>
  </si>
  <si>
    <t>Акциза на прямогонный бензин</t>
  </si>
  <si>
    <t>Акцизы на моторные масла</t>
  </si>
  <si>
    <t xml:space="preserve">Акцизы на прямогонный бензин </t>
  </si>
  <si>
    <t>Акцизы на прямогонный бензин</t>
  </si>
  <si>
    <t>Акцизы на прямогонный  бензин</t>
  </si>
  <si>
    <t>доходы от уплаты акцизов на дизельное топливо 00010302230010000110</t>
  </si>
  <si>
    <t>доходы от уплаты акцизов на автомобильный бензин 00010302250010000110</t>
  </si>
  <si>
    <t>доходы от уплаты акцизов на прямогонный бензин 00010302260010000110</t>
  </si>
  <si>
    <t xml:space="preserve">доходы от уплаты акцизов на моторные масла 00010302240010000110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</si>
  <si>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Культура (код расхода 00008000000000000000)</t>
  </si>
  <si>
    <t xml:space="preserve">Прочие безвозмездные поступления </t>
  </si>
  <si>
    <t>Межбюджетные трансферты   (140000000000)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</si>
  <si>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</si>
  <si>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Доходы бюджетов поселений от возвратов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</si>
  <si>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</si>
  <si>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</si>
  <si>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 xml:space="preserve">Александровское </t>
  </si>
  <si>
    <t xml:space="preserve">Большесундырское </t>
  </si>
  <si>
    <t xml:space="preserve">Ильинское </t>
  </si>
  <si>
    <t xml:space="preserve">Кадикасинское </t>
  </si>
  <si>
    <t xml:space="preserve">Моргаушское </t>
  </si>
  <si>
    <t xml:space="preserve">Москакасинское </t>
  </si>
  <si>
    <t xml:space="preserve">Орининское </t>
  </si>
  <si>
    <t xml:space="preserve">Сятракасинское </t>
  </si>
  <si>
    <t xml:space="preserve">Тораевское </t>
  </si>
  <si>
    <t xml:space="preserve">Хорнойское </t>
  </si>
  <si>
    <t xml:space="preserve">Чуманкасинское </t>
  </si>
  <si>
    <t xml:space="preserve">Шатьмапосинское </t>
  </si>
  <si>
    <t xml:space="preserve">Юнгинское </t>
  </si>
  <si>
    <t xml:space="preserve">Юськасинское </t>
  </si>
  <si>
    <t xml:space="preserve">Ярабайкасинское </t>
  </si>
  <si>
    <t xml:space="preserve">Ярославское </t>
  </si>
  <si>
    <t>Доходы в виде прибыли, приходящейся на доли в уставных капиталах</t>
  </si>
  <si>
    <t xml:space="preserve">(Дефицит -) профицит </t>
  </si>
  <si>
    <t>(Дефицит -) профицит</t>
  </si>
  <si>
    <t>Прочие поступления от денежных взысканий (штрафов) и иных сумм в возмещение ущерба, зачисляемые в бюджеты поселений</t>
  </si>
  <si>
    <t>Сельское хозяйство и рыболовство</t>
  </si>
  <si>
    <t>Доходы от возврата остатка субсидий</t>
  </si>
  <si>
    <t>Возврат остатков субсидий</t>
  </si>
  <si>
    <t>Органы юстиции</t>
  </si>
  <si>
    <t>Арендная плата за землю после разграничения</t>
  </si>
  <si>
    <t>Физическая культура и спорт    (1101000000000000000)</t>
  </si>
  <si>
    <t>Прочие доходы от компенсации затрат государства</t>
  </si>
  <si>
    <t>Сумма по искам о возмещении вреда</t>
  </si>
  <si>
    <t>% исполнения к плану</t>
  </si>
  <si>
    <t>Д. в. за наруш. закон. Об охране животного мира</t>
  </si>
  <si>
    <t>Прочие поступления от использования имущества</t>
  </si>
  <si>
    <t>0703</t>
  </si>
  <si>
    <t>Дополнительное образование детей</t>
  </si>
  <si>
    <t xml:space="preserve"> </t>
  </si>
  <si>
    <t xml:space="preserve">  Доходы от возмещения расходов</t>
  </si>
  <si>
    <t xml:space="preserve">  </t>
  </si>
  <si>
    <t>ШТРАФЫ</t>
  </si>
  <si>
    <t>Прочие поступления от возмещения ущерба</t>
  </si>
  <si>
    <t>Штрафы за нарушение оборота табачной продукции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</si>
  <si>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</si>
  <si>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Прочик поступления от денежных взысканий (штрафов) и иных сумм в возмещение ущерба, зачисляемые в бюджеты сельских поселений</t>
  </si>
  <si>
    <t xml:space="preserve">Д. в. за наруш.  Земельн закон. </t>
  </si>
  <si>
    <t>назначено на 2018 г.</t>
  </si>
  <si>
    <t>план на 2018 г.</t>
  </si>
  <si>
    <t>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 (код дохода 00011105025100000120)</t>
  </si>
  <si>
    <t>дотации  бюджетам поселений на выравнивание уровня бюджетной обеспеченности (код доходов 00020215001100000151)</t>
  </si>
  <si>
    <t>дотации бюджетам  поселений на поддержку мер по обеспечению сбалансированности бюджетов (код доходов 00020215002000000151)</t>
  </si>
  <si>
    <t>Возврат остатков субсидий, субвенций и иных межбюджетных трансфертов, имеющих целевое назначение, прошлых лет</t>
  </si>
  <si>
    <t>Прочие субсидии</t>
  </si>
  <si>
    <t>Прочие безбозмездные поступления</t>
  </si>
  <si>
    <t xml:space="preserve">Прочие безвозмездные поступления  </t>
  </si>
  <si>
    <t xml:space="preserve">Прочие безвозмездные поступления   </t>
  </si>
  <si>
    <t>Прочие налоги и сборы (по отм. местн. нал. и сборам)</t>
  </si>
  <si>
    <t>Прочие доходы от компенсации затрат</t>
  </si>
  <si>
    <t>Доходы от реализации имущества, находящегося в собственности сельских поселений                                  000 11402050100000 410</t>
  </si>
  <si>
    <t>Поступления от денежных пожертвований</t>
  </si>
  <si>
    <t>0314</t>
  </si>
  <si>
    <t>Другие вопросы в области национальной безопасности</t>
  </si>
  <si>
    <t>Доходы от платы об установлении сервитута</t>
  </si>
  <si>
    <t>Другие вопросы в области национльной безопасности</t>
  </si>
  <si>
    <t>Компенсационная выплата</t>
  </si>
  <si>
    <t>Материальная помощь</t>
  </si>
  <si>
    <t>Всего, руб.</t>
  </si>
  <si>
    <t>Примечание</t>
  </si>
  <si>
    <t xml:space="preserve"> стало без ФО адм (10ед)</t>
  </si>
  <si>
    <t>было без ФО и адм (10 ед.)</t>
  </si>
  <si>
    <t>премирование</t>
  </si>
  <si>
    <t>за расширение зоны обслуживания</t>
  </si>
  <si>
    <t>сумма</t>
  </si>
  <si>
    <t>%</t>
  </si>
  <si>
    <t>Начисление за месяц</t>
  </si>
  <si>
    <t>ФИО</t>
  </si>
  <si>
    <t>Образование</t>
  </si>
  <si>
    <t>Степанова Ю.С.</t>
  </si>
  <si>
    <t>высшее</t>
  </si>
  <si>
    <t>16 лет (декрет)</t>
  </si>
  <si>
    <t>Котельникова Н.Р.</t>
  </si>
  <si>
    <t>10 лет</t>
  </si>
  <si>
    <t>Семенова В.В.</t>
  </si>
  <si>
    <t>Бабушкина О.Н.</t>
  </si>
  <si>
    <t>11 лет</t>
  </si>
  <si>
    <t>Максимова Е.П./ Еропанова</t>
  </si>
  <si>
    <t>24 лет</t>
  </si>
  <si>
    <t>Попугаева Н.В.</t>
  </si>
  <si>
    <t>13 лет</t>
  </si>
  <si>
    <t>5 учреждений</t>
  </si>
  <si>
    <t>Рыбникова А.М.</t>
  </si>
  <si>
    <t>20 лет</t>
  </si>
  <si>
    <t>Колбасова И.Ю.</t>
  </si>
  <si>
    <t>7 лет</t>
  </si>
  <si>
    <t>Максимова Н.М.</t>
  </si>
  <si>
    <t>8 лет (декрет)</t>
  </si>
  <si>
    <t>Егорова И.Вячеславовна</t>
  </si>
  <si>
    <t>2 года (декрет)</t>
  </si>
  <si>
    <t>Карпова А.А.</t>
  </si>
  <si>
    <t>Егорова И.Валерьевна</t>
  </si>
  <si>
    <t>15 лет</t>
  </si>
  <si>
    <t>4 учреждения</t>
  </si>
  <si>
    <t>Соловьева А.И.</t>
  </si>
  <si>
    <t xml:space="preserve">спр монит, пенс спр , архив ком </t>
  </si>
  <si>
    <t>Васильева Р.Н.</t>
  </si>
  <si>
    <t>12 лет</t>
  </si>
  <si>
    <t>Ильина М.А.</t>
  </si>
  <si>
    <t>Романова В.В.</t>
  </si>
  <si>
    <t>средне-специальное</t>
  </si>
  <si>
    <t>308,6 стало</t>
  </si>
  <si>
    <t>329,4 было</t>
  </si>
  <si>
    <t>Анализ исполнения консолидированного бюджета Моргаушского районана 01.11.2018 г.</t>
  </si>
  <si>
    <t>исполнено на 01.11.2018 г.</t>
  </si>
  <si>
    <t>об исполнении бюджетов поселений  Моргаушского района  на 1 ноября 2018 г.</t>
  </si>
  <si>
    <t xml:space="preserve">                          Моргаушского района на 01.11.2018 г. </t>
  </si>
  <si>
    <t xml:space="preserve">исполнено на 01.11.2018 г. </t>
  </si>
  <si>
    <t>исполнен на 01.11.2018 г.</t>
  </si>
  <si>
    <t xml:space="preserve">                     Анализ исполнения бюджета Александровского сельского поселения на 01.11.2018 г.</t>
  </si>
  <si>
    <t>исполнено на 01.11.2018 г</t>
  </si>
  <si>
    <t xml:space="preserve">                     Анализ исполнения бюджета Большесундырского сельского поселения на 01.11.2018 г.</t>
  </si>
  <si>
    <t xml:space="preserve">                     Анализ исполнения бюджета Ильинского сельского поселения на 01.11.2018 г.</t>
  </si>
  <si>
    <t xml:space="preserve">                     Анализ исполнения бюджета Кадикасинского сельского поселения на 01.11.2018 г.</t>
  </si>
  <si>
    <t xml:space="preserve">                     Анализ исполнения бюджета Моргаушского сельского поселения на 01.11.2018 г.</t>
  </si>
  <si>
    <t xml:space="preserve">                     Анализ исполнения бюджета Москакасинского сельского поселения на 01.11.2018 г.</t>
  </si>
  <si>
    <t xml:space="preserve">                     Анализ исполнения бюджета Орининского сельского поселения на 01.11.2018 г.</t>
  </si>
  <si>
    <t xml:space="preserve">                     Анализ исполнения бюджета Сятракасинского сельского поселения на 01.11.2018 г.</t>
  </si>
  <si>
    <t xml:space="preserve">                     Анализ исполнения бюджета Тораевского сельского поселения на 01.11.2018 г.</t>
  </si>
  <si>
    <t xml:space="preserve">                     Анализ исполнения бюджета Хорнойского сельского поселения на 01.11.2018 г.</t>
  </si>
  <si>
    <t xml:space="preserve">                     Анализ исполнения бюджета Чуманкасинского сельского поселения на 01.11.2018 г.</t>
  </si>
  <si>
    <t xml:space="preserve">                     Анализ исполнения бюджета Шатьмапосинского сельского поселения на 01.11.2018 г.</t>
  </si>
  <si>
    <t xml:space="preserve">                     Анализ исполнения бюджета Юнгинского сельского поселения на 01.11.2018 г.</t>
  </si>
  <si>
    <t>исполнено на 01.11.2018г.</t>
  </si>
  <si>
    <t xml:space="preserve">                     Анализ исполнения бюджета Юськасинского сельского поселения на 01.11.2018 г.</t>
  </si>
  <si>
    <t xml:space="preserve">                     Анализ исполнения бюджета Ярабайкасинского сельского поселения на 01.11.2018 г.</t>
  </si>
  <si>
    <t xml:space="preserve">                     Анализ исполнения бюджета Ярославского сельского поселения на 01.11.2018 г.</t>
  </si>
  <si>
    <t xml:space="preserve">Другие вопросы </t>
  </si>
  <si>
    <t>Доходы от эксплуатации имущества</t>
  </si>
</sst>
</file>

<file path=xl/styles.xml><?xml version="1.0" encoding="utf-8"?>
<styleSheet xmlns="http://schemas.openxmlformats.org/spreadsheetml/2006/main">
  <numFmts count="2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#,##0.0"/>
    <numFmt numFmtId="168" formatCode="0.00000"/>
    <numFmt numFmtId="169" formatCode="_(* #,##0.0_);_(* \(#,##0.0\);_(* &quot;-&quot;??_);_(@_)"/>
    <numFmt numFmtId="170" formatCode="_-* #,##0.0_р_._-;\-* #,##0.0_р_._-;_-* &quot;-&quot;?_р_._-;_-@_-"/>
    <numFmt numFmtId="171" formatCode="_-* #,##0.00000_р_._-;\-* #,##0.00000_р_._-;_-* &quot;-&quot;?????_р_._-;_-@_-"/>
    <numFmt numFmtId="172" formatCode="#,##0.00000"/>
    <numFmt numFmtId="173" formatCode="#,##0.000"/>
    <numFmt numFmtId="174" formatCode="0.000000"/>
    <numFmt numFmtId="175" formatCode="0.0000"/>
    <numFmt numFmtId="176" formatCode="_(* #,##0.0000_);_(* \(#,##0.0000\);_(* &quot;-&quot;??_);_(@_)"/>
    <numFmt numFmtId="177" formatCode="_(* #,##0.00000_);_(* \(#,##0.00000\);_(* &quot;-&quot;??_);_(@_)"/>
    <numFmt numFmtId="178" formatCode="0.0000000"/>
    <numFmt numFmtId="179" formatCode="_(* #,##0_);_(* \(#,##0\);_(* &quot;-&quot;??_);_(@_)"/>
    <numFmt numFmtId="180" formatCode="#,##0.000000"/>
    <numFmt numFmtId="181" formatCode="_-* #,##0.0000000_р_._-;\-* #,##0.0000000_р_._-;_-* &quot;-&quot;?????_р_._-;_-@_-"/>
    <numFmt numFmtId="182" formatCode="#,##0.00000000"/>
    <numFmt numFmtId="183" formatCode="#,##0.0000"/>
    <numFmt numFmtId="184" formatCode="0.000"/>
  </numFmts>
  <fonts count="38">
    <font>
      <sz val="10"/>
      <name val="Arial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44"/>
      <name val="Times New Roman"/>
      <family val="1"/>
      <charset val="204"/>
    </font>
    <font>
      <b/>
      <sz val="12"/>
      <color indexed="62"/>
      <name val="Times New Roman"/>
      <family val="1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2"/>
      <name val="TimesET"/>
    </font>
    <font>
      <sz val="12"/>
      <name val="TimesET"/>
      <charset val="204"/>
    </font>
    <font>
      <sz val="12"/>
      <color indexed="8"/>
      <name val="Arial Cyr"/>
      <charset val="204"/>
    </font>
    <font>
      <sz val="12"/>
      <color indexed="8"/>
      <name val="TimesET"/>
    </font>
    <font>
      <b/>
      <sz val="12"/>
      <name val="TimesET"/>
    </font>
    <font>
      <b/>
      <sz val="12"/>
      <color indexed="8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 Cyr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165" fontId="1" fillId="0" borderId="0" applyFont="0" applyFill="0" applyBorder="0" applyAlignment="0" applyProtection="0"/>
  </cellStyleXfs>
  <cellXfs count="461">
    <xf numFmtId="0" fontId="0" fillId="0" borderId="0" xfId="0"/>
    <xf numFmtId="0" fontId="5" fillId="0" borderId="0" xfId="9" applyFont="1"/>
    <xf numFmtId="0" fontId="3" fillId="0" borderId="1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/>
    </xf>
    <xf numFmtId="0" fontId="3" fillId="0" borderId="1" xfId="11" applyFont="1" applyBorder="1"/>
    <xf numFmtId="166" fontId="3" fillId="0" borderId="1" xfId="11" applyNumberFormat="1" applyFont="1" applyBorder="1" applyAlignment="1">
      <alignment horizontal="right" vertical="center"/>
    </xf>
    <xf numFmtId="0" fontId="3" fillId="0" borderId="0" xfId="9" applyFont="1"/>
    <xf numFmtId="0" fontId="5" fillId="0" borderId="1" xfId="11" applyFont="1" applyBorder="1" applyAlignment="1">
      <alignment horizontal="center"/>
    </xf>
    <xf numFmtId="0" fontId="5" fillId="0" borderId="1" xfId="11" applyFont="1" applyBorder="1" applyAlignment="1">
      <alignment wrapText="1"/>
    </xf>
    <xf numFmtId="166" fontId="5" fillId="0" borderId="1" xfId="11" applyNumberFormat="1" applyFont="1" applyBorder="1" applyAlignment="1">
      <alignment horizontal="right" vertical="center"/>
    </xf>
    <xf numFmtId="166" fontId="5" fillId="0" borderId="1" xfId="11" applyNumberFormat="1" applyFont="1" applyFill="1" applyBorder="1" applyAlignment="1">
      <alignment horizontal="right" vertical="center"/>
    </xf>
    <xf numFmtId="0" fontId="5" fillId="0" borderId="1" xfId="11" applyFont="1" applyBorder="1"/>
    <xf numFmtId="166" fontId="5" fillId="0" borderId="1" xfId="0" applyNumberFormat="1" applyFont="1" applyBorder="1" applyAlignment="1">
      <alignment horizontal="right" vertical="center"/>
    </xf>
    <xf numFmtId="0" fontId="3" fillId="0" borderId="1" xfId="11" applyFont="1" applyBorder="1" applyAlignment="1">
      <alignment wrapText="1"/>
    </xf>
    <xf numFmtId="166" fontId="3" fillId="0" borderId="1" xfId="11" applyNumberFormat="1" applyFont="1" applyFill="1" applyBorder="1" applyAlignment="1">
      <alignment horizontal="right" vertical="center"/>
    </xf>
    <xf numFmtId="0" fontId="5" fillId="0" borderId="0" xfId="9" applyFont="1" applyFill="1"/>
    <xf numFmtId="0" fontId="5" fillId="0" borderId="1" xfId="11" applyFont="1" applyFill="1" applyBorder="1" applyAlignment="1">
      <alignment horizontal="center"/>
    </xf>
    <xf numFmtId="0" fontId="5" fillId="0" borderId="1" xfId="11" applyFont="1" applyFill="1" applyBorder="1"/>
    <xf numFmtId="0" fontId="5" fillId="0" borderId="1" xfId="11" applyFont="1" applyFill="1" applyBorder="1" applyAlignment="1">
      <alignment wrapText="1"/>
    </xf>
    <xf numFmtId="166" fontId="3" fillId="0" borderId="0" xfId="9" applyNumberFormat="1" applyFont="1"/>
    <xf numFmtId="166" fontId="5" fillId="2" borderId="1" xfId="2" applyNumberFormat="1" applyFont="1" applyFill="1" applyBorder="1" applyAlignment="1">
      <alignment horizontal="right" vertical="center" shrinkToFit="1"/>
    </xf>
    <xf numFmtId="0" fontId="3" fillId="0" borderId="1" xfId="11" applyFont="1" applyFill="1" applyBorder="1"/>
    <xf numFmtId="166" fontId="3" fillId="0" borderId="1" xfId="9" applyNumberFormat="1" applyFont="1" applyBorder="1" applyAlignment="1">
      <alignment horizontal="right" vertical="center"/>
    </xf>
    <xf numFmtId="0" fontId="3" fillId="0" borderId="2" xfId="11" applyFont="1" applyBorder="1" applyAlignment="1">
      <alignment horizontal="center"/>
    </xf>
    <xf numFmtId="0" fontId="3" fillId="0" borderId="2" xfId="11" applyFont="1" applyFill="1" applyBorder="1"/>
    <xf numFmtId="166" fontId="3" fillId="0" borderId="2" xfId="11" applyNumberFormat="1" applyFont="1" applyBorder="1" applyAlignment="1">
      <alignment horizontal="right" vertical="center"/>
    </xf>
    <xf numFmtId="168" fontId="5" fillId="0" borderId="0" xfId="9" applyNumberFormat="1" applyFont="1" applyAlignment="1">
      <alignment horizontal="right" vertical="center"/>
    </xf>
    <xf numFmtId="166" fontId="5" fillId="0" borderId="0" xfId="9" applyNumberFormat="1" applyFont="1" applyAlignment="1">
      <alignment horizontal="right" vertical="center"/>
    </xf>
    <xf numFmtId="0" fontId="3" fillId="0" borderId="1" xfId="9" applyFont="1" applyBorder="1" applyAlignment="1">
      <alignment horizontal="center" vertical="center" wrapText="1"/>
    </xf>
    <xf numFmtId="0" fontId="5" fillId="0" borderId="1" xfId="9" applyFont="1" applyBorder="1" applyAlignment="1">
      <alignment horizontal="center" vertical="center"/>
    </xf>
    <xf numFmtId="49" fontId="3" fillId="0" borderId="1" xfId="9" applyNumberFormat="1" applyFont="1" applyBorder="1" applyAlignment="1">
      <alignment horizontal="center"/>
    </xf>
    <xf numFmtId="0" fontId="3" fillId="3" borderId="1" xfId="9" applyFont="1" applyFill="1" applyBorder="1" applyAlignment="1">
      <alignment wrapText="1"/>
    </xf>
    <xf numFmtId="169" fontId="3" fillId="0" borderId="1" xfId="9" applyNumberFormat="1" applyFont="1" applyBorder="1" applyAlignment="1">
      <alignment horizontal="right" vertical="center"/>
    </xf>
    <xf numFmtId="169" fontId="3" fillId="0" borderId="1" xfId="12" applyNumberFormat="1" applyFont="1" applyBorder="1" applyAlignment="1">
      <alignment horizontal="right" vertical="center"/>
    </xf>
    <xf numFmtId="166" fontId="3" fillId="0" borderId="1" xfId="6" applyNumberFormat="1" applyFont="1" applyBorder="1" applyAlignment="1">
      <alignment horizontal="right"/>
    </xf>
    <xf numFmtId="49" fontId="5" fillId="0" borderId="1" xfId="9" applyNumberFormat="1" applyFont="1" applyBorder="1" applyAlignment="1">
      <alignment horizontal="center"/>
    </xf>
    <xf numFmtId="0" fontId="5" fillId="3" borderId="1" xfId="9" applyFont="1" applyFill="1" applyBorder="1" applyAlignment="1">
      <alignment wrapText="1"/>
    </xf>
    <xf numFmtId="169" fontId="5" fillId="0" borderId="1" xfId="9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/>
    </xf>
    <xf numFmtId="0" fontId="5" fillId="0" borderId="1" xfId="9" applyFont="1" applyBorder="1" applyAlignment="1">
      <alignment wrapText="1"/>
    </xf>
    <xf numFmtId="169" fontId="5" fillId="0" borderId="1" xfId="9" applyNumberFormat="1" applyFont="1" applyBorder="1" applyAlignment="1">
      <alignment horizontal="right"/>
    </xf>
    <xf numFmtId="49" fontId="3" fillId="0" borderId="3" xfId="8" applyNumberFormat="1" applyFont="1" applyBorder="1" applyAlignment="1">
      <alignment horizontal="center"/>
    </xf>
    <xf numFmtId="0" fontId="3" fillId="3" borderId="1" xfId="8" applyFont="1" applyFill="1" applyBorder="1" applyAlignment="1">
      <alignment wrapText="1"/>
    </xf>
    <xf numFmtId="49" fontId="5" fillId="0" borderId="1" xfId="8" applyNumberFormat="1" applyFont="1" applyBorder="1" applyAlignment="1">
      <alignment horizontal="center"/>
    </xf>
    <xf numFmtId="0" fontId="5" fillId="0" borderId="1" xfId="8" applyFont="1" applyBorder="1" applyAlignment="1">
      <alignment wrapText="1"/>
    </xf>
    <xf numFmtId="49" fontId="5" fillId="0" borderId="3" xfId="9" applyNumberFormat="1" applyFont="1" applyBorder="1" applyAlignment="1">
      <alignment horizontal="center"/>
    </xf>
    <xf numFmtId="49" fontId="5" fillId="0" borderId="3" xfId="7" applyNumberFormat="1" applyFont="1" applyBorder="1" applyAlignment="1">
      <alignment horizontal="center"/>
    </xf>
    <xf numFmtId="0" fontId="6" fillId="0" borderId="1" xfId="7" applyFont="1" applyBorder="1" applyAlignment="1">
      <alignment wrapText="1"/>
    </xf>
    <xf numFmtId="169" fontId="3" fillId="0" borderId="1" xfId="6" applyNumberFormat="1" applyFont="1" applyBorder="1" applyAlignment="1">
      <alignment horizontal="right" vertical="center"/>
    </xf>
    <xf numFmtId="169" fontId="5" fillId="0" borderId="1" xfId="6" applyNumberFormat="1" applyFont="1" applyBorder="1" applyAlignment="1">
      <alignment horizontal="right" vertical="center"/>
    </xf>
    <xf numFmtId="170" fontId="3" fillId="0" borderId="0" xfId="9" applyNumberFormat="1" applyFont="1"/>
    <xf numFmtId="0" fontId="5" fillId="0" borderId="1" xfId="9" applyFont="1" applyBorder="1" applyAlignment="1">
      <alignment horizontal="left" wrapText="1"/>
    </xf>
    <xf numFmtId="0" fontId="3" fillId="0" borderId="1" xfId="9" applyFont="1" applyBorder="1" applyAlignment="1">
      <alignment horizontal="center"/>
    </xf>
    <xf numFmtId="0" fontId="5" fillId="0" borderId="1" xfId="9" applyFont="1" applyBorder="1" applyAlignment="1">
      <alignment horizontal="center"/>
    </xf>
    <xf numFmtId="0" fontId="5" fillId="0" borderId="1" xfId="9" applyFont="1" applyFill="1" applyBorder="1" applyAlignment="1">
      <alignment wrapText="1"/>
    </xf>
    <xf numFmtId="169" fontId="5" fillId="2" borderId="1" xfId="5" applyNumberFormat="1" applyFont="1" applyFill="1" applyBorder="1" applyAlignment="1">
      <alignment horizontal="right" vertical="top" shrinkToFit="1"/>
    </xf>
    <xf numFmtId="0" fontId="3" fillId="0" borderId="1" xfId="9" applyFont="1" applyFill="1" applyBorder="1" applyAlignment="1">
      <alignment wrapText="1"/>
    </xf>
    <xf numFmtId="0" fontId="3" fillId="0" borderId="1" xfId="9" applyFont="1" applyFill="1" applyBorder="1" applyAlignment="1">
      <alignment horizontal="center" wrapText="1"/>
    </xf>
    <xf numFmtId="0" fontId="5" fillId="0" borderId="0" xfId="9" applyFont="1" applyAlignment="1">
      <alignment horizontal="left"/>
    </xf>
    <xf numFmtId="0" fontId="5" fillId="0" borderId="0" xfId="9" applyFont="1" applyAlignment="1">
      <alignment wrapText="1"/>
    </xf>
    <xf numFmtId="168" fontId="5" fillId="0" borderId="0" xfId="9" applyNumberFormat="1" applyFont="1" applyAlignment="1">
      <alignment horizontal="center"/>
    </xf>
    <xf numFmtId="168" fontId="5" fillId="0" borderId="0" xfId="9" applyNumberFormat="1" applyFont="1" applyAlignment="1">
      <alignment horizontal="right"/>
    </xf>
    <xf numFmtId="166" fontId="5" fillId="0" borderId="0" xfId="9" applyNumberFormat="1" applyFont="1" applyAlignment="1">
      <alignment horizontal="center"/>
    </xf>
    <xf numFmtId="0" fontId="7" fillId="0" borderId="0" xfId="8" applyFont="1" applyAlignment="1">
      <alignment horizontal="left"/>
    </xf>
    <xf numFmtId="171" fontId="7" fillId="0" borderId="0" xfId="8" applyNumberFormat="1" applyFont="1"/>
    <xf numFmtId="0" fontId="7" fillId="0" borderId="0" xfId="8" applyFont="1"/>
    <xf numFmtId="0" fontId="7" fillId="0" borderId="0" xfId="8" applyFont="1" applyAlignment="1"/>
    <xf numFmtId="0" fontId="9" fillId="0" borderId="1" xfId="11" applyFont="1" applyBorder="1"/>
    <xf numFmtId="0" fontId="9" fillId="0" borderId="1" xfId="11" applyFont="1" applyBorder="1" applyAlignment="1">
      <alignment horizontal="center"/>
    </xf>
    <xf numFmtId="0" fontId="9" fillId="0" borderId="1" xfId="11" applyFont="1" applyBorder="1" applyAlignment="1">
      <alignment wrapText="1"/>
    </xf>
    <xf numFmtId="0" fontId="9" fillId="0" borderId="1" xfId="11" applyFont="1" applyBorder="1" applyAlignment="1">
      <alignment horizontal="center" vertical="top"/>
    </xf>
    <xf numFmtId="0" fontId="9" fillId="0" borderId="1" xfId="11" applyFont="1" applyBorder="1" applyAlignment="1">
      <alignment vertical="top" wrapText="1"/>
    </xf>
    <xf numFmtId="166" fontId="3" fillId="0" borderId="1" xfId="11" applyNumberFormat="1" applyFont="1" applyBorder="1" applyAlignment="1">
      <alignment horizontal="center" vertical="center" wrapText="1"/>
    </xf>
    <xf numFmtId="0" fontId="3" fillId="0" borderId="1" xfId="11" applyFont="1" applyFill="1" applyBorder="1" applyAlignment="1">
      <alignment horizontal="center" vertical="center" wrapText="1"/>
    </xf>
    <xf numFmtId="166" fontId="3" fillId="0" borderId="1" xfId="1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68" fontId="5" fillId="0" borderId="0" xfId="0" applyNumberFormat="1" applyFont="1" applyAlignment="1">
      <alignment horizontal="center" vertical="center" wrapText="1"/>
    </xf>
    <xf numFmtId="1" fontId="3" fillId="0" borderId="1" xfId="9" applyNumberFormat="1" applyFont="1" applyBorder="1" applyAlignment="1">
      <alignment horizontal="center" vertical="center" wrapText="1"/>
    </xf>
    <xf numFmtId="1" fontId="5" fillId="0" borderId="1" xfId="9" applyNumberFormat="1" applyFont="1" applyBorder="1" applyAlignment="1">
      <alignment horizontal="center" vertical="center"/>
    </xf>
    <xf numFmtId="0" fontId="3" fillId="0" borderId="1" xfId="9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center" wrapText="1"/>
    </xf>
    <xf numFmtId="166" fontId="5" fillId="3" borderId="1" xfId="11" applyNumberFormat="1" applyFont="1" applyFill="1" applyBorder="1" applyAlignment="1">
      <alignment horizontal="right" vertical="center"/>
    </xf>
    <xf numFmtId="166" fontId="5" fillId="0" borderId="1" xfId="9" applyNumberFormat="1" applyFont="1" applyBorder="1" applyAlignment="1">
      <alignment horizontal="right" vertical="center"/>
    </xf>
    <xf numFmtId="167" fontId="3" fillId="0" borderId="1" xfId="11" applyNumberFormat="1" applyFont="1" applyBorder="1" applyAlignment="1">
      <alignment horizontal="right" vertical="center"/>
    </xf>
    <xf numFmtId="168" fontId="3" fillId="0" borderId="0" xfId="9" applyNumberFormat="1" applyFont="1"/>
    <xf numFmtId="168" fontId="11" fillId="0" borderId="0" xfId="0" applyNumberFormat="1" applyFont="1" applyAlignment="1">
      <alignment horizontal="center" vertical="center" wrapText="1"/>
    </xf>
    <xf numFmtId="169" fontId="5" fillId="0" borderId="1" xfId="9" applyNumberFormat="1" applyFont="1" applyFill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right" vertical="center"/>
    </xf>
    <xf numFmtId="0" fontId="9" fillId="0" borderId="1" xfId="11" applyFont="1" applyBorder="1" applyAlignment="1">
      <alignment horizontal="center" vertical="center"/>
    </xf>
    <xf numFmtId="169" fontId="5" fillId="0" borderId="0" xfId="9" applyNumberFormat="1" applyFont="1" applyAlignment="1">
      <alignment horizontal="right"/>
    </xf>
    <xf numFmtId="166" fontId="3" fillId="0" borderId="1" xfId="12" applyNumberFormat="1" applyFont="1" applyBorder="1" applyAlignment="1">
      <alignment horizontal="right" vertical="center"/>
    </xf>
    <xf numFmtId="166" fontId="3" fillId="0" borderId="1" xfId="11" applyNumberFormat="1" applyFont="1" applyFill="1" applyBorder="1" applyAlignment="1">
      <alignment horizontal="center" vertical="center" wrapText="1"/>
    </xf>
    <xf numFmtId="166" fontId="5" fillId="0" borderId="1" xfId="9" applyNumberFormat="1" applyFont="1" applyBorder="1" applyAlignment="1">
      <alignment horizontal="right"/>
    </xf>
    <xf numFmtId="166" fontId="3" fillId="0" borderId="1" xfId="6" applyNumberFormat="1" applyFont="1" applyBorder="1" applyAlignment="1">
      <alignment horizontal="right" vertical="center"/>
    </xf>
    <xf numFmtId="166" fontId="5" fillId="0" borderId="1" xfId="6" applyNumberFormat="1" applyFont="1" applyBorder="1" applyAlignment="1">
      <alignment horizontal="right" vertical="center"/>
    </xf>
    <xf numFmtId="0" fontId="13" fillId="0" borderId="0" xfId="9" applyFont="1"/>
    <xf numFmtId="0" fontId="14" fillId="0" borderId="0" xfId="9" applyFont="1"/>
    <xf numFmtId="0" fontId="3" fillId="0" borderId="1" xfId="11" applyFont="1" applyBorder="1" applyAlignment="1">
      <alignment horizontal="center" vertical="top"/>
    </xf>
    <xf numFmtId="0" fontId="3" fillId="0" borderId="1" xfId="11" applyFont="1" applyBorder="1" applyAlignment="1">
      <alignment vertical="top" wrapText="1"/>
    </xf>
    <xf numFmtId="0" fontId="5" fillId="0" borderId="0" xfId="8" applyFont="1" applyAlignment="1">
      <alignment horizontal="left"/>
    </xf>
    <xf numFmtId="171" fontId="5" fillId="0" borderId="0" xfId="8" applyNumberFormat="1" applyFont="1"/>
    <xf numFmtId="0" fontId="5" fillId="0" borderId="0" xfId="8" applyFont="1"/>
    <xf numFmtId="0" fontId="5" fillId="0" borderId="0" xfId="8" applyFont="1" applyAlignment="1"/>
    <xf numFmtId="168" fontId="3" fillId="0" borderId="2" xfId="11" applyNumberFormat="1" applyFont="1" applyBorder="1" applyAlignment="1">
      <alignment horizontal="right" vertical="center"/>
    </xf>
    <xf numFmtId="176" fontId="7" fillId="0" borderId="0" xfId="8" applyNumberFormat="1" applyFont="1"/>
    <xf numFmtId="176" fontId="5" fillId="0" borderId="0" xfId="9" applyNumberFormat="1" applyFont="1" applyAlignment="1">
      <alignment horizontal="center"/>
    </xf>
    <xf numFmtId="177" fontId="5" fillId="0" borderId="0" xfId="8" applyNumberFormat="1" applyFont="1"/>
    <xf numFmtId="177" fontId="7" fillId="0" borderId="0" xfId="8" applyNumberFormat="1" applyFont="1"/>
    <xf numFmtId="177" fontId="5" fillId="0" borderId="0" xfId="9" applyNumberFormat="1" applyFont="1" applyAlignment="1">
      <alignment horizontal="center"/>
    </xf>
    <xf numFmtId="167" fontId="3" fillId="0" borderId="1" xfId="11" applyNumberFormat="1" applyFont="1" applyFill="1" applyBorder="1" applyAlignment="1">
      <alignment horizontal="right" vertical="center"/>
    </xf>
    <xf numFmtId="167" fontId="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 wrapText="1"/>
    </xf>
    <xf numFmtId="0" fontId="3" fillId="0" borderId="1" xfId="11" applyFont="1" applyFill="1" applyBorder="1" applyAlignment="1">
      <alignment horizontal="center"/>
    </xf>
    <xf numFmtId="0" fontId="3" fillId="0" borderId="1" xfId="11" applyFont="1" applyFill="1" applyBorder="1" applyAlignment="1">
      <alignment wrapText="1"/>
    </xf>
    <xf numFmtId="169" fontId="5" fillId="0" borderId="0" xfId="9" applyNumberFormat="1" applyFont="1" applyAlignment="1">
      <alignment horizontal="center"/>
    </xf>
    <xf numFmtId="166" fontId="3" fillId="0" borderId="1" xfId="1" applyNumberFormat="1" applyFont="1" applyBorder="1" applyAlignment="1">
      <alignment horizontal="right" vertical="center"/>
    </xf>
    <xf numFmtId="169" fontId="3" fillId="0" borderId="1" xfId="6" applyNumberFormat="1" applyFont="1" applyBorder="1" applyAlignment="1">
      <alignment horizontal="right"/>
    </xf>
    <xf numFmtId="181" fontId="5" fillId="0" borderId="0" xfId="8" applyNumberFormat="1" applyFont="1"/>
    <xf numFmtId="175" fontId="3" fillId="0" borderId="0" xfId="9" applyNumberFormat="1" applyFont="1"/>
    <xf numFmtId="176" fontId="8" fillId="0" borderId="0" xfId="8" applyNumberFormat="1" applyFont="1"/>
    <xf numFmtId="168" fontId="5" fillId="0" borderId="1" xfId="9" applyNumberFormat="1" applyFont="1" applyBorder="1" applyAlignment="1">
      <alignment horizontal="right" vertical="center"/>
    </xf>
    <xf numFmtId="168" fontId="7" fillId="0" borderId="0" xfId="8" applyNumberFormat="1" applyFont="1"/>
    <xf numFmtId="166" fontId="7" fillId="0" borderId="0" xfId="8" applyNumberFormat="1" applyFont="1"/>
    <xf numFmtId="168" fontId="3" fillId="0" borderId="1" xfId="11" applyNumberFormat="1" applyFont="1" applyBorder="1" applyAlignment="1">
      <alignment horizontal="center" vertical="center" wrapText="1"/>
    </xf>
    <xf numFmtId="177" fontId="5" fillId="0" borderId="1" xfId="9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8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168" fontId="7" fillId="0" borderId="0" xfId="0" applyNumberFormat="1" applyFont="1" applyBorder="1" applyAlignment="1">
      <alignment horizontal="center" vertical="center" wrapText="1"/>
    </xf>
    <xf numFmtId="174" fontId="7" fillId="0" borderId="0" xfId="0" applyNumberFormat="1" applyFont="1" applyBorder="1" applyAlignment="1">
      <alignment horizontal="center" vertical="center" wrapText="1"/>
    </xf>
    <xf numFmtId="168" fontId="8" fillId="0" borderId="0" xfId="0" applyNumberFormat="1" applyFont="1" applyBorder="1" applyAlignment="1">
      <alignment horizontal="center" vertical="center" wrapText="1"/>
    </xf>
    <xf numFmtId="2" fontId="3" fillId="0" borderId="1" xfId="11" applyNumberFormat="1" applyFont="1" applyBorder="1" applyAlignment="1">
      <alignment horizontal="center" vertical="center" wrapText="1"/>
    </xf>
    <xf numFmtId="2" fontId="3" fillId="0" borderId="1" xfId="11" applyNumberFormat="1" applyFont="1" applyFill="1" applyBorder="1" applyAlignment="1">
      <alignment horizontal="center" vertical="center" wrapText="1"/>
    </xf>
    <xf numFmtId="166" fontId="5" fillId="0" borderId="1" xfId="12" applyNumberFormat="1" applyFont="1" applyBorder="1" applyAlignment="1">
      <alignment horizontal="right" vertical="center"/>
    </xf>
    <xf numFmtId="169" fontId="5" fillId="3" borderId="1" xfId="9" applyNumberFormat="1" applyFont="1" applyFill="1" applyBorder="1" applyAlignment="1">
      <alignment horizontal="right"/>
    </xf>
    <xf numFmtId="169" fontId="3" fillId="3" borderId="1" xfId="9" applyNumberFormat="1" applyFont="1" applyFill="1" applyBorder="1" applyAlignment="1">
      <alignment horizontal="right" vertical="center"/>
    </xf>
    <xf numFmtId="171" fontId="3" fillId="0" borderId="0" xfId="9" applyNumberFormat="1" applyFont="1"/>
    <xf numFmtId="178" fontId="5" fillId="0" borderId="0" xfId="9" applyNumberFormat="1" applyFont="1"/>
    <xf numFmtId="0" fontId="16" fillId="3" borderId="0" xfId="0" applyFont="1" applyFill="1"/>
    <xf numFmtId="0" fontId="16" fillId="0" borderId="0" xfId="0" applyFont="1" applyFill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/>
    <xf numFmtId="0" fontId="16" fillId="3" borderId="0" xfId="0" applyFont="1" applyFill="1" applyAlignment="1">
      <alignment horizontal="left"/>
    </xf>
    <xf numFmtId="0" fontId="16" fillId="3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0" fontId="18" fillId="3" borderId="5" xfId="0" applyFont="1" applyFill="1" applyBorder="1" applyAlignment="1">
      <alignment vertical="center" wrapText="1"/>
    </xf>
    <xf numFmtId="0" fontId="18" fillId="3" borderId="0" xfId="0" applyFont="1" applyFill="1"/>
    <xf numFmtId="0" fontId="18" fillId="3" borderId="0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3" borderId="1" xfId="10" applyFont="1" applyFill="1" applyBorder="1" applyAlignment="1">
      <alignment vertical="center" wrapText="1"/>
    </xf>
    <xf numFmtId="0" fontId="20" fillId="3" borderId="1" xfId="10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/>
    <xf numFmtId="167" fontId="18" fillId="3" borderId="1" xfId="0" applyNumberFormat="1" applyFont="1" applyFill="1" applyBorder="1" applyAlignment="1">
      <alignment vertical="center" wrapText="1"/>
    </xf>
    <xf numFmtId="167" fontId="16" fillId="3" borderId="1" xfId="0" applyNumberFormat="1" applyFont="1" applyFill="1" applyBorder="1"/>
    <xf numFmtId="167" fontId="18" fillId="3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  <protection locked="0"/>
    </xf>
    <xf numFmtId="167" fontId="18" fillId="3" borderId="1" xfId="0" applyNumberFormat="1" applyFont="1" applyFill="1" applyBorder="1" applyAlignment="1">
      <alignment horizontal="right" vertical="center" wrapText="1"/>
    </xf>
    <xf numFmtId="167" fontId="21" fillId="3" borderId="1" xfId="0" applyNumberFormat="1" applyFont="1" applyFill="1" applyBorder="1" applyAlignment="1" applyProtection="1">
      <alignment vertical="center" wrapText="1"/>
      <protection locked="0"/>
    </xf>
    <xf numFmtId="167" fontId="17" fillId="3" borderId="1" xfId="0" applyNumberFormat="1" applyFont="1" applyFill="1" applyBorder="1" applyAlignment="1">
      <alignment vertical="center" wrapText="1"/>
    </xf>
    <xf numFmtId="168" fontId="18" fillId="3" borderId="0" xfId="0" applyNumberFormat="1" applyFont="1" applyFill="1" applyBorder="1"/>
    <xf numFmtId="172" fontId="18" fillId="3" borderId="0" xfId="0" applyNumberFormat="1" applyFont="1" applyFill="1"/>
    <xf numFmtId="0" fontId="20" fillId="0" borderId="1" xfId="10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 applyProtection="1">
      <alignment vertical="center" wrapText="1"/>
      <protection locked="0"/>
    </xf>
    <xf numFmtId="167" fontId="18" fillId="0" borderId="1" xfId="0" applyNumberFormat="1" applyFont="1" applyFill="1" applyBorder="1" applyAlignment="1">
      <alignment horizontal="right" vertical="center" wrapText="1"/>
    </xf>
    <xf numFmtId="167" fontId="21" fillId="0" borderId="1" xfId="0" applyNumberFormat="1" applyFont="1" applyFill="1" applyBorder="1" applyAlignment="1" applyProtection="1">
      <alignment vertical="center" wrapText="1"/>
      <protection locked="0"/>
    </xf>
    <xf numFmtId="167" fontId="16" fillId="0" borderId="1" xfId="0" applyNumberFormat="1" applyFont="1" applyFill="1" applyBorder="1"/>
    <xf numFmtId="0" fontId="18" fillId="4" borderId="0" xfId="0" applyFont="1" applyFill="1"/>
    <xf numFmtId="0" fontId="18" fillId="3" borderId="0" xfId="0" applyFont="1" applyFill="1" applyAlignment="1"/>
    <xf numFmtId="0" fontId="19" fillId="3" borderId="3" xfId="10" applyFont="1" applyFill="1" applyBorder="1" applyAlignment="1">
      <alignment vertical="center" wrapText="1"/>
    </xf>
    <xf numFmtId="0" fontId="20" fillId="3" borderId="5" xfId="10" applyFont="1" applyFill="1" applyBorder="1" applyAlignment="1" applyProtection="1">
      <alignment vertical="center" wrapText="1"/>
      <protection locked="0"/>
    </xf>
    <xf numFmtId="180" fontId="18" fillId="3" borderId="1" xfId="0" applyNumberFormat="1" applyFont="1" applyFill="1" applyBorder="1" applyAlignment="1" applyProtection="1">
      <alignment vertical="center" wrapText="1"/>
      <protection locked="0"/>
    </xf>
    <xf numFmtId="4" fontId="25" fillId="3" borderId="1" xfId="0" applyNumberFormat="1" applyFont="1" applyFill="1" applyBorder="1" applyAlignment="1">
      <alignment vertical="center" wrapText="1"/>
    </xf>
    <xf numFmtId="4" fontId="18" fillId="3" borderId="0" xfId="0" applyNumberFormat="1" applyFont="1" applyFill="1"/>
    <xf numFmtId="4" fontId="28" fillId="0" borderId="0" xfId="0" applyNumberFormat="1" applyFont="1" applyFill="1"/>
    <xf numFmtId="177" fontId="28" fillId="0" borderId="0" xfId="12" applyNumberFormat="1" applyFont="1" applyFill="1"/>
    <xf numFmtId="167" fontId="16" fillId="0" borderId="0" xfId="0" applyNumberFormat="1" applyFont="1" applyFill="1"/>
    <xf numFmtId="172" fontId="16" fillId="3" borderId="0" xfId="0" applyNumberFormat="1" applyFont="1" applyFill="1"/>
    <xf numFmtId="175" fontId="16" fillId="3" borderId="0" xfId="0" applyNumberFormat="1" applyFont="1" applyFill="1"/>
    <xf numFmtId="168" fontId="16" fillId="3" borderId="0" xfId="0" applyNumberFormat="1" applyFont="1" applyFill="1"/>
    <xf numFmtId="166" fontId="16" fillId="3" borderId="0" xfId="0" applyNumberFormat="1" applyFont="1" applyFill="1"/>
    <xf numFmtId="172" fontId="28" fillId="3" borderId="0" xfId="0" applyNumberFormat="1" applyFont="1" applyFill="1"/>
    <xf numFmtId="167" fontId="16" fillId="3" borderId="0" xfId="0" applyNumberFormat="1" applyFont="1" applyFill="1"/>
    <xf numFmtId="2" fontId="16" fillId="3" borderId="0" xfId="0" applyNumberFormat="1" applyFont="1" applyFill="1"/>
    <xf numFmtId="173" fontId="16" fillId="3" borderId="0" xfId="0" applyNumberFormat="1" applyFont="1" applyFill="1"/>
    <xf numFmtId="166" fontId="16" fillId="3" borderId="0" xfId="1" applyNumberFormat="1" applyFont="1" applyFill="1"/>
    <xf numFmtId="172" fontId="16" fillId="0" borderId="0" xfId="0" applyNumberFormat="1" applyFont="1" applyFill="1"/>
    <xf numFmtId="172" fontId="28" fillId="0" borderId="0" xfId="0" applyNumberFormat="1" applyFont="1" applyFill="1"/>
    <xf numFmtId="182" fontId="16" fillId="3" borderId="0" xfId="0" applyNumberFormat="1" applyFont="1" applyFill="1"/>
    <xf numFmtId="180" fontId="16" fillId="3" borderId="0" xfId="0" applyNumberFormat="1" applyFont="1" applyFill="1"/>
    <xf numFmtId="172" fontId="18" fillId="3" borderId="1" xfId="0" applyNumberFormat="1" applyFont="1" applyFill="1" applyBorder="1" applyAlignment="1">
      <alignment vertical="center" wrapText="1"/>
    </xf>
    <xf numFmtId="174" fontId="16" fillId="0" borderId="0" xfId="0" applyNumberFormat="1" applyFont="1" applyFill="1"/>
    <xf numFmtId="177" fontId="3" fillId="0" borderId="1" xfId="6" applyNumberFormat="1" applyFont="1" applyBorder="1" applyAlignment="1">
      <alignment horizontal="right" vertical="center"/>
    </xf>
    <xf numFmtId="0" fontId="19" fillId="5" borderId="1" xfId="10" applyFont="1" applyFill="1" applyBorder="1" applyAlignment="1">
      <alignment vertical="center" wrapText="1"/>
    </xf>
    <xf numFmtId="0" fontId="20" fillId="5" borderId="1" xfId="10" applyFont="1" applyFill="1" applyBorder="1" applyAlignment="1" applyProtection="1">
      <alignment vertical="center" wrapText="1"/>
      <protection locked="0"/>
    </xf>
    <xf numFmtId="167" fontId="18" fillId="5" borderId="1" xfId="0" applyNumberFormat="1" applyFont="1" applyFill="1" applyBorder="1" applyAlignment="1">
      <alignment vertical="center" wrapText="1"/>
    </xf>
    <xf numFmtId="167" fontId="16" fillId="5" borderId="1" xfId="0" applyNumberFormat="1" applyFont="1" applyFill="1" applyBorder="1"/>
    <xf numFmtId="167" fontId="18" fillId="5" borderId="1" xfId="0" applyNumberFormat="1" applyFont="1" applyFill="1" applyBorder="1" applyAlignment="1">
      <alignment horizontal="right" vertical="center" wrapText="1"/>
    </xf>
    <xf numFmtId="167" fontId="21" fillId="5" borderId="1" xfId="0" applyNumberFormat="1" applyFont="1" applyFill="1" applyBorder="1" applyAlignment="1" applyProtection="1">
      <alignment vertical="center" wrapText="1"/>
      <protection locked="0"/>
    </xf>
    <xf numFmtId="167" fontId="17" fillId="5" borderId="1" xfId="0" applyNumberFormat="1" applyFont="1" applyFill="1" applyBorder="1" applyAlignment="1">
      <alignment vertical="center" wrapText="1"/>
    </xf>
    <xf numFmtId="168" fontId="18" fillId="5" borderId="0" xfId="0" applyNumberFormat="1" applyFont="1" applyFill="1" applyBorder="1"/>
    <xf numFmtId="172" fontId="18" fillId="5" borderId="0" xfId="0" applyNumberFormat="1" applyFont="1" applyFill="1"/>
    <xf numFmtId="0" fontId="18" fillId="5" borderId="0" xfId="0" applyFont="1" applyFill="1"/>
    <xf numFmtId="167" fontId="26" fillId="3" borderId="1" xfId="0" applyNumberFormat="1" applyFont="1" applyFill="1" applyBorder="1" applyAlignment="1">
      <alignment vertical="center" wrapText="1"/>
    </xf>
    <xf numFmtId="167" fontId="26" fillId="0" borderId="1" xfId="0" applyNumberFormat="1" applyFont="1" applyFill="1" applyBorder="1" applyAlignment="1">
      <alignment vertical="center" wrapText="1"/>
    </xf>
    <xf numFmtId="167" fontId="21" fillId="3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vertical="center" wrapText="1"/>
    </xf>
    <xf numFmtId="179" fontId="5" fillId="0" borderId="1" xfId="6" applyNumberFormat="1" applyFont="1" applyBorder="1" applyAlignment="1">
      <alignment horizontal="right" vertical="center"/>
    </xf>
    <xf numFmtId="179" fontId="5" fillId="0" borderId="1" xfId="9" applyNumberFormat="1" applyFont="1" applyBorder="1" applyAlignment="1">
      <alignment horizontal="right" vertical="center"/>
    </xf>
    <xf numFmtId="179" fontId="3" fillId="0" borderId="1" xfId="6" applyNumberFormat="1" applyFont="1" applyBorder="1" applyAlignment="1">
      <alignment horizontal="right" vertical="center"/>
    </xf>
    <xf numFmtId="1" fontId="3" fillId="0" borderId="2" xfId="11" applyNumberFormat="1" applyFont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 vertical="center" wrapText="1"/>
    </xf>
    <xf numFmtId="1" fontId="3" fillId="0" borderId="1" xfId="11" applyNumberFormat="1" applyFont="1" applyFill="1" applyBorder="1" applyAlignment="1">
      <alignment horizontal="center" vertical="center" wrapText="1"/>
    </xf>
    <xf numFmtId="166" fontId="5" fillId="0" borderId="0" xfId="9" applyNumberFormat="1" applyFont="1" applyAlignment="1">
      <alignment horizontal="right"/>
    </xf>
    <xf numFmtId="165" fontId="3" fillId="0" borderId="1" xfId="9" applyNumberFormat="1" applyFont="1" applyBorder="1" applyAlignment="1">
      <alignment horizontal="right" vertical="center"/>
    </xf>
    <xf numFmtId="165" fontId="3" fillId="0" borderId="2" xfId="11" applyNumberFormat="1" applyFont="1" applyBorder="1" applyAlignment="1">
      <alignment horizontal="right" vertical="center"/>
    </xf>
    <xf numFmtId="165" fontId="3" fillId="0" borderId="1" xfId="11" applyNumberFormat="1" applyFont="1" applyBorder="1" applyAlignment="1">
      <alignment horizontal="center" vertical="center" wrapText="1"/>
    </xf>
    <xf numFmtId="169" fontId="7" fillId="0" borderId="0" xfId="8" applyNumberFormat="1" applyFont="1"/>
    <xf numFmtId="167" fontId="3" fillId="0" borderId="2" xfId="11" applyNumberFormat="1" applyFont="1" applyBorder="1" applyAlignment="1">
      <alignment horizontal="right" vertical="center"/>
    </xf>
    <xf numFmtId="166" fontId="5" fillId="2" borderId="1" xfId="3" applyNumberFormat="1" applyFont="1" applyFill="1" applyBorder="1" applyAlignment="1">
      <alignment horizontal="right" vertical="center" shrinkToFit="1"/>
    </xf>
    <xf numFmtId="166" fontId="5" fillId="2" borderId="1" xfId="4" applyNumberFormat="1" applyFont="1" applyFill="1" applyBorder="1" applyAlignment="1">
      <alignment horizontal="right" vertical="center" shrinkToFit="1"/>
    </xf>
    <xf numFmtId="167" fontId="25" fillId="0" borderId="1" xfId="0" applyNumberFormat="1" applyFont="1" applyFill="1" applyBorder="1" applyAlignment="1">
      <alignment vertical="center" wrapText="1"/>
    </xf>
    <xf numFmtId="166" fontId="5" fillId="0" borderId="0" xfId="9" applyNumberFormat="1" applyFont="1" applyFill="1"/>
    <xf numFmtId="0" fontId="11" fillId="0" borderId="1" xfId="11" applyFont="1" applyBorder="1"/>
    <xf numFmtId="0" fontId="12" fillId="0" borderId="1" xfId="11" applyFont="1" applyBorder="1" applyAlignment="1">
      <alignment wrapText="1"/>
    </xf>
    <xf numFmtId="0" fontId="11" fillId="0" borderId="1" xfId="11" applyFont="1" applyBorder="1" applyAlignment="1">
      <alignment wrapText="1"/>
    </xf>
    <xf numFmtId="0" fontId="12" fillId="0" borderId="1" xfId="11" applyFont="1" applyBorder="1"/>
    <xf numFmtId="0" fontId="12" fillId="0" borderId="1" xfId="11" applyFont="1" applyFill="1" applyBorder="1"/>
    <xf numFmtId="166" fontId="11" fillId="0" borderId="1" xfId="11" applyNumberFormat="1" applyFont="1" applyBorder="1" applyAlignment="1">
      <alignment wrapText="1"/>
    </xf>
    <xf numFmtId="0" fontId="11" fillId="0" borderId="1" xfId="11" applyFont="1" applyBorder="1" applyAlignment="1">
      <alignment vertical="top" wrapText="1"/>
    </xf>
    <xf numFmtId="0" fontId="12" fillId="0" borderId="1" xfId="11" applyFont="1" applyFill="1" applyBorder="1" applyAlignment="1">
      <alignment wrapText="1"/>
    </xf>
    <xf numFmtId="0" fontId="12" fillId="0" borderId="1" xfId="11" applyFont="1" applyBorder="1" applyAlignment="1">
      <alignment horizontal="left" wrapText="1"/>
    </xf>
    <xf numFmtId="0" fontId="11" fillId="0" borderId="1" xfId="11" applyFont="1" applyFill="1" applyBorder="1"/>
    <xf numFmtId="0" fontId="11" fillId="3" borderId="1" xfId="9" applyFont="1" applyFill="1" applyBorder="1" applyAlignment="1">
      <alignment wrapText="1"/>
    </xf>
    <xf numFmtId="0" fontId="12" fillId="3" borderId="1" xfId="9" applyFont="1" applyFill="1" applyBorder="1" applyAlignment="1">
      <alignment wrapText="1"/>
    </xf>
    <xf numFmtId="0" fontId="12" fillId="0" borderId="1" xfId="9" applyFont="1" applyBorder="1" applyAlignment="1">
      <alignment wrapText="1"/>
    </xf>
    <xf numFmtId="0" fontId="11" fillId="3" borderId="1" xfId="8" applyFont="1" applyFill="1" applyBorder="1" applyAlignment="1">
      <alignment wrapText="1"/>
    </xf>
    <xf numFmtId="0" fontId="12" fillId="0" borderId="1" xfId="8" applyFont="1" applyBorder="1" applyAlignment="1">
      <alignment wrapText="1"/>
    </xf>
    <xf numFmtId="0" fontId="31" fillId="0" borderId="1" xfId="7" applyFont="1" applyBorder="1" applyAlignment="1">
      <alignment wrapText="1"/>
    </xf>
    <xf numFmtId="0" fontId="12" fillId="0" borderId="1" xfId="9" applyFont="1" applyBorder="1" applyAlignment="1">
      <alignment horizontal="left" wrapText="1"/>
    </xf>
    <xf numFmtId="0" fontId="11" fillId="3" borderId="1" xfId="9" applyFont="1" applyFill="1" applyBorder="1" applyAlignment="1">
      <alignment horizontal="left" wrapText="1"/>
    </xf>
    <xf numFmtId="0" fontId="12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wrapText="1"/>
    </xf>
    <xf numFmtId="0" fontId="11" fillId="0" borderId="1" xfId="9" applyFont="1" applyFill="1" applyBorder="1" applyAlignment="1">
      <alignment horizontal="center" wrapText="1"/>
    </xf>
    <xf numFmtId="166" fontId="5" fillId="2" borderId="1" xfId="5" applyNumberFormat="1" applyFont="1" applyFill="1" applyBorder="1" applyAlignment="1">
      <alignment horizontal="right" vertical="top" shrinkToFit="1"/>
    </xf>
    <xf numFmtId="166" fontId="3" fillId="0" borderId="1" xfId="0" applyNumberFormat="1" applyFont="1" applyBorder="1" applyAlignment="1">
      <alignment horizontal="right" vertical="center"/>
    </xf>
    <xf numFmtId="166" fontId="5" fillId="0" borderId="0" xfId="9" applyNumberFormat="1" applyFont="1"/>
    <xf numFmtId="166" fontId="5" fillId="0" borderId="1" xfId="0" applyNumberFormat="1" applyFont="1" applyFill="1" applyBorder="1" applyAlignment="1">
      <alignment horizontal="right" vertical="center"/>
    </xf>
    <xf numFmtId="169" fontId="3" fillId="0" borderId="1" xfId="11" applyNumberFormat="1" applyFont="1" applyBorder="1" applyAlignment="1">
      <alignment horizontal="right" vertical="center"/>
    </xf>
    <xf numFmtId="167" fontId="3" fillId="0" borderId="1" xfId="9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 vertical="center"/>
    </xf>
    <xf numFmtId="169" fontId="5" fillId="0" borderId="1" xfId="12" applyNumberFormat="1" applyFont="1" applyBorder="1" applyAlignment="1">
      <alignment horizontal="right"/>
    </xf>
    <xf numFmtId="169" fontId="5" fillId="0" borderId="1" xfId="12" applyNumberFormat="1" applyFont="1" applyFill="1" applyBorder="1" applyAlignment="1">
      <alignment horizontal="right" vertical="center"/>
    </xf>
    <xf numFmtId="169" fontId="5" fillId="2" borderId="1" xfId="12" applyNumberFormat="1" applyFont="1" applyFill="1" applyBorder="1" applyAlignment="1">
      <alignment horizontal="right" vertical="top" shrinkToFit="1"/>
    </xf>
    <xf numFmtId="167" fontId="16" fillId="0" borderId="1" xfId="0" applyNumberFormat="1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 wrapText="1"/>
    </xf>
    <xf numFmtId="167" fontId="27" fillId="0" borderId="1" xfId="0" applyNumberFormat="1" applyFont="1" applyFill="1" applyBorder="1" applyAlignment="1">
      <alignment vertical="center" wrapText="1"/>
    </xf>
    <xf numFmtId="167" fontId="25" fillId="3" borderId="1" xfId="0" applyNumberFormat="1" applyFont="1" applyFill="1" applyBorder="1" applyAlignment="1">
      <alignment horizontal="right" vertical="center" wrapText="1"/>
    </xf>
    <xf numFmtId="167" fontId="18" fillId="3" borderId="1" xfId="0" applyNumberFormat="1" applyFont="1" applyFill="1" applyBorder="1" applyAlignment="1" applyProtection="1">
      <alignment vertical="center" wrapText="1"/>
    </xf>
    <xf numFmtId="167" fontId="18" fillId="0" borderId="1" xfId="0" applyNumberFormat="1" applyFont="1" applyFill="1" applyBorder="1" applyAlignment="1" applyProtection="1">
      <alignment vertical="center" wrapText="1"/>
    </xf>
    <xf numFmtId="167" fontId="18" fillId="5" borderId="1" xfId="0" applyNumberFormat="1" applyFont="1" applyFill="1" applyBorder="1" applyAlignment="1" applyProtection="1">
      <alignment vertical="center" wrapText="1"/>
    </xf>
    <xf numFmtId="172" fontId="3" fillId="0" borderId="0" xfId="9" applyNumberFormat="1" applyFont="1"/>
    <xf numFmtId="166" fontId="32" fillId="0" borderId="1" xfId="11" applyNumberFormat="1" applyFont="1" applyBorder="1" applyAlignment="1">
      <alignment horizontal="right" vertical="center"/>
    </xf>
    <xf numFmtId="166" fontId="33" fillId="0" borderId="1" xfId="11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 vertical="center"/>
    </xf>
    <xf numFmtId="166" fontId="33" fillId="0" borderId="0" xfId="9" applyNumberFormat="1" applyFont="1" applyAlignment="1">
      <alignment horizontal="right" vertical="center"/>
    </xf>
    <xf numFmtId="166" fontId="32" fillId="0" borderId="1" xfId="11" applyNumberFormat="1" applyFont="1" applyBorder="1" applyAlignment="1">
      <alignment horizontal="center" vertical="center" wrapText="1"/>
    </xf>
    <xf numFmtId="166" fontId="32" fillId="0" borderId="1" xfId="11" applyNumberFormat="1" applyFont="1" applyBorder="1" applyAlignment="1">
      <alignment horizontal="center" vertical="center"/>
    </xf>
    <xf numFmtId="1" fontId="32" fillId="0" borderId="1" xfId="9" applyNumberFormat="1" applyFont="1" applyBorder="1" applyAlignment="1">
      <alignment horizontal="center" vertical="center" wrapText="1"/>
    </xf>
    <xf numFmtId="166" fontId="32" fillId="0" borderId="1" xfId="6" applyNumberFormat="1" applyFont="1" applyBorder="1" applyAlignment="1">
      <alignment horizontal="right"/>
    </xf>
    <xf numFmtId="166" fontId="33" fillId="0" borderId="1" xfId="6" applyNumberFormat="1" applyFont="1" applyBorder="1" applyAlignment="1">
      <alignment horizontal="right"/>
    </xf>
    <xf numFmtId="166" fontId="29" fillId="0" borderId="1" xfId="0" applyNumberFormat="1" applyFont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66" fontId="29" fillId="3" borderId="1" xfId="0" applyNumberFormat="1" applyFont="1" applyFill="1" applyBorder="1" applyAlignment="1">
      <alignment horizontal="center" vertical="center" wrapText="1"/>
    </xf>
    <xf numFmtId="2" fontId="29" fillId="3" borderId="1" xfId="0" applyNumberFormat="1" applyFont="1" applyFill="1" applyBorder="1" applyAlignment="1">
      <alignment horizontal="center" vertical="center" wrapText="1"/>
    </xf>
    <xf numFmtId="166" fontId="29" fillId="6" borderId="1" xfId="0" applyNumberFormat="1" applyFont="1" applyFill="1" applyBorder="1" applyAlignment="1">
      <alignment horizontal="center" vertical="center" wrapText="1"/>
    </xf>
    <xf numFmtId="166" fontId="30" fillId="0" borderId="1" xfId="0" applyNumberFormat="1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 wrapText="1"/>
    </xf>
    <xf numFmtId="166" fontId="30" fillId="6" borderId="1" xfId="0" applyNumberFormat="1" applyFont="1" applyFill="1" applyBorder="1" applyAlignment="1">
      <alignment horizontal="center" vertical="center" wrapText="1"/>
    </xf>
    <xf numFmtId="167" fontId="30" fillId="3" borderId="1" xfId="0" applyNumberFormat="1" applyFont="1" applyFill="1" applyBorder="1" applyAlignment="1">
      <alignment horizontal="center" vertical="center" wrapText="1"/>
    </xf>
    <xf numFmtId="167" fontId="30" fillId="0" borderId="1" xfId="0" applyNumberFormat="1" applyFont="1" applyBorder="1" applyAlignment="1">
      <alignment horizontal="center" vertical="center" wrapText="1"/>
    </xf>
    <xf numFmtId="2" fontId="30" fillId="3" borderId="1" xfId="0" applyNumberFormat="1" applyFont="1" applyFill="1" applyBorder="1" applyAlignment="1">
      <alignment horizontal="center" vertical="center" wrapText="1"/>
    </xf>
    <xf numFmtId="167" fontId="30" fillId="0" borderId="3" xfId="0" applyNumberFormat="1" applyFont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166" fontId="5" fillId="5" borderId="1" xfId="11" applyNumberFormat="1" applyFont="1" applyFill="1" applyBorder="1" applyAlignment="1">
      <alignment horizontal="right" vertical="center"/>
    </xf>
    <xf numFmtId="1" fontId="3" fillId="0" borderId="1" xfId="11" applyNumberFormat="1" applyFont="1" applyBorder="1" applyAlignment="1">
      <alignment horizontal="center"/>
    </xf>
    <xf numFmtId="2" fontId="3" fillId="0" borderId="0" xfId="9" applyNumberFormat="1" applyFont="1"/>
    <xf numFmtId="2" fontId="5" fillId="0" borderId="0" xfId="0" applyNumberFormat="1" applyFont="1" applyBorder="1" applyAlignment="1">
      <alignment horizontal="center" vertical="center" wrapText="1"/>
    </xf>
    <xf numFmtId="0" fontId="18" fillId="5" borderId="0" xfId="0" applyFont="1" applyFill="1" applyAlignment="1"/>
    <xf numFmtId="169" fontId="3" fillId="0" borderId="2" xfId="11" applyNumberFormat="1" applyFont="1" applyBorder="1" applyAlignment="1">
      <alignment horizontal="right" vertical="center"/>
    </xf>
    <xf numFmtId="167" fontId="5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Fill="1" applyBorder="1" applyAlignment="1">
      <alignment horizontal="right" vertical="center"/>
    </xf>
    <xf numFmtId="169" fontId="5" fillId="0" borderId="1" xfId="11" applyNumberFormat="1" applyFont="1" applyBorder="1" applyAlignment="1">
      <alignment horizontal="right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1" xfId="0" applyNumberFormat="1" applyFont="1" applyBorder="1" applyAlignment="1">
      <alignment horizontal="right" vertical="center"/>
    </xf>
    <xf numFmtId="169" fontId="3" fillId="0" borderId="1" xfId="11" applyNumberFormat="1" applyFont="1" applyFill="1" applyBorder="1" applyAlignment="1">
      <alignment horizontal="right" vertical="center"/>
    </xf>
    <xf numFmtId="169" fontId="3" fillId="0" borderId="1" xfId="1" applyNumberFormat="1" applyFont="1" applyBorder="1" applyAlignment="1">
      <alignment horizontal="right" vertical="center"/>
    </xf>
    <xf numFmtId="169" fontId="5" fillId="3" borderId="1" xfId="0" applyNumberFormat="1" applyFont="1" applyFill="1" applyBorder="1" applyAlignment="1">
      <alignment horizontal="right" vertical="center"/>
    </xf>
    <xf numFmtId="169" fontId="5" fillId="2" borderId="1" xfId="2" applyNumberFormat="1" applyFont="1" applyFill="1" applyBorder="1" applyAlignment="1">
      <alignment horizontal="right" vertical="center" shrinkToFit="1"/>
    </xf>
    <xf numFmtId="169" fontId="5" fillId="2" borderId="1" xfId="3" applyNumberFormat="1" applyFont="1" applyFill="1" applyBorder="1" applyAlignment="1">
      <alignment horizontal="right" vertical="center" shrinkToFit="1"/>
    </xf>
    <xf numFmtId="169" fontId="5" fillId="2" borderId="1" xfId="4" applyNumberFormat="1" applyFont="1" applyFill="1" applyBorder="1" applyAlignment="1">
      <alignment horizontal="right" vertical="center" shrinkToFit="1"/>
    </xf>
    <xf numFmtId="169" fontId="3" fillId="0" borderId="1" xfId="0" applyNumberFormat="1" applyFont="1" applyBorder="1" applyAlignment="1">
      <alignment horizontal="right" vertical="center"/>
    </xf>
    <xf numFmtId="167" fontId="5" fillId="0" borderId="1" xfId="11" applyNumberFormat="1" applyFont="1" applyBorder="1" applyAlignment="1">
      <alignment horizontal="right" vertical="center"/>
    </xf>
    <xf numFmtId="177" fontId="5" fillId="0" borderId="1" xfId="11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1" xfId="11" applyNumberFormat="1" applyFont="1" applyFill="1" applyBorder="1" applyAlignment="1">
      <alignment horizontal="right" vertical="center"/>
    </xf>
    <xf numFmtId="172" fontId="5" fillId="0" borderId="0" xfId="9" applyNumberFormat="1" applyFont="1" applyAlignment="1">
      <alignment horizontal="center"/>
    </xf>
    <xf numFmtId="172" fontId="5" fillId="0" borderId="0" xfId="9" applyNumberFormat="1" applyFont="1" applyAlignment="1">
      <alignment horizontal="right"/>
    </xf>
    <xf numFmtId="169" fontId="5" fillId="5" borderId="1" xfId="9" applyNumberFormat="1" applyFont="1" applyFill="1" applyBorder="1" applyAlignment="1">
      <alignment horizontal="right" vertical="center"/>
    </xf>
    <xf numFmtId="169" fontId="3" fillId="5" borderId="1" xfId="6" applyNumberFormat="1" applyFont="1" applyFill="1" applyBorder="1" applyAlignment="1">
      <alignment horizontal="right" vertical="center"/>
    </xf>
    <xf numFmtId="169" fontId="5" fillId="5" borderId="1" xfId="6" applyNumberFormat="1" applyFont="1" applyFill="1" applyBorder="1" applyAlignment="1">
      <alignment horizontal="right" vertical="center"/>
    </xf>
    <xf numFmtId="179" fontId="5" fillId="5" borderId="1" xfId="6" applyNumberFormat="1" applyFont="1" applyFill="1" applyBorder="1" applyAlignment="1">
      <alignment horizontal="right" vertical="center"/>
    </xf>
    <xf numFmtId="179" fontId="5" fillId="5" borderId="1" xfId="9" applyNumberFormat="1" applyFont="1" applyFill="1" applyBorder="1" applyAlignment="1">
      <alignment horizontal="right" vertical="center"/>
    </xf>
    <xf numFmtId="172" fontId="3" fillId="0" borderId="2" xfId="11" applyNumberFormat="1" applyFont="1" applyBorder="1" applyAlignment="1">
      <alignment horizontal="right" vertical="center"/>
    </xf>
    <xf numFmtId="166" fontId="3" fillId="2" borderId="1" xfId="4" applyNumberFormat="1" applyFont="1" applyFill="1" applyBorder="1" applyAlignment="1">
      <alignment horizontal="right" vertical="center" shrinkToFit="1"/>
    </xf>
    <xf numFmtId="166" fontId="36" fillId="0" borderId="1" xfId="6" applyNumberFormat="1" applyFont="1" applyBorder="1" applyAlignment="1">
      <alignment horizontal="right"/>
    </xf>
    <xf numFmtId="0" fontId="37" fillId="0" borderId="1" xfId="11" applyFont="1" applyBorder="1" applyAlignment="1">
      <alignment horizontal="center"/>
    </xf>
    <xf numFmtId="0" fontId="37" fillId="0" borderId="1" xfId="11" applyFont="1" applyBorder="1" applyAlignment="1"/>
    <xf numFmtId="172" fontId="26" fillId="3" borderId="1" xfId="0" applyNumberFormat="1" applyFont="1" applyFill="1" applyBorder="1" applyAlignment="1">
      <alignment vertical="center" wrapText="1"/>
    </xf>
    <xf numFmtId="172" fontId="5" fillId="0" borderId="0" xfId="9" applyNumberFormat="1" applyFont="1"/>
    <xf numFmtId="172" fontId="18" fillId="0" borderId="1" xfId="0" applyNumberFormat="1" applyFont="1" applyFill="1" applyBorder="1" applyAlignment="1">
      <alignment vertical="center" wrapText="1"/>
    </xf>
    <xf numFmtId="172" fontId="18" fillId="5" borderId="1" xfId="0" applyNumberFormat="1" applyFont="1" applyFill="1" applyBorder="1" applyAlignment="1">
      <alignment vertical="center" wrapText="1"/>
    </xf>
    <xf numFmtId="173" fontId="27" fillId="0" borderId="1" xfId="0" applyNumberFormat="1" applyFont="1" applyFill="1" applyBorder="1" applyAlignment="1">
      <alignment vertical="center" wrapText="1"/>
    </xf>
    <xf numFmtId="183" fontId="25" fillId="3" borderId="1" xfId="0" applyNumberFormat="1" applyFont="1" applyFill="1" applyBorder="1" applyAlignment="1">
      <alignment vertical="center" wrapText="1"/>
    </xf>
    <xf numFmtId="166" fontId="33" fillId="0" borderId="1" xfId="11" applyNumberFormat="1" applyFont="1" applyFill="1" applyBorder="1" applyAlignment="1">
      <alignment horizontal="right" vertical="center"/>
    </xf>
    <xf numFmtId="166" fontId="33" fillId="0" borderId="1" xfId="0" applyNumberFormat="1" applyFont="1" applyBorder="1" applyAlignment="1">
      <alignment horizontal="right" vertical="center"/>
    </xf>
    <xf numFmtId="166" fontId="33" fillId="3" borderId="1" xfId="0" applyNumberFormat="1" applyFont="1" applyFill="1" applyBorder="1" applyAlignment="1">
      <alignment horizontal="right" vertical="center"/>
    </xf>
    <xf numFmtId="166" fontId="32" fillId="0" borderId="1" xfId="0" applyNumberFormat="1" applyFont="1" applyBorder="1" applyAlignment="1">
      <alignment horizontal="right" vertical="center"/>
    </xf>
    <xf numFmtId="166" fontId="33" fillId="3" borderId="1" xfId="12" applyNumberFormat="1" applyFont="1" applyFill="1" applyBorder="1" applyAlignment="1">
      <alignment horizontal="right" vertical="center"/>
    </xf>
    <xf numFmtId="166" fontId="33" fillId="3" borderId="1" xfId="11" applyNumberFormat="1" applyFont="1" applyFill="1" applyBorder="1" applyAlignment="1">
      <alignment horizontal="right" vertical="center"/>
    </xf>
    <xf numFmtId="166" fontId="32" fillId="3" borderId="1" xfId="1" applyNumberFormat="1" applyFont="1" applyFill="1" applyBorder="1" applyAlignment="1">
      <alignment horizontal="right" vertical="center"/>
    </xf>
    <xf numFmtId="166" fontId="33" fillId="2" borderId="1" xfId="2" applyNumberFormat="1" applyFont="1" applyFill="1" applyBorder="1" applyAlignment="1">
      <alignment horizontal="right" vertical="center" shrinkToFit="1"/>
    </xf>
    <xf numFmtId="166" fontId="33" fillId="2" borderId="1" xfId="3" applyNumberFormat="1" applyFont="1" applyFill="1" applyBorder="1" applyAlignment="1">
      <alignment horizontal="right" vertical="center" shrinkToFit="1"/>
    </xf>
    <xf numFmtId="166" fontId="33" fillId="2" borderId="1" xfId="4" applyNumberFormat="1" applyFont="1" applyFill="1" applyBorder="1" applyAlignment="1">
      <alignment horizontal="right" vertical="center" shrinkToFit="1"/>
    </xf>
    <xf numFmtId="166" fontId="32" fillId="0" borderId="1" xfId="11" applyNumberFormat="1" applyFont="1" applyFill="1" applyBorder="1" applyAlignment="1">
      <alignment horizontal="right" vertical="center"/>
    </xf>
    <xf numFmtId="166" fontId="32" fillId="5" borderId="1" xfId="12" applyNumberFormat="1" applyFont="1" applyFill="1" applyBorder="1" applyAlignment="1">
      <alignment horizontal="right" vertical="center"/>
    </xf>
    <xf numFmtId="166" fontId="32" fillId="0" borderId="2" xfId="11" applyNumberFormat="1" applyFont="1" applyBorder="1" applyAlignment="1">
      <alignment horizontal="right" vertical="center"/>
    </xf>
    <xf numFmtId="166" fontId="32" fillId="0" borderId="1" xfId="11" applyNumberFormat="1" applyFont="1" applyFill="1" applyBorder="1" applyAlignment="1">
      <alignment horizontal="center" vertical="center" wrapText="1"/>
    </xf>
    <xf numFmtId="166" fontId="33" fillId="0" borderId="1" xfId="9" applyNumberFormat="1" applyFont="1" applyBorder="1" applyAlignment="1">
      <alignment horizontal="right" vertical="center"/>
    </xf>
    <xf numFmtId="166" fontId="33" fillId="0" borderId="1" xfId="9" applyNumberFormat="1" applyFont="1" applyBorder="1" applyAlignment="1">
      <alignment horizontal="right"/>
    </xf>
    <xf numFmtId="166" fontId="33" fillId="0" borderId="1" xfId="9" applyNumberFormat="1" applyFont="1" applyBorder="1" applyAlignment="1">
      <alignment horizontal="right" vertical="center" wrapText="1"/>
    </xf>
    <xf numFmtId="166" fontId="32" fillId="0" borderId="1" xfId="6" applyNumberFormat="1" applyFont="1" applyBorder="1" applyAlignment="1">
      <alignment horizontal="right" vertical="center"/>
    </xf>
    <xf numFmtId="166" fontId="33" fillId="0" borderId="1" xfId="6" applyNumberFormat="1" applyFont="1" applyBorder="1" applyAlignment="1">
      <alignment horizontal="right" vertical="center"/>
    </xf>
    <xf numFmtId="166" fontId="32" fillId="0" borderId="1" xfId="9" applyNumberFormat="1" applyFont="1" applyBorder="1" applyAlignment="1">
      <alignment horizontal="right"/>
    </xf>
    <xf numFmtId="166" fontId="3" fillId="0" borderId="0" xfId="9" applyNumberFormat="1" applyFont="1" applyAlignment="1">
      <alignment horizontal="right"/>
    </xf>
    <xf numFmtId="166" fontId="3" fillId="0" borderId="0" xfId="9" applyNumberFormat="1" applyFont="1" applyAlignment="1">
      <alignment horizontal="right" vertical="center"/>
    </xf>
    <xf numFmtId="180" fontId="26" fillId="3" borderId="1" xfId="0" applyNumberFormat="1" applyFont="1" applyFill="1" applyBorder="1" applyAlignment="1">
      <alignment vertical="center" wrapText="1"/>
    </xf>
    <xf numFmtId="172" fontId="7" fillId="0" borderId="0" xfId="8" applyNumberFormat="1" applyFont="1"/>
    <xf numFmtId="177" fontId="3" fillId="0" borderId="0" xfId="9" applyNumberFormat="1" applyFont="1"/>
    <xf numFmtId="2" fontId="3" fillId="0" borderId="1" xfId="11" applyNumberFormat="1" applyFont="1" applyBorder="1" applyAlignment="1">
      <alignment horizontal="right" vertical="center"/>
    </xf>
    <xf numFmtId="172" fontId="3" fillId="0" borderId="1" xfId="12" applyNumberFormat="1" applyFont="1" applyBorder="1" applyAlignment="1">
      <alignment horizontal="right" vertical="center"/>
    </xf>
    <xf numFmtId="166" fontId="3" fillId="5" borderId="1" xfId="11" applyNumberFormat="1" applyFont="1" applyFill="1" applyBorder="1" applyAlignment="1">
      <alignment horizontal="right" vertical="center"/>
    </xf>
    <xf numFmtId="166" fontId="5" fillId="5" borderId="1" xfId="0" applyNumberFormat="1" applyFont="1" applyFill="1" applyBorder="1" applyAlignment="1">
      <alignment horizontal="right" vertical="center"/>
    </xf>
    <xf numFmtId="166" fontId="5" fillId="5" borderId="1" xfId="2" applyNumberFormat="1" applyFont="1" applyFill="1" applyBorder="1" applyAlignment="1">
      <alignment horizontal="right" vertical="center" shrinkToFit="1"/>
    </xf>
    <xf numFmtId="184" fontId="5" fillId="2" borderId="1" xfId="2" applyNumberFormat="1" applyFont="1" applyFill="1" applyBorder="1" applyAlignment="1">
      <alignment horizontal="right" vertical="center" shrinkToFit="1"/>
    </xf>
    <xf numFmtId="180" fontId="18" fillId="3" borderId="1" xfId="0" applyNumberFormat="1" applyFont="1" applyFill="1" applyBorder="1" applyAlignment="1">
      <alignment vertical="center" wrapText="1"/>
    </xf>
    <xf numFmtId="180" fontId="25" fillId="3" borderId="1" xfId="0" applyNumberFormat="1" applyFont="1" applyFill="1" applyBorder="1" applyAlignment="1">
      <alignment vertical="center" wrapText="1"/>
    </xf>
    <xf numFmtId="172" fontId="26" fillId="0" borderId="1" xfId="0" applyNumberFormat="1" applyFont="1" applyFill="1" applyBorder="1" applyAlignment="1">
      <alignment vertical="center" wrapText="1"/>
    </xf>
    <xf numFmtId="166" fontId="32" fillId="5" borderId="1" xfId="9" applyNumberFormat="1" applyFont="1" applyFill="1" applyBorder="1" applyAlignment="1">
      <alignment horizontal="right" vertical="center"/>
    </xf>
    <xf numFmtId="166" fontId="33" fillId="2" borderId="1" xfId="5" applyNumberFormat="1" applyFont="1" applyFill="1" applyBorder="1" applyAlignment="1">
      <alignment horizontal="right" vertical="top" shrinkToFit="1"/>
    </xf>
    <xf numFmtId="166" fontId="32" fillId="0" borderId="1" xfId="12" applyNumberFormat="1" applyFont="1" applyBorder="1" applyAlignment="1">
      <alignment horizontal="right" vertical="center"/>
    </xf>
    <xf numFmtId="0" fontId="19" fillId="0" borderId="1" xfId="10" applyFont="1" applyFill="1" applyBorder="1" applyAlignment="1">
      <alignment vertical="center" wrapText="1"/>
    </xf>
    <xf numFmtId="167" fontId="17" fillId="0" borderId="1" xfId="0" applyNumberFormat="1" applyFont="1" applyFill="1" applyBorder="1" applyAlignment="1">
      <alignment vertical="center" wrapText="1"/>
    </xf>
    <xf numFmtId="168" fontId="18" fillId="0" borderId="0" xfId="0" applyNumberFormat="1" applyFont="1" applyFill="1" applyBorder="1"/>
    <xf numFmtId="172" fontId="18" fillId="0" borderId="0" xfId="0" applyNumberFormat="1" applyFont="1" applyFill="1"/>
    <xf numFmtId="0" fontId="18" fillId="0" borderId="0" xfId="0" applyFont="1" applyFill="1"/>
    <xf numFmtId="0" fontId="22" fillId="0" borderId="1" xfId="10" applyFont="1" applyFill="1" applyBorder="1" applyAlignment="1">
      <alignment vertical="center" wrapText="1"/>
    </xf>
    <xf numFmtId="167" fontId="18" fillId="0" borderId="1" xfId="0" applyNumberFormat="1" applyFont="1" applyFill="1" applyBorder="1"/>
    <xf numFmtId="167" fontId="18" fillId="5" borderId="1" xfId="0" applyNumberFormat="1" applyFont="1" applyFill="1" applyBorder="1"/>
    <xf numFmtId="166" fontId="32" fillId="5" borderId="1" xfId="11" applyNumberFormat="1" applyFont="1" applyFill="1" applyBorder="1" applyAlignment="1">
      <alignment horizontal="right" vertical="center"/>
    </xf>
    <xf numFmtId="167" fontId="3" fillId="3" borderId="1" xfId="12" applyNumberFormat="1" applyFont="1" applyFill="1" applyBorder="1" applyAlignment="1">
      <alignment horizontal="right" vertical="center"/>
    </xf>
    <xf numFmtId="167" fontId="3" fillId="0" borderId="1" xfId="12" applyNumberFormat="1" applyFont="1" applyBorder="1" applyAlignment="1">
      <alignment horizontal="right" vertical="center"/>
    </xf>
    <xf numFmtId="166" fontId="3" fillId="5" borderId="1" xfId="12" applyNumberFormat="1" applyFont="1" applyFill="1" applyBorder="1" applyAlignment="1">
      <alignment horizontal="right" vertical="center"/>
    </xf>
    <xf numFmtId="166" fontId="3" fillId="3" borderId="1" xfId="12" applyNumberFormat="1" applyFont="1" applyFill="1" applyBorder="1" applyAlignment="1">
      <alignment horizontal="right" vertical="center"/>
    </xf>
    <xf numFmtId="169" fontId="3" fillId="3" borderId="1" xfId="12" applyNumberFormat="1" applyFont="1" applyFill="1" applyBorder="1" applyAlignment="1">
      <alignment horizontal="right" vertical="center"/>
    </xf>
    <xf numFmtId="167" fontId="35" fillId="0" borderId="1" xfId="11" applyNumberFormat="1" applyFont="1" applyBorder="1" applyAlignment="1">
      <alignment horizontal="right" vertical="center"/>
    </xf>
    <xf numFmtId="167" fontId="3" fillId="5" borderId="1" xfId="12" applyNumberFormat="1" applyFont="1" applyFill="1" applyBorder="1" applyAlignment="1">
      <alignment horizontal="right" vertical="center"/>
    </xf>
    <xf numFmtId="167" fontId="3" fillId="5" borderId="1" xfId="1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8" fillId="3" borderId="10" xfId="0" applyNumberFormat="1" applyFont="1" applyFill="1" applyBorder="1" applyAlignment="1">
      <alignment horizontal="center" vertical="center" wrapText="1"/>
    </xf>
    <xf numFmtId="49" fontId="18" fillId="3" borderId="11" xfId="0" applyNumberFormat="1" applyFont="1" applyFill="1" applyBorder="1" applyAlignment="1">
      <alignment horizontal="center" vertical="center" wrapText="1"/>
    </xf>
    <xf numFmtId="49" fontId="18" fillId="3" borderId="12" xfId="0" applyNumberFormat="1" applyFont="1" applyFill="1" applyBorder="1" applyAlignment="1">
      <alignment horizontal="center" vertical="center" wrapText="1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9" xfId="0" applyNumberFormat="1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49" fontId="18" fillId="3" borderId="7" xfId="0" applyNumberFormat="1" applyFont="1" applyFill="1" applyBorder="1" applyAlignment="1">
      <alignment horizontal="center" vertical="center" wrapText="1"/>
    </xf>
    <xf numFmtId="49" fontId="18" fillId="3" borderId="3" xfId="0" applyNumberFormat="1" applyFont="1" applyFill="1" applyBorder="1" applyAlignment="1">
      <alignment horizontal="center" vertical="center" wrapText="1"/>
    </xf>
    <xf numFmtId="49" fontId="18" fillId="3" borderId="4" xfId="0" applyNumberFormat="1" applyFont="1" applyFill="1" applyBorder="1" applyAlignment="1">
      <alignment horizontal="center" vertical="center" wrapText="1"/>
    </xf>
    <xf numFmtId="49" fontId="18" fillId="3" borderId="5" xfId="0" applyNumberFormat="1" applyFont="1" applyFill="1" applyBorder="1" applyAlignment="1">
      <alignment horizontal="center" vertical="center" wrapText="1"/>
    </xf>
    <xf numFmtId="4" fontId="23" fillId="3" borderId="3" xfId="10" applyNumberFormat="1" applyFont="1" applyFill="1" applyBorder="1" applyAlignment="1">
      <alignment horizontal="center" vertical="center" wrapText="1"/>
    </xf>
    <xf numFmtId="4" fontId="23" fillId="3" borderId="5" xfId="10" applyNumberFormat="1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/>
    </xf>
    <xf numFmtId="0" fontId="18" fillId="3" borderId="9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center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" fillId="0" borderId="0" xfId="11" applyFont="1" applyAlignment="1">
      <alignment horizontal="center"/>
    </xf>
    <xf numFmtId="0" fontId="3" fillId="0" borderId="0" xfId="11" applyFont="1" applyFill="1" applyAlignment="1">
      <alignment horizontal="center"/>
    </xf>
  </cellXfs>
  <cellStyles count="13">
    <cellStyle name="Денежный" xfId="1" builtinId="4"/>
    <cellStyle name="Обычный" xfId="0" builtinId="0"/>
    <cellStyle name="Обычный 4" xfId="2"/>
    <cellStyle name="Обычный 5" xfId="3"/>
    <cellStyle name="Обычный 6" xfId="4"/>
    <cellStyle name="Обычный 7" xfId="5"/>
    <cellStyle name="Обычный_Алек 2" xfId="6"/>
    <cellStyle name="Обычный_Анализ Кадикас. на 1.03.08" xfId="7"/>
    <cellStyle name="Обычный_Анализ Моргаш. на 1.03.08" xfId="8"/>
    <cellStyle name="Обычный_Анализ район на 1.03.08" xfId="9"/>
    <cellStyle name="Обычный_Лист1 2" xfId="10"/>
    <cellStyle name="Обычный_Лист3 2" xfId="11"/>
    <cellStyle name="Финансовый" xfId="1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561" Type="http://schemas.openxmlformats.org/officeDocument/2006/relationships/revisionLog" Target="revisionLog1.xml"/><Relationship Id="rId560" Type="http://schemas.openxmlformats.org/officeDocument/2006/relationships/revisionLog" Target="revisionLog155.xml"/></Relationships>
</file>

<file path=xl/revisions/revisionHeaders.xml><?xml version="1.0" encoding="utf-8"?>
<headers xmlns="http://schemas.openxmlformats.org/spreadsheetml/2006/main" xmlns:r="http://schemas.openxmlformats.org/officeDocument/2006/relationships" guid="{298959CE-13DF-4C62-BD95-5BB755E7B2C6}" diskRevisions="1" revisionId="18667" version="2">
  <header guid="{7462F600-C0E3-4749-9CA9-5B152999DC16}" dateTime="2018-11-12T10:10:22" maxSheetId="22" userName="Бухгалтер 1" r:id="rId560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  <header guid="{298959CE-13DF-4C62-BD95-5BB755E7B2C6}" dateTime="2019-05-10T12:58:41" maxSheetId="22" userName="1" r:id="rId561">
    <sheetIdMap count="21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dn rId="0" localSheetId="1" customView="1" name="Z_8E17DC23_BE06_48DD_840B_6DD85B9E86D1_.wvu.PrintArea" hidden="1" oldHidden="1">
    <formula>Консол!$A$1:$K$50</formula>
  </rdn>
  <rdn rId="0" localSheetId="1" customView="1" name="Z_8E17DC23_BE06_48DD_840B_6DD85B9E86D1_.wvu.Rows" hidden="1" oldHidden="1">
    <formula>Консол!$22:$22,Консол!$43:$45</formula>
  </rdn>
  <rdn rId="0" localSheetId="2" customView="1" name="Z_8E17DC23_BE06_48DD_840B_6DD85B9E86D1_.wvu.PrintArea" hidden="1" oldHidden="1">
    <formula>Справка!$A$1:$EY$31</formula>
  </rdn>
  <rdn rId="0" localSheetId="2" customView="1" name="Z_8E17DC23_BE06_48DD_840B_6DD85B9E86D1_.wvu.Rows" hidden="1" oldHidden="1">
    <formula>Справка!$33:$33</formula>
  </rdn>
  <rdn rId="0" localSheetId="2" customView="1" name="Z_8E17DC23_BE06_48DD_840B_6DD85B9E86D1_.wvu.Cols" hidden="1" oldHidden="1">
    <formula>Справка!$AV:$AX,Справка!$BB:$BD,Справка!$BH:$BP,Справка!$BT:$BY,Справка!$CX:$DF</formula>
  </rdn>
  <rdn rId="0" localSheetId="3" customView="1" name="Z_8E17DC23_BE06_48DD_840B_6DD85B9E86D1_.wvu.Rows" hidden="1" oldHidden="1">
    <formula>район!$17:$18,район!$20:$20,район!$25:$25,район!$27:$31,район!$35:$35,район!$38:$38,район!$50:$51,район!$62:$62,район!$75:$75,район!$82:$82,район!$99:$99,район!$105:$105,район!$132:$134,район!$137:$138</formula>
  </rdn>
  <rdn rId="0" localSheetId="4" customView="1" name="Z_8E17DC23_BE06_48DD_840B_6DD85B9E86D1_.wvu.Rows" hidden="1" oldHidden="1">
    <formula>Але!$19:$24,Але!$28:$33,Але!$36:$36,Але!$46:$46,Але!$53:$53,Але!$55:$57,Але!$63:$64,Але!$73:$74,Але!$78:$82,Але!$85:$92,Але!$141:$141</formula>
  </rdn>
  <rdn rId="0" localSheetId="5" customView="1" name="Z_8E17DC23_BE06_48DD_840B_6DD85B9E86D1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</rdn>
  <rdn rId="0" localSheetId="6" customView="1" name="Z_8E17DC23_BE06_48DD_840B_6DD85B9E86D1_.wvu.PrintArea" hidden="1" oldHidden="1">
    <formula>Иль!$A$1:$F$104</formula>
  </rdn>
  <rdn rId="0" localSheetId="6" customView="1" name="Z_8E17DC23_BE06_48DD_840B_6DD85B9E86D1_.wvu.Rows" hidden="1" oldHidden="1">
    <formula>Иль!$19:$24,Иль!$30:$39,Иль!$45:$45,Иль!$47:$50,Иль!$58:$58,Иль!$60:$62,Иль!$68:$69,Иль!$78:$79,Иль!$81:$81,Иль!$86:$90,Иль!$93:$100,Иль!$143:$143</formula>
  </rdn>
  <rdn rId="0" localSheetId="7" customView="1" name="Z_8E17DC23_BE06_48DD_840B_6DD85B9E86D1_.wvu.Rows" hidden="1" oldHidden="1">
    <formula>Кад!$19:$24,Кад!$31:$35,Кад!$38:$38,Кад!$42:$42,Кад!$44:$44,Кад!$46:$46,Кад!$48:$49,Кад!$56:$56,Кад!$58:$60,Кад!$66:$67,Кад!$76:$77,Кад!$81:$85,Кад!$88:$95,Кад!$141:$141</formula>
  </rdn>
  <rdn rId="0" localSheetId="8" customView="1" name="Z_8E17DC23_BE06_48DD_840B_6DD85B9E86D1_.wvu.PrintArea" hidden="1" oldHidden="1">
    <formula>Мор!$A$1:$F$100</formula>
  </rdn>
  <rdn rId="0" localSheetId="8" customView="1" name="Z_8E17DC23_BE06_48DD_840B_6DD85B9E86D1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</rdn>
  <rdn rId="0" localSheetId="9" customView="1" name="Z_8E17DC23_BE06_48DD_840B_6DD85B9E86D1_.wvu.Rows" hidden="1" oldHidden="1">
    <formula>Мос!$19:$24,Мос!$29:$35,Мос!$44:$44,Мос!$46:$49,Мос!$57:$57,Мос!$59:$60,Мос!$67:$68,Мос!$77:$78,Мос!$80:$80,Мос!$83:$90,Мос!$93:$100,Мос!$141:$141</formula>
  </rdn>
  <rdn rId="0" localSheetId="10" customView="1" name="Z_8E17DC23_BE06_48DD_840B_6DD85B9E86D1_.wvu.Rows" hidden="1" oldHidden="1">
    <formula>Ори!$19:$24,Ори!$31:$35,Ори!$44:$44,Ори!$46:$46,Ори!$48:$50,Ори!$57:$57,Ори!$59:$60,Ори!$67:$68,Ори!$77:$78,Ори!$80:$80,Ори!$83:$87,Ори!$90:$97,Ори!$141:$141</formula>
  </rdn>
  <rdn rId="0" localSheetId="11" customView="1" name="Z_8E17DC23_BE06_48DD_840B_6DD85B9E86D1_.wvu.Rows" hidden="1" oldHidden="1">
    <formula>Сят!$19:$24,Сят!$31:$35,Сят!$38:$38,Сят!$45:$48,Сят!$57:$57,Сят!$59:$60,Сят!$67:$68,Сят!$77:$78,Сят!$82:$86,Сят!$89:$96,Сят!$142:$142</formula>
  </rdn>
  <rdn rId="0" localSheetId="12" customView="1" name="Z_8E17DC23_BE06_48DD_840B_6DD85B9E86D1_.wvu.PrintArea" hidden="1" oldHidden="1">
    <formula>Тор!$A$1:$F$101</formula>
  </rdn>
  <rdn rId="0" localSheetId="12" customView="1" name="Z_8E17DC23_BE06_48DD_840B_6DD85B9E86D1_.wvu.Rows" hidden="1" oldHidden="1">
    <formula>Тор!$19:$24,Тор!$32:$36,Тор!$39:$39,Тор!$46:$47,Тор!$50:$50,Тор!$57:$57,Тор!$59:$60,Тор!$67:$68,Тор!$74:$74,Тор!$78:$79,Тор!$83:$95,Тор!$142:$142</formula>
  </rdn>
  <rdn rId="0" localSheetId="13" customView="1" name="Z_8E17DC23_BE06_48DD_840B_6DD85B9E86D1_.wvu.Rows" hidden="1" oldHidden="1">
    <formula>Хор!$19:$24,Хор!$28:$33,Хор!$40:$40,Хор!$44:$44,Хор!$46:$48,Хор!$55:$55,Хор!$57:$59,Хор!$65:$66,Хор!$71:$71,Хор!$75:$76,Хор!$80:$84,Хор!$87:$94,Хор!$141:$141</formula>
  </rdn>
  <rdn rId="0" localSheetId="14" customView="1" name="Z_8E17DC23_BE06_48DD_840B_6DD85B9E86D1_.wvu.Rows" hidden="1" oldHidden="1">
    <formula>Чум!$19:$24,Чум!$31:$36,Чум!$46:$49,Чум!$57:$57,Чум!$59:$61,Чум!$67:$68,Чум!$77:$78,Чум!$82:$86,Чум!$89:$96,Чум!$141:$141</formula>
  </rdn>
  <rdn rId="0" localSheetId="15" customView="1" name="Z_8E17DC23_BE06_48DD_840B_6DD85B9E86D1_.wvu.Rows" hidden="1" oldHidden="1">
    <formula>Шать!$19:$25,Шать!$31:$33,Шать!$46:$49,Шать!$57:$57,Шать!$59:$60,Шать!$67:$68,Шать!$77:$78,Шать!$83:$85,Шать!$89:$96,Шать!$141:$141</formula>
  </rdn>
  <rdn rId="0" localSheetId="16" customView="1" name="Z_8E17DC23_BE06_48DD_840B_6DD85B9E86D1_.wvu.PrintArea" hidden="1" oldHidden="1">
    <formula>Юнг!$A$1:$F$99</formula>
  </rdn>
  <rdn rId="0" localSheetId="16" customView="1" name="Z_8E17DC23_BE06_48DD_840B_6DD85B9E86D1_.wvu.Rows" hidden="1" oldHidden="1">
    <formula>Юнг!$19:$24,Юнг!$33:$33,Юнг!$38:$38,Юнг!$46:$47,Юнг!$56:$56,Юнг!$58:$60,Юнг!$66:$68,Юнг!$76:$77,Юнг!$81:$85,Юнг!$88:$95,Юнг!$141:$141</formula>
  </rdn>
  <rdn rId="0" localSheetId="17" customView="1" name="Z_8E17DC23_BE06_48DD_840B_6DD85B9E86D1_.wvu.Rows" hidden="1" oldHidden="1">
    <formula>Юсь!$19:$24,Юсь!$31:$33,Юсь!$36:$36,Юсь!$40:$40,Юсь!$44:$50,Юсь!$58:$58,Юсь!$60:$61,Юсь!$68:$69,Юсь!$78:$79,Юсь!$83:$87,Юсь!$90:$97,Юсь!$141:$141</formula>
  </rdn>
  <rdn rId="0" localSheetId="18" customView="1" name="Z_8E17DC23_BE06_48DD_840B_6DD85B9E86D1_.wvu.PrintArea" hidden="1" oldHidden="1">
    <formula>Яра!$A$1:$F$102</formula>
  </rdn>
  <rdn rId="0" localSheetId="18" customView="1" name="Z_8E17DC23_BE06_48DD_840B_6DD85B9E86D1_.wvu.Rows" hidden="1" oldHidden="1">
    <formula>Яра!$19:$24,Яра!$32:$34,Яра!$46:$50,Яра!$58:$58,Яра!$60:$62,Яра!$68:$69,Яра!$79:$80,Яра!$84:$88,Яра!$91:$98,Яра!$143:$143</formula>
  </rdn>
  <rdn rId="0" localSheetId="19" customView="1" name="Z_8E17DC23_BE06_48DD_840B_6DD85B9E86D1_.wvu.Rows" hidden="1" oldHidden="1">
    <formula>Яро!$19:$24,Яро!$28:$36,Яро!$43:$43,Яро!$46:$46,Яро!$54:$54,Яро!$56:$58,Яро!$64:$65,Яро!$74:$74,Яро!$79:$83,Яро!$86:$93</formula>
  </rdn>
  <rdn rId="0" localSheetId="20" customView="1" name="Z_8E17DC23_BE06_48DD_840B_6DD85B9E86D1_.wvu.Rows" hidden="1" oldHidden="1">
    <formula>Лист1!$82:$84</formula>
  </rdn>
  <rcv guid="{8E17DC23-BE06-48DD-840B-6DD85B9E86D1}" action="add"/>
</revisions>
</file>

<file path=xl/revisions/revisionLog155.xml><?xml version="1.0" encoding="utf-8"?>
<revisions xmlns="http://schemas.openxmlformats.org/spreadsheetml/2006/main" xmlns:r="http://schemas.openxmlformats.org/officeDocument/2006/relationships">
  <rcv guid="{A54C432C-6C68-4B53-A75C-446EB3A61B2B}" action="delete"/>
  <rdn rId="0" localSheetId="1" customView="1" name="Z_A54C432C_6C68_4B53_A75C_446EB3A61B2B_.wvu.PrintArea" hidden="1" oldHidden="1">
    <formula>Консол!$A$1:$K$50</formula>
    <oldFormula>Консол!$A$1:$K$50</oldFormula>
  </rdn>
  <rdn rId="0" localSheetId="1" customView="1" name="Z_A54C432C_6C68_4B53_A75C_446EB3A61B2B_.wvu.Rows" hidden="1" oldHidden="1">
    <formula>Консол!$22:$22,Консол!$43:$45</formula>
    <oldFormula>Консол!$22:$22,Консол!$43:$45</oldFormula>
  </rdn>
  <rdn rId="0" localSheetId="2" customView="1" name="Z_A54C432C_6C68_4B53_A75C_446EB3A61B2B_.wvu.PrintArea" hidden="1" oldHidden="1">
    <formula>Справка!$A$1:$EY$31</formula>
    <oldFormula>Справка!$A$1:$EY$31</oldFormula>
  </rdn>
  <rdn rId="0" localSheetId="2" customView="1" name="Z_A54C432C_6C68_4B53_A75C_446EB3A61B2B_.wvu.Rows" hidden="1" oldHidden="1">
    <formula>Справка!$33:$33</formula>
    <oldFormula>Справка!$33:$33</oldFormula>
  </rdn>
  <rdn rId="0" localSheetId="2" customView="1" name="Z_A54C432C_6C68_4B53_A75C_446EB3A61B2B_.wvu.Cols" hidden="1" oldHidden="1">
    <formula>Справка!$AV:$AX,Справка!$BB:$BD,Справка!$BH:$BP,Справка!$BT:$BY,Справка!$CX:$DF</formula>
    <oldFormula>Справка!$AV:$AX,Справка!$BB:$BD,Справка!$BH:$BP,Справка!$BT:$BY,Справка!$CX:$DF</oldFormula>
  </rdn>
  <rdn rId="0" localSheetId="3" customView="1" name="Z_A54C432C_6C68_4B53_A75C_446EB3A61B2B_.wvu.Rows" hidden="1" oldHidden="1">
    <formula>район!$17:$18,район!$20:$20,район!$25:$25,район!$27:$31,район!$35:$35,район!$38:$38,район!$50:$51,район!$62:$62,район!$75:$75,район!$82:$82,район!$99:$99,район!$105:$105,район!$132:$134,район!$137:$138</formula>
    <oldFormula>район!$17:$18,район!$20:$20,район!$25:$25,район!$27:$31,район!$35:$35,район!$38:$38,район!$50:$51,район!$62:$62,район!$75:$75,район!$82:$82,район!$99:$99,район!$105:$105,район!$132:$134,район!$137:$138</oldFormula>
  </rdn>
  <rdn rId="0" localSheetId="4" customView="1" name="Z_A54C432C_6C68_4B53_A75C_446EB3A61B2B_.wvu.Rows" hidden="1" oldHidden="1">
    <formula>Але!$19:$24,Але!$28:$33,Але!$36:$36,Але!$46:$46,Але!$53:$53,Але!$55:$57,Але!$63:$64,Але!$73:$74,Але!$78:$82,Але!$85:$92,Але!$141:$141</formula>
    <oldFormula>Але!$19:$24,Але!$28:$33,Але!$36:$36,Але!$46:$46,Але!$53:$53,Але!$55:$57,Але!$63:$64,Але!$73:$74,Але!$78:$82,Але!$85:$92,Але!$141:$141</oldFormula>
  </rdn>
  <rdn rId="0" localSheetId="5" customView="1" name="Z_A54C432C_6C68_4B53_A75C_446EB3A61B2B_.wvu.Rows" hidden="1" oldHidden="1">
    <formula>Сун!$19:$24,Сун!$34:$39,Сун!$43:$43,Сун!$45:$45,Сун!$47:$47,Сун!$49:$51,Сун!$58:$58,Сун!$60:$62,Сун!$68:$69,Сун!$78:$79,Сун!$81:$81,Сун!$84:$84,Сун!$86:$88,Сун!$92:$99,Сун!$141:$141</formula>
    <oldFormula>Сун!$19:$24,Сун!$34:$39,Сун!$43:$43,Сун!$45:$45,Сун!$47:$47,Сун!$49:$51,Сун!$58:$58,Сун!$60:$62,Сун!$68:$69,Сун!$78:$79,Сун!$81:$81,Сун!$84:$84,Сун!$86:$88,Сун!$92:$99,Сун!$141:$141</oldFormula>
  </rdn>
  <rdn rId="0" localSheetId="6" customView="1" name="Z_A54C432C_6C68_4B53_A75C_446EB3A61B2B_.wvu.PrintArea" hidden="1" oldHidden="1">
    <formula>Иль!$A$1:$F$104</formula>
    <oldFormula>Иль!$A$1:$F$104</oldFormula>
  </rdn>
  <rdn rId="0" localSheetId="6" customView="1" name="Z_A54C432C_6C68_4B53_A75C_446EB3A61B2B_.wvu.Rows" hidden="1" oldHidden="1">
    <formula>Иль!$19:$24,Иль!$30:$39,Иль!$45:$45,Иль!$47:$50,Иль!$58:$58,Иль!$60:$62,Иль!$68:$69,Иль!$78:$79,Иль!$81:$81,Иль!$86:$90,Иль!$93:$100,Иль!$143:$143</formula>
    <oldFormula>Иль!$19:$24,Иль!$30:$39,Иль!$45:$45,Иль!$47:$50,Иль!$58:$58,Иль!$60:$62,Иль!$68:$69,Иль!$78:$79,Иль!$81:$81,Иль!$86:$90,Иль!$93:$100,Иль!$143:$143</oldFormula>
  </rdn>
  <rdn rId="0" localSheetId="7" customView="1" name="Z_A54C432C_6C68_4B53_A75C_446EB3A61B2B_.wvu.Rows" hidden="1" oldHidden="1">
    <formula>Кад!$19:$24,Кад!$31:$35,Кад!$38:$38,Кад!$42:$42,Кад!$44:$44,Кад!$46:$46,Кад!$48:$49,Кад!$56:$56,Кад!$58:$60,Кад!$66:$67,Кад!$76:$77,Кад!$81:$85,Кад!$88:$95,Кад!$141:$141</formula>
    <oldFormula>Кад!$19:$24,Кад!$31:$35,Кад!$38:$38,Кад!$42:$42,Кад!$44:$44,Кад!$46:$46,Кад!$48:$49,Кад!$56:$56,Кад!$58:$60,Кад!$66:$67,Кад!$76:$77,Кад!$81:$85,Кад!$88:$95,Кад!$141:$141</oldFormula>
  </rdn>
  <rdn rId="0" localSheetId="8" customView="1" name="Z_A54C432C_6C68_4B53_A75C_446EB3A61B2B_.wvu.PrintArea" hidden="1" oldHidden="1">
    <formula>Мор!$A$1:$F$100</formula>
    <oldFormula>Мор!$A$1:$F$100</oldFormula>
  </rdn>
  <rdn rId="0" localSheetId="8" customView="1" name="Z_A54C432C_6C68_4B53_A75C_446EB3A61B2B_.wvu.Rows" hidden="1" oldHidden="1">
    <formula>Мор!$17:$24,Мор!$27:$27,Мор!$31:$35,Мор!$37:$37,Мор!$44:$44,Мор!$46:$47,Мор!$49:$50,Мор!$57:$57,Мор!$59:$60,Мор!$64:$65,Мор!$67:$68,Мор!$77:$78,Мор!$82:$87,Мор!$90:$96,Мор!$141:$141</formula>
    <oldFormula>Мор!$17:$24,Мор!$27:$27,Мор!$31:$35,Мор!$37:$37,Мор!$44:$44,Мор!$46:$47,Мор!$49:$50,Мор!$57:$57,Мор!$59:$60,Мор!$64:$65,Мор!$67:$68,Мор!$77:$78,Мор!$82:$87,Мор!$90:$96,Мор!$141:$141</oldFormula>
  </rdn>
  <rdn rId="0" localSheetId="9" customView="1" name="Z_A54C432C_6C68_4B53_A75C_446EB3A61B2B_.wvu.Rows" hidden="1" oldHidden="1">
    <formula>Мос!$19:$24,Мос!$29:$35,Мос!$44:$44,Мос!$46:$49,Мос!$57:$57,Мос!$59:$60,Мос!$67:$68,Мос!$77:$78,Мос!$80:$80,Мос!$83:$90,Мос!$93:$100,Мос!$141:$141</formula>
    <oldFormula>Мос!$19:$24,Мос!$29:$35,Мос!$44:$44,Мос!$46:$49,Мос!$57:$57,Мос!$59:$60,Мос!$67:$68,Мос!$77:$78,Мос!$80:$80,Мос!$83:$90,Мос!$93:$100,Мос!$141:$141</oldFormula>
  </rdn>
  <rdn rId="0" localSheetId="10" customView="1" name="Z_A54C432C_6C68_4B53_A75C_446EB3A61B2B_.wvu.Rows" hidden="1" oldHidden="1">
    <formula>Ори!$19:$24,Ори!$31:$35,Ори!$44:$44,Ори!$46:$46,Ори!$48:$50,Ори!$57:$57,Ори!$59:$60,Ори!$67:$68,Ори!$77:$78,Ори!$80:$80,Ори!$83:$87,Ори!$90:$97,Ори!$141:$141</formula>
    <oldFormula>Ори!$19:$24,Ори!$31:$35,Ори!$44:$44,Ори!$46:$46,Ори!$48:$50,Ори!$57:$57,Ори!$59:$60,Ори!$67:$68,Ори!$77:$78,Ори!$80:$80,Ори!$83:$87,Ори!$90:$97,Ори!$141:$141</oldFormula>
  </rdn>
  <rdn rId="0" localSheetId="11" customView="1" name="Z_A54C432C_6C68_4B53_A75C_446EB3A61B2B_.wvu.Rows" hidden="1" oldHidden="1">
    <formula>Сят!$19:$24,Сят!$31:$35,Сят!$38:$38,Сят!$45:$48,Сят!$57:$57,Сят!$59:$60,Сят!$67:$68,Сят!$77:$78,Сят!$82:$86,Сят!$89:$96,Сят!$142:$142</formula>
    <oldFormula>Сят!$19:$24,Сят!$31:$35,Сят!$38:$38,Сят!$45:$48,Сят!$57:$57,Сят!$59:$60,Сят!$67:$68,Сят!$77:$78,Сят!$82:$86,Сят!$89:$96,Сят!$142:$142</oldFormula>
  </rdn>
  <rdn rId="0" localSheetId="12" customView="1" name="Z_A54C432C_6C68_4B53_A75C_446EB3A61B2B_.wvu.PrintArea" hidden="1" oldHidden="1">
    <formula>Тор!$A$1:$F$101</formula>
    <oldFormula>Тор!$A$1:$F$101</oldFormula>
  </rdn>
  <rdn rId="0" localSheetId="12" customView="1" name="Z_A54C432C_6C68_4B53_A75C_446EB3A61B2B_.wvu.Rows" hidden="1" oldHidden="1">
    <formula>Тор!$19:$24,Тор!$32:$36,Тор!$39:$39,Тор!$46:$47,Тор!$50:$50,Тор!$57:$57,Тор!$59:$60,Тор!$67:$68,Тор!$74:$74,Тор!$78:$79,Тор!$83:$95,Тор!$142:$142</formula>
    <oldFormula>Тор!$19:$24,Тор!$32:$36,Тор!$39:$39,Тор!$46:$47,Тор!$50:$50,Тор!$57:$57,Тор!$59:$60,Тор!$67:$68,Тор!$74:$74,Тор!$78:$79,Тор!$83:$95,Тор!$142:$142</oldFormula>
  </rdn>
  <rdn rId="0" localSheetId="13" customView="1" name="Z_A54C432C_6C68_4B53_A75C_446EB3A61B2B_.wvu.Rows" hidden="1" oldHidden="1">
    <formula>Хор!$19:$24,Хор!$28:$33,Хор!$40:$40,Хор!$44:$44,Хор!$46:$48,Хор!$55:$55,Хор!$57:$59,Хор!$65:$66,Хор!$71:$71,Хор!$75:$76,Хор!$80:$84,Хор!$87:$94,Хор!$141:$141</formula>
    <oldFormula>Хор!$19:$24,Хор!$28:$33,Хор!$40:$40,Хор!$44:$44,Хор!$46:$48,Хор!$55:$55,Хор!$57:$59,Хор!$65:$66,Хор!$71:$71,Хор!$75:$76,Хор!$80:$84,Хор!$87:$94,Хор!$141:$141</oldFormula>
  </rdn>
  <rdn rId="0" localSheetId="14" customView="1" name="Z_A54C432C_6C68_4B53_A75C_446EB3A61B2B_.wvu.Rows" hidden="1" oldHidden="1">
    <formula>Чум!$19:$24,Чум!$31:$36,Чум!$46:$49,Чум!$57:$57,Чум!$59:$61,Чум!$67:$68,Чум!$77:$78,Чум!$82:$86,Чум!$89:$96,Чум!$141:$141</formula>
    <oldFormula>Чум!$19:$24,Чум!$31:$36,Чум!$46:$49,Чум!$57:$57,Чум!$59:$61,Чум!$67:$68,Чум!$77:$78,Чум!$82:$86,Чум!$89:$96,Чум!$141:$141</oldFormula>
  </rdn>
  <rdn rId="0" localSheetId="15" customView="1" name="Z_A54C432C_6C68_4B53_A75C_446EB3A61B2B_.wvu.Rows" hidden="1" oldHidden="1">
    <formula>Шать!$19:$25,Шать!$31:$33,Шать!$46:$49,Шать!$57:$57,Шать!$59:$60,Шать!$67:$68,Шать!$77:$78,Шать!$83:$85,Шать!$89:$96,Шать!$141:$141</formula>
    <oldFormula>Шать!$19:$25,Шать!$31:$33,Шать!$46:$49,Шать!$57:$57,Шать!$59:$60,Шать!$67:$68,Шать!$77:$78,Шать!$83:$85,Шать!$89:$96,Шать!$141:$141</oldFormula>
  </rdn>
  <rdn rId="0" localSheetId="16" customView="1" name="Z_A54C432C_6C68_4B53_A75C_446EB3A61B2B_.wvu.PrintArea" hidden="1" oldHidden="1">
    <formula>Юнг!$A$1:$F$99</formula>
    <oldFormula>Юнг!$A$1:$F$99</oldFormula>
  </rdn>
  <rdn rId="0" localSheetId="16" customView="1" name="Z_A54C432C_6C68_4B53_A75C_446EB3A61B2B_.wvu.Rows" hidden="1" oldHidden="1">
    <formula>Юнг!$19:$24,Юнг!$33:$33,Юнг!$38:$38,Юнг!$46:$47,Юнг!$56:$56,Юнг!$58:$60,Юнг!$66:$68,Юнг!$76:$77,Юнг!$81:$85,Юнг!$88:$95,Юнг!$141:$141</formula>
    <oldFormula>Юнг!$19:$24,Юнг!$33:$33,Юнг!$38:$38,Юнг!$46:$47,Юнг!$56:$56,Юнг!$58:$60,Юнг!$66:$68,Юнг!$76:$77,Юнг!$81:$85,Юнг!$88:$95,Юнг!$141:$141</oldFormula>
  </rdn>
  <rdn rId="0" localSheetId="17" customView="1" name="Z_A54C432C_6C68_4B53_A75C_446EB3A61B2B_.wvu.Rows" hidden="1" oldHidden="1">
    <formula>Юсь!$19:$24,Юсь!$31:$33,Юсь!$36:$36,Юсь!$40:$40,Юсь!$44:$50,Юсь!$58:$58,Юсь!$60:$61,Юсь!$68:$69,Юсь!$78:$79,Юсь!$83:$87,Юсь!$90:$97,Юсь!$141:$141</formula>
    <oldFormula>Юсь!$19:$24,Юсь!$31:$33,Юсь!$36:$36,Юсь!$40:$40,Юсь!$44:$50,Юсь!$58:$58,Юсь!$60:$61,Юсь!$68:$69,Юсь!$78:$79,Юсь!$83:$87,Юсь!$90:$97,Юсь!$141:$141</oldFormula>
  </rdn>
  <rdn rId="0" localSheetId="18" customView="1" name="Z_A54C432C_6C68_4B53_A75C_446EB3A61B2B_.wvu.PrintArea" hidden="1" oldHidden="1">
    <formula>Яра!$A$1:$F$102</formula>
    <oldFormula>Яра!$A$1:$F$102</oldFormula>
  </rdn>
  <rdn rId="0" localSheetId="18" customView="1" name="Z_A54C432C_6C68_4B53_A75C_446EB3A61B2B_.wvu.Rows" hidden="1" oldHidden="1">
    <formula>Яра!$19:$24,Яра!$32:$34,Яра!$46:$50,Яра!$58:$58,Яра!$60:$62,Яра!$68:$69,Яра!$79:$80,Яра!$84:$88,Яра!$91:$98,Яра!$143:$143</formula>
    <oldFormula>Яра!$19:$24,Яра!$32:$34,Яра!$46:$50,Яра!$58:$58,Яра!$60:$62,Яра!$68:$69,Яра!$79:$80,Яра!$84:$88,Яра!$91:$98,Яра!$143:$143</oldFormula>
  </rdn>
  <rdn rId="0" localSheetId="19" customView="1" name="Z_A54C432C_6C68_4B53_A75C_446EB3A61B2B_.wvu.Rows" hidden="1" oldHidden="1">
    <formula>Яро!$19:$24,Яро!$28:$36,Яро!$43:$43,Яро!$46:$46,Яро!$54:$54,Яро!$56:$58,Яро!$64:$65,Яро!$74:$74,Яро!$79:$83,Яро!$86:$93</formula>
    <oldFormula>Яро!$19:$24,Яро!$28:$36,Яро!$43:$43,Яро!$46:$46,Яро!$54:$54,Яро!$56:$58,Яро!$64:$65,Яро!$74:$74,Яро!$79:$83,Яро!$86:$93</oldFormula>
  </rdn>
  <rdn rId="0" localSheetId="20" customView="1" name="Z_A54C432C_6C68_4B53_A75C_446EB3A61B2B_.wvu.Rows" hidden="1" oldHidden="1">
    <formula>Лист1!$82:$84</formula>
    <oldFormula>Лист1!$82:$84</oldFormula>
  </rdn>
  <rcv guid="{A54C432C-6C68-4B53-A75C-446EB3A61B2B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6.bin"/><Relationship Id="rId3" Type="http://schemas.openxmlformats.org/officeDocument/2006/relationships/printerSettings" Target="../printerSettings/printerSettings91.bin"/><Relationship Id="rId7" Type="http://schemas.openxmlformats.org/officeDocument/2006/relationships/printerSettings" Target="../printerSettings/printerSettings95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9.bin"/><Relationship Id="rId7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8.bin"/><Relationship Id="rId1" Type="http://schemas.openxmlformats.org/officeDocument/2006/relationships/printerSettings" Target="../printerSettings/printerSettings97.bin"/><Relationship Id="rId6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100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5" Type="http://schemas.openxmlformats.org/officeDocument/2006/relationships/printerSettings" Target="../printerSettings/printerSettings109.bin"/><Relationship Id="rId4" Type="http://schemas.openxmlformats.org/officeDocument/2006/relationships/printerSettings" Target="../printerSettings/printerSettings10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6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8.bin"/><Relationship Id="rId3" Type="http://schemas.openxmlformats.org/officeDocument/2006/relationships/printerSettings" Target="../printerSettings/printerSettings123.bin"/><Relationship Id="rId7" Type="http://schemas.openxmlformats.org/officeDocument/2006/relationships/printerSettings" Target="../printerSettings/printerSettings127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6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3" Type="http://schemas.openxmlformats.org/officeDocument/2006/relationships/printerSettings" Target="../printerSettings/printerSettings131.bin"/><Relationship Id="rId7" Type="http://schemas.openxmlformats.org/officeDocument/2006/relationships/printerSettings" Target="../printerSettings/printerSettings135.bin"/><Relationship Id="rId2" Type="http://schemas.openxmlformats.org/officeDocument/2006/relationships/printerSettings" Target="../printerSettings/printerSettings130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5" Type="http://schemas.openxmlformats.org/officeDocument/2006/relationships/printerSettings" Target="../printerSettings/printerSettings133.bin"/><Relationship Id="rId4" Type="http://schemas.openxmlformats.org/officeDocument/2006/relationships/printerSettings" Target="../printerSettings/printerSettings132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4.bin"/><Relationship Id="rId3" Type="http://schemas.openxmlformats.org/officeDocument/2006/relationships/printerSettings" Target="../printerSettings/printerSettings139.bin"/><Relationship Id="rId7" Type="http://schemas.openxmlformats.org/officeDocument/2006/relationships/printerSettings" Target="../printerSettings/printerSettings143.bin"/><Relationship Id="rId2" Type="http://schemas.openxmlformats.org/officeDocument/2006/relationships/printerSettings" Target="../printerSettings/printerSettings138.bin"/><Relationship Id="rId1" Type="http://schemas.openxmlformats.org/officeDocument/2006/relationships/printerSettings" Target="../printerSettings/printerSettings137.bin"/><Relationship Id="rId6" Type="http://schemas.openxmlformats.org/officeDocument/2006/relationships/printerSettings" Target="../printerSettings/printerSettings142.bin"/><Relationship Id="rId5" Type="http://schemas.openxmlformats.org/officeDocument/2006/relationships/printerSettings" Target="../printerSettings/printerSettings141.bin"/><Relationship Id="rId4" Type="http://schemas.openxmlformats.org/officeDocument/2006/relationships/printerSettings" Target="../printerSettings/printerSettings14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2.bin"/><Relationship Id="rId3" Type="http://schemas.openxmlformats.org/officeDocument/2006/relationships/printerSettings" Target="../printerSettings/printerSettings147.bin"/><Relationship Id="rId7" Type="http://schemas.openxmlformats.org/officeDocument/2006/relationships/printerSettings" Target="../printerSettings/printerSettings151.bin"/><Relationship Id="rId2" Type="http://schemas.openxmlformats.org/officeDocument/2006/relationships/printerSettings" Target="../printerSettings/printerSettings146.bin"/><Relationship Id="rId1" Type="http://schemas.openxmlformats.org/officeDocument/2006/relationships/printerSettings" Target="../printerSettings/printerSettings145.bin"/><Relationship Id="rId6" Type="http://schemas.openxmlformats.org/officeDocument/2006/relationships/printerSettings" Target="../printerSettings/printerSettings150.bin"/><Relationship Id="rId5" Type="http://schemas.openxmlformats.org/officeDocument/2006/relationships/printerSettings" Target="../printerSettings/printerSettings149.bin"/><Relationship Id="rId4" Type="http://schemas.openxmlformats.org/officeDocument/2006/relationships/printerSettings" Target="../printerSettings/printerSettings14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54.bin"/><Relationship Id="rId1" Type="http://schemas.openxmlformats.org/officeDocument/2006/relationships/printerSettings" Target="../printerSettings/printerSettings153.bin"/><Relationship Id="rId6" Type="http://schemas.openxmlformats.org/officeDocument/2006/relationships/printerSettings" Target="../printerSettings/printerSettings158.bin"/><Relationship Id="rId5" Type="http://schemas.openxmlformats.org/officeDocument/2006/relationships/printerSettings" Target="../printerSettings/printerSettings157.bin"/><Relationship Id="rId4" Type="http://schemas.openxmlformats.org/officeDocument/2006/relationships/printerSettings" Target="../printerSettings/printerSettings15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O54"/>
  <sheetViews>
    <sheetView view="pageBreakPreview" topLeftCell="A15" zoomScale="80" zoomScaleNormal="100" zoomScaleSheetLayoutView="80" workbookViewId="0">
      <selection activeCell="C27" sqref="C27:K28"/>
    </sheetView>
  </sheetViews>
  <sheetFormatPr defaultRowHeight="15.75"/>
  <cols>
    <col min="1" max="1" width="41.28515625" style="84" customWidth="1"/>
    <col min="2" max="2" width="10" style="85" customWidth="1"/>
    <col min="3" max="3" width="21.140625" style="75" customWidth="1"/>
    <col min="4" max="4" width="20.42578125" style="75" customWidth="1"/>
    <col min="5" max="5" width="13.5703125" style="75" customWidth="1"/>
    <col min="6" max="6" width="20.85546875" style="75" customWidth="1"/>
    <col min="7" max="7" width="21.42578125" style="75" customWidth="1"/>
    <col min="8" max="8" width="13.5703125" style="75" customWidth="1"/>
    <col min="9" max="9" width="21.140625" style="75" customWidth="1"/>
    <col min="10" max="10" width="18" style="75" customWidth="1"/>
    <col min="11" max="11" width="13" style="75" customWidth="1"/>
    <col min="12" max="12" width="23.5703125" style="75" customWidth="1"/>
    <col min="13" max="13" width="12" style="75" customWidth="1"/>
    <col min="14" max="16384" width="9.140625" style="75"/>
  </cols>
  <sheetData>
    <row r="1" spans="1:15" ht="26.25" customHeight="1">
      <c r="A1" s="420" t="s">
        <v>411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123"/>
      <c r="M1" s="123"/>
      <c r="N1" s="123"/>
      <c r="O1" s="123"/>
    </row>
    <row r="2" spans="1:15" ht="33.75" customHeight="1">
      <c r="A2" s="418" t="s">
        <v>181</v>
      </c>
      <c r="B2" s="419" t="s">
        <v>182</v>
      </c>
      <c r="C2" s="415" t="s">
        <v>183</v>
      </c>
      <c r="D2" s="416"/>
      <c r="E2" s="416"/>
      <c r="F2" s="415" t="s">
        <v>184</v>
      </c>
      <c r="G2" s="416"/>
      <c r="H2" s="416"/>
      <c r="I2" s="415" t="s">
        <v>185</v>
      </c>
      <c r="J2" s="416"/>
      <c r="K2" s="421"/>
    </row>
    <row r="3" spans="1:15" ht="53.25" customHeight="1">
      <c r="A3" s="418"/>
      <c r="B3" s="419"/>
      <c r="C3" s="78" t="s">
        <v>347</v>
      </c>
      <c r="D3" s="78" t="s">
        <v>412</v>
      </c>
      <c r="E3" s="138" t="s">
        <v>332</v>
      </c>
      <c r="F3" s="78" t="s">
        <v>347</v>
      </c>
      <c r="G3" s="78" t="s">
        <v>412</v>
      </c>
      <c r="H3" s="138" t="s">
        <v>332</v>
      </c>
      <c r="I3" s="78" t="s">
        <v>347</v>
      </c>
      <c r="J3" s="78" t="s">
        <v>412</v>
      </c>
      <c r="K3" s="78" t="s">
        <v>332</v>
      </c>
    </row>
    <row r="4" spans="1:15" s="80" customFormat="1" ht="30.75" customHeight="1">
      <c r="A4" s="79" t="s">
        <v>5</v>
      </c>
      <c r="B4" s="76"/>
      <c r="C4" s="303">
        <f>SUM(C5:C13)</f>
        <v>160141.87200000003</v>
      </c>
      <c r="D4" s="303">
        <f>SUM(D5:D13)</f>
        <v>128075.10233999998</v>
      </c>
      <c r="E4" s="303">
        <f>D4/C4*100</f>
        <v>79.976024221822485</v>
      </c>
      <c r="F4" s="303">
        <f>SUM(F5:F13)</f>
        <v>125474</v>
      </c>
      <c r="G4" s="303">
        <f>SUM(G5:G13)</f>
        <v>102307.59876999998</v>
      </c>
      <c r="H4" s="303">
        <f>G4/F4*100</f>
        <v>81.536891124854534</v>
      </c>
      <c r="I4" s="303">
        <f>I5+I7+I6+I8+I10+I11+I12+I13</f>
        <v>34667.872000000003</v>
      </c>
      <c r="J4" s="303">
        <f>J5+J6+J7+J8+J10+J11+J12+J13</f>
        <v>25767.503569999997</v>
      </c>
      <c r="K4" s="303">
        <f>J4/I4*100</f>
        <v>74.326752937128632</v>
      </c>
    </row>
    <row r="5" spans="1:15" ht="27" customHeight="1">
      <c r="A5" s="81" t="s">
        <v>186</v>
      </c>
      <c r="B5" s="77">
        <v>10102</v>
      </c>
      <c r="C5" s="304">
        <f t="shared" ref="C5:D8" si="0">F5+I5</f>
        <v>109891.9</v>
      </c>
      <c r="D5" s="304">
        <f t="shared" si="0"/>
        <v>87671.648079999999</v>
      </c>
      <c r="E5" s="305">
        <f t="shared" ref="E5:E12" si="1">D5/C5*100</f>
        <v>79.779900138226751</v>
      </c>
      <c r="F5" s="304">
        <f>район!C5</f>
        <v>104690</v>
      </c>
      <c r="G5" s="304">
        <f>район!D5</f>
        <v>83599.272129999998</v>
      </c>
      <c r="H5" s="305">
        <f t="shared" ref="H5:H41" si="2">G5/F5*100</f>
        <v>79.854114175183881</v>
      </c>
      <c r="I5" s="304">
        <f>Справка!I31</f>
        <v>5201.9000000000005</v>
      </c>
      <c r="J5" s="304">
        <f>Справка!J31</f>
        <v>4072.3759499999992</v>
      </c>
      <c r="K5" s="305">
        <f t="shared" ref="K5:K12" si="3">J5/I5*100</f>
        <v>78.286317499375201</v>
      </c>
    </row>
    <row r="6" spans="1:15" ht="41.25" customHeight="1">
      <c r="A6" s="81" t="s">
        <v>284</v>
      </c>
      <c r="B6" s="77">
        <v>10300</v>
      </c>
      <c r="C6" s="304">
        <f t="shared" si="0"/>
        <v>12481.230000000001</v>
      </c>
      <c r="D6" s="304">
        <f t="shared" si="0"/>
        <v>10858.6744</v>
      </c>
      <c r="E6" s="305">
        <f t="shared" si="1"/>
        <v>87.000034451732716</v>
      </c>
      <c r="F6" s="304">
        <f>район!C7</f>
        <v>4417.8600000000006</v>
      </c>
      <c r="G6" s="304">
        <f>район!D7</f>
        <v>3817.3278399999995</v>
      </c>
      <c r="H6" s="305">
        <f t="shared" si="2"/>
        <v>86.406718184822495</v>
      </c>
      <c r="I6" s="304">
        <f>Справка!L31+Справка!R31+Справка!O31</f>
        <v>8063.3700000000008</v>
      </c>
      <c r="J6" s="304">
        <f>Справка!M31+Справка!S31+Справка!P31+Справка!V31</f>
        <v>7041.34656</v>
      </c>
      <c r="K6" s="305">
        <f t="shared" si="3"/>
        <v>87.325107988347298</v>
      </c>
    </row>
    <row r="7" spans="1:15" ht="19.5" customHeight="1">
      <c r="A7" s="81" t="s">
        <v>187</v>
      </c>
      <c r="B7" s="77">
        <v>10500</v>
      </c>
      <c r="C7" s="304">
        <f t="shared" si="0"/>
        <v>12322</v>
      </c>
      <c r="D7" s="304">
        <f t="shared" si="0"/>
        <v>11704.933289999999</v>
      </c>
      <c r="E7" s="305">
        <f t="shared" si="1"/>
        <v>94.992154601525712</v>
      </c>
      <c r="F7" s="304">
        <f>район!C12</f>
        <v>11852</v>
      </c>
      <c r="G7" s="304">
        <f>район!D12</f>
        <v>11280.285059999998</v>
      </c>
      <c r="H7" s="305">
        <f t="shared" si="2"/>
        <v>95.176215491056354</v>
      </c>
      <c r="I7" s="304">
        <f>Справка!X31</f>
        <v>470</v>
      </c>
      <c r="J7" s="304">
        <f>Справка!Y31</f>
        <v>424.64823000000001</v>
      </c>
      <c r="K7" s="305">
        <f t="shared" si="3"/>
        <v>90.350687234042553</v>
      </c>
    </row>
    <row r="8" spans="1:15" ht="19.5" customHeight="1">
      <c r="A8" s="81" t="s">
        <v>188</v>
      </c>
      <c r="B8" s="77">
        <v>10601</v>
      </c>
      <c r="C8" s="304">
        <f t="shared" si="0"/>
        <v>2821.4</v>
      </c>
      <c r="D8" s="304">
        <f t="shared" si="0"/>
        <v>2137.5949799999999</v>
      </c>
      <c r="E8" s="305">
        <f t="shared" si="1"/>
        <v>75.763627277238243</v>
      </c>
      <c r="F8" s="304"/>
      <c r="G8" s="304"/>
      <c r="H8" s="305"/>
      <c r="I8" s="304">
        <f>Справка!AA31</f>
        <v>2821.4</v>
      </c>
      <c r="J8" s="304">
        <f>Справка!AB31</f>
        <v>2137.5949799999999</v>
      </c>
      <c r="K8" s="305">
        <f t="shared" si="3"/>
        <v>75.763627277238243</v>
      </c>
    </row>
    <row r="9" spans="1:15" ht="19.5" customHeight="1">
      <c r="A9" s="81" t="s">
        <v>285</v>
      </c>
      <c r="B9" s="77">
        <v>10604</v>
      </c>
      <c r="C9" s="304">
        <f>F9</f>
        <v>1915</v>
      </c>
      <c r="D9" s="304">
        <f>G9</f>
        <v>1167.61511</v>
      </c>
      <c r="E9" s="305">
        <f t="shared" si="1"/>
        <v>60.972068407310701</v>
      </c>
      <c r="F9" s="304">
        <f>район!C16</f>
        <v>1915</v>
      </c>
      <c r="G9" s="304">
        <f>район!D19</f>
        <v>1167.61511</v>
      </c>
      <c r="H9" s="305">
        <f t="shared" si="2"/>
        <v>60.972068407310701</v>
      </c>
      <c r="I9" s="304"/>
      <c r="J9" s="304"/>
      <c r="K9" s="305"/>
    </row>
    <row r="10" spans="1:15" ht="19.5" customHeight="1">
      <c r="A10" s="81" t="s">
        <v>189</v>
      </c>
      <c r="B10" s="77">
        <v>10606</v>
      </c>
      <c r="C10" s="304">
        <f t="shared" ref="C10:D13" si="4">F10+I10</f>
        <v>17949.2</v>
      </c>
      <c r="D10" s="304">
        <f t="shared" si="4"/>
        <v>11973.784639999998</v>
      </c>
      <c r="E10" s="305">
        <f t="shared" si="1"/>
        <v>66.709294230383506</v>
      </c>
      <c r="F10" s="304"/>
      <c r="G10" s="304"/>
      <c r="H10" s="305">
        <v>0</v>
      </c>
      <c r="I10" s="304">
        <f>Справка!AD31</f>
        <v>17949.2</v>
      </c>
      <c r="J10" s="304">
        <f>Справка!AE31</f>
        <v>11973.784639999998</v>
      </c>
      <c r="K10" s="305">
        <f t="shared" si="3"/>
        <v>66.709294230383506</v>
      </c>
    </row>
    <row r="11" spans="1:15" ht="33.75" customHeight="1">
      <c r="A11" s="81" t="s">
        <v>190</v>
      </c>
      <c r="B11" s="77">
        <v>10701</v>
      </c>
      <c r="C11" s="304">
        <f t="shared" si="4"/>
        <v>399.14</v>
      </c>
      <c r="D11" s="304">
        <f t="shared" si="4"/>
        <v>151.76222999999999</v>
      </c>
      <c r="E11" s="305">
        <f t="shared" si="1"/>
        <v>38.022305456731971</v>
      </c>
      <c r="F11" s="304">
        <f>район!C21</f>
        <v>399.14</v>
      </c>
      <c r="G11" s="304">
        <f>район!D21</f>
        <v>151.76222999999999</v>
      </c>
      <c r="H11" s="305">
        <f t="shared" si="2"/>
        <v>38.022305456731971</v>
      </c>
      <c r="I11" s="304"/>
      <c r="J11" s="304"/>
      <c r="K11" s="305">
        <v>0</v>
      </c>
    </row>
    <row r="12" spans="1:15" ht="19.5" customHeight="1">
      <c r="A12" s="81" t="s">
        <v>191</v>
      </c>
      <c r="B12" s="77">
        <v>10800</v>
      </c>
      <c r="C12" s="304">
        <f t="shared" si="4"/>
        <v>2362.002</v>
      </c>
      <c r="D12" s="304">
        <f t="shared" si="4"/>
        <v>2409.08961</v>
      </c>
      <c r="E12" s="305">
        <f t="shared" si="1"/>
        <v>101.99354657616718</v>
      </c>
      <c r="F12" s="304">
        <f>район!C23</f>
        <v>2200</v>
      </c>
      <c r="G12" s="304">
        <f>район!D23</f>
        <v>2291.3364000000001</v>
      </c>
      <c r="H12" s="305">
        <f t="shared" si="2"/>
        <v>104.15165454545455</v>
      </c>
      <c r="I12" s="304">
        <f>Справка!AG31</f>
        <v>162.00200000000001</v>
      </c>
      <c r="J12" s="304">
        <f>Справка!AH31</f>
        <v>117.75321000000001</v>
      </c>
      <c r="K12" s="305">
        <f t="shared" si="3"/>
        <v>72.686269305317225</v>
      </c>
    </row>
    <row r="13" spans="1:15" ht="19.5" customHeight="1">
      <c r="A13" s="81" t="s">
        <v>192</v>
      </c>
      <c r="B13" s="77">
        <v>10900</v>
      </c>
      <c r="C13" s="304">
        <f t="shared" si="4"/>
        <v>0</v>
      </c>
      <c r="D13" s="304">
        <f t="shared" si="4"/>
        <v>0</v>
      </c>
      <c r="E13" s="305"/>
      <c r="F13" s="304">
        <f>район!C27</f>
        <v>0</v>
      </c>
      <c r="G13" s="304">
        <f>район!D27</f>
        <v>0</v>
      </c>
      <c r="H13" s="305"/>
      <c r="I13" s="304">
        <f>Справка!AJ31</f>
        <v>0</v>
      </c>
      <c r="J13" s="304">
        <f>Справка!AK31</f>
        <v>0</v>
      </c>
      <c r="K13" s="305"/>
    </row>
    <row r="14" spans="1:15" s="80" customFormat="1" ht="27" customHeight="1">
      <c r="A14" s="79" t="s">
        <v>13</v>
      </c>
      <c r="B14" s="76"/>
      <c r="C14" s="303">
        <f>SUM(C15:C21)</f>
        <v>37192.576999999997</v>
      </c>
      <c r="D14" s="303">
        <f>SUM(D15:D21)</f>
        <v>22925.894909999999</v>
      </c>
      <c r="E14" s="303">
        <f t="shared" ref="E14:E39" si="5">D14/C14*100</f>
        <v>61.641049798727309</v>
      </c>
      <c r="F14" s="303">
        <f>F15+F16+F17+F18+F20+F21+F19</f>
        <v>33910.277000000002</v>
      </c>
      <c r="G14" s="303">
        <f>G15+G16+G17+G18+G20+G21+G19</f>
        <v>20934.76698</v>
      </c>
      <c r="H14" s="303">
        <f t="shared" si="2"/>
        <v>61.735759280291333</v>
      </c>
      <c r="I14" s="306">
        <f>I15+I16+I17+I18+I20+I21+I26</f>
        <v>3282.3</v>
      </c>
      <c r="J14" s="306">
        <f>J15+J16+J17+J18+J20+J21+J26</f>
        <v>1991.1279300000006</v>
      </c>
      <c r="K14" s="303">
        <f>J14/I14*100</f>
        <v>60.662582030892985</v>
      </c>
    </row>
    <row r="15" spans="1:15" ht="52.5" customHeight="1">
      <c r="A15" s="81" t="s">
        <v>193</v>
      </c>
      <c r="B15" s="77">
        <v>11100</v>
      </c>
      <c r="C15" s="304">
        <f t="shared" ref="C15:D22" si="6">F15+I15</f>
        <v>12367.599999999999</v>
      </c>
      <c r="D15" s="304">
        <f t="shared" si="6"/>
        <v>9509.9849099999992</v>
      </c>
      <c r="E15" s="304">
        <f t="shared" si="5"/>
        <v>76.894344173485564</v>
      </c>
      <c r="F15" s="304">
        <f>район!C33</f>
        <v>10436.299999999999</v>
      </c>
      <c r="G15" s="304">
        <f>район!D33</f>
        <v>8802.5787199999995</v>
      </c>
      <c r="H15" s="304">
        <f t="shared" si="2"/>
        <v>84.34578078437761</v>
      </c>
      <c r="I15" s="304">
        <f>Справка!AP31+Справка!AS31+Справка!AM31</f>
        <v>1931.3</v>
      </c>
      <c r="J15" s="304">
        <f>Справка!AQ31+Справка!AT31+Справка!AN31</f>
        <v>707.40619000000015</v>
      </c>
      <c r="K15" s="305">
        <f>J15/I15*100</f>
        <v>36.628498420752869</v>
      </c>
    </row>
    <row r="16" spans="1:15" ht="33" customHeight="1">
      <c r="A16" s="81" t="s">
        <v>194</v>
      </c>
      <c r="B16" s="77">
        <v>11200</v>
      </c>
      <c r="C16" s="304">
        <f t="shared" si="6"/>
        <v>490</v>
      </c>
      <c r="D16" s="304">
        <f t="shared" si="6"/>
        <v>677.35725000000002</v>
      </c>
      <c r="E16" s="304">
        <f t="shared" si="5"/>
        <v>138.23617346938778</v>
      </c>
      <c r="F16" s="304">
        <f>район!C42</f>
        <v>490</v>
      </c>
      <c r="G16" s="304">
        <f>район!D42</f>
        <v>677.35725000000002</v>
      </c>
      <c r="H16" s="304">
        <f t="shared" si="2"/>
        <v>138.23617346938778</v>
      </c>
      <c r="I16" s="304">
        <v>0</v>
      </c>
      <c r="J16" s="304">
        <v>0</v>
      </c>
      <c r="K16" s="305">
        <v>0</v>
      </c>
    </row>
    <row r="17" spans="1:13" ht="33" customHeight="1">
      <c r="A17" s="81" t="s">
        <v>195</v>
      </c>
      <c r="B17" s="77">
        <v>11300</v>
      </c>
      <c r="C17" s="304">
        <f t="shared" si="6"/>
        <v>1224</v>
      </c>
      <c r="D17" s="304">
        <f t="shared" si="6"/>
        <v>838.86982000000012</v>
      </c>
      <c r="E17" s="304">
        <f>D17/C17*100</f>
        <v>68.535116013071899</v>
      </c>
      <c r="F17" s="304">
        <f>район!C44</f>
        <v>459</v>
      </c>
      <c r="G17" s="304">
        <f>район!D44</f>
        <v>117.39815</v>
      </c>
      <c r="H17" s="304">
        <f t="shared" si="2"/>
        <v>25.576938997821351</v>
      </c>
      <c r="I17" s="304">
        <f>Справка!AY31</f>
        <v>765</v>
      </c>
      <c r="J17" s="304">
        <f>Справка!AZ31</f>
        <v>721.47167000000013</v>
      </c>
      <c r="K17" s="305">
        <f>J17/I17*100</f>
        <v>94.31002222222223</v>
      </c>
    </row>
    <row r="18" spans="1:13" ht="33" customHeight="1">
      <c r="A18" s="81" t="s">
        <v>196</v>
      </c>
      <c r="B18" s="77">
        <v>11400</v>
      </c>
      <c r="C18" s="304">
        <f t="shared" si="6"/>
        <v>13514.977000000001</v>
      </c>
      <c r="D18" s="304">
        <f t="shared" si="6"/>
        <v>2436.7166200000001</v>
      </c>
      <c r="E18" s="304">
        <f t="shared" si="5"/>
        <v>18.029750402090954</v>
      </c>
      <c r="F18" s="304">
        <f>район!C47</f>
        <v>12928.977000000001</v>
      </c>
      <c r="G18" s="304">
        <f>район!D47</f>
        <v>1826.7006199999998</v>
      </c>
      <c r="H18" s="304">
        <f t="shared" si="2"/>
        <v>14.128732845607194</v>
      </c>
      <c r="I18" s="304">
        <f>Справка!BE31</f>
        <v>586</v>
      </c>
      <c r="J18" s="304">
        <f>Справка!BF31</f>
        <v>610.01600000000008</v>
      </c>
      <c r="K18" s="305">
        <f>J18/I18*100</f>
        <v>104.09829351535838</v>
      </c>
    </row>
    <row r="19" spans="1:13" ht="23.25" customHeight="1">
      <c r="A19" s="81" t="s">
        <v>251</v>
      </c>
      <c r="B19" s="77">
        <v>11500</v>
      </c>
      <c r="C19" s="304">
        <f t="shared" si="6"/>
        <v>0</v>
      </c>
      <c r="D19" s="304">
        <f t="shared" si="6"/>
        <v>0</v>
      </c>
      <c r="E19" s="304"/>
      <c r="F19" s="304">
        <f>район!C50</f>
        <v>0</v>
      </c>
      <c r="G19" s="304">
        <f>район!D50</f>
        <v>0</v>
      </c>
      <c r="H19" s="304"/>
      <c r="I19" s="304"/>
      <c r="J19" s="304"/>
      <c r="K19" s="305"/>
    </row>
    <row r="20" spans="1:13" ht="22.5" customHeight="1">
      <c r="A20" s="81" t="s">
        <v>197</v>
      </c>
      <c r="B20" s="77">
        <v>11600</v>
      </c>
      <c r="C20" s="304">
        <f t="shared" si="6"/>
        <v>9596</v>
      </c>
      <c r="D20" s="304">
        <f t="shared" si="6"/>
        <v>9522.4613900000004</v>
      </c>
      <c r="E20" s="304">
        <f t="shared" si="5"/>
        <v>99.233653501458946</v>
      </c>
      <c r="F20" s="304">
        <f>район!C52</f>
        <v>9596</v>
      </c>
      <c r="G20" s="304">
        <f>район!D52</f>
        <v>9508.2855</v>
      </c>
      <c r="H20" s="304">
        <f t="shared" si="2"/>
        <v>99.085926427678189</v>
      </c>
      <c r="I20" s="304">
        <f>Справка!BN31</f>
        <v>0</v>
      </c>
      <c r="J20" s="304">
        <f>Справка!BO31</f>
        <v>14.175890000000001</v>
      </c>
      <c r="K20" s="305">
        <v>0</v>
      </c>
    </row>
    <row r="21" spans="1:13" ht="31.5" customHeight="1">
      <c r="A21" s="81" t="s">
        <v>198</v>
      </c>
      <c r="B21" s="77">
        <v>11700</v>
      </c>
      <c r="C21" s="304">
        <f t="shared" si="6"/>
        <v>0</v>
      </c>
      <c r="D21" s="304">
        <f t="shared" si="6"/>
        <v>-59.495080000000002</v>
      </c>
      <c r="E21" s="304"/>
      <c r="F21" s="304">
        <f>район!C69</f>
        <v>0</v>
      </c>
      <c r="G21" s="304">
        <f>район!D69</f>
        <v>2.4467400000000001</v>
      </c>
      <c r="H21" s="304"/>
      <c r="I21" s="304">
        <f>Справка!BQ31</f>
        <v>0</v>
      </c>
      <c r="J21" s="304">
        <f>Справка!BR31</f>
        <v>-61.94182</v>
      </c>
      <c r="K21" s="305">
        <v>0</v>
      </c>
    </row>
    <row r="22" spans="1:13" ht="45.75" hidden="1" customHeight="1">
      <c r="A22" s="79" t="s">
        <v>199</v>
      </c>
      <c r="B22" s="76">
        <v>30000</v>
      </c>
      <c r="C22" s="303">
        <f t="shared" si="6"/>
        <v>0</v>
      </c>
      <c r="D22" s="303">
        <f t="shared" si="6"/>
        <v>0</v>
      </c>
      <c r="E22" s="303"/>
      <c r="F22" s="303">
        <v>0</v>
      </c>
      <c r="G22" s="303">
        <v>0</v>
      </c>
      <c r="H22" s="303"/>
      <c r="I22" s="303">
        <v>0</v>
      </c>
      <c r="J22" s="303">
        <v>0</v>
      </c>
      <c r="K22" s="303"/>
    </row>
    <row r="23" spans="1:13" ht="36.75" customHeight="1">
      <c r="A23" s="79" t="s">
        <v>19</v>
      </c>
      <c r="B23" s="76">
        <v>10000</v>
      </c>
      <c r="C23" s="306">
        <f>SUM(C4,C14,C22,)</f>
        <v>197334.44900000002</v>
      </c>
      <c r="D23" s="306">
        <f>SUM(D4,D14,)</f>
        <v>151000.99724999999</v>
      </c>
      <c r="E23" s="303">
        <f t="shared" si="5"/>
        <v>76.520343009141783</v>
      </c>
      <c r="F23" s="306">
        <f>SUM(F4,F14,)</f>
        <v>159384.277</v>
      </c>
      <c r="G23" s="307">
        <f>SUM(G4,G14,G22)</f>
        <v>123242.36574999998</v>
      </c>
      <c r="H23" s="303">
        <f t="shared" si="2"/>
        <v>77.324042289315642</v>
      </c>
      <c r="I23" s="306">
        <f>I4+I14</f>
        <v>37950.172000000006</v>
      </c>
      <c r="J23" s="306">
        <f>J4+J14</f>
        <v>27758.631499999996</v>
      </c>
      <c r="K23" s="303">
        <f>J23/I23*100</f>
        <v>73.144942531485739</v>
      </c>
    </row>
    <row r="24" spans="1:13" ht="33" customHeight="1">
      <c r="A24" s="79" t="s">
        <v>200</v>
      </c>
      <c r="B24" s="76">
        <v>20200</v>
      </c>
      <c r="C24" s="308">
        <v>570955.89116</v>
      </c>
      <c r="D24" s="308">
        <v>469204.25605999999</v>
      </c>
      <c r="E24" s="306">
        <f t="shared" si="5"/>
        <v>82.178722266395539</v>
      </c>
      <c r="F24" s="306">
        <f>район!C73</f>
        <v>591294.32116000005</v>
      </c>
      <c r="G24" s="306">
        <f>район!D73</f>
        <v>484886.71564999997</v>
      </c>
      <c r="H24" s="303">
        <f t="shared" si="2"/>
        <v>82.004290976235012</v>
      </c>
      <c r="I24" s="306">
        <f>Справка!BZ31</f>
        <v>68486.011329999994</v>
      </c>
      <c r="J24" s="306">
        <f>Справка!CA31</f>
        <v>53547.961310000013</v>
      </c>
      <c r="K24" s="303">
        <f t="shared" ref="K24:K38" si="7">J24/I24*100</f>
        <v>78.188173424174238</v>
      </c>
    </row>
    <row r="25" spans="1:13" ht="33" customHeight="1">
      <c r="A25" s="79" t="s">
        <v>303</v>
      </c>
      <c r="B25" s="76">
        <v>20700</v>
      </c>
      <c r="C25" s="309">
        <f>F25+I25</f>
        <v>3214.2710000000002</v>
      </c>
      <c r="D25" s="309">
        <f>G25+J25</f>
        <v>3198.8895799999996</v>
      </c>
      <c r="E25" s="306">
        <f t="shared" si="5"/>
        <v>99.521464742705248</v>
      </c>
      <c r="F25" s="306"/>
      <c r="G25" s="306"/>
      <c r="H25" s="303"/>
      <c r="I25" s="306">
        <f>Справка!CR31</f>
        <v>3214.2710000000002</v>
      </c>
      <c r="J25" s="306">
        <f>Справка!CS31</f>
        <v>3198.8895799999996</v>
      </c>
      <c r="K25" s="303">
        <f t="shared" si="7"/>
        <v>99.521464742705248</v>
      </c>
    </row>
    <row r="26" spans="1:13" ht="33" customHeight="1">
      <c r="A26" s="79" t="s">
        <v>263</v>
      </c>
      <c r="B26" s="77">
        <v>21900</v>
      </c>
      <c r="C26" s="309">
        <f>F26+I26</f>
        <v>-4.22</v>
      </c>
      <c r="D26" s="309">
        <f>G26+J26</f>
        <v>-369.02165000000002</v>
      </c>
      <c r="E26" s="306"/>
      <c r="F26" s="305">
        <f>район!C81</f>
        <v>-4.22</v>
      </c>
      <c r="G26" s="305">
        <f>район!D81</f>
        <v>-369.02165000000002</v>
      </c>
      <c r="H26" s="303"/>
      <c r="I26" s="305">
        <v>0</v>
      </c>
      <c r="J26" s="305">
        <v>0</v>
      </c>
      <c r="K26" s="305">
        <v>0</v>
      </c>
      <c r="L26" s="83"/>
    </row>
    <row r="27" spans="1:13" ht="29.25" customHeight="1">
      <c r="A27" s="76" t="s">
        <v>201</v>
      </c>
      <c r="B27" s="76"/>
      <c r="C27" s="311">
        <f>C24+C23+C26+C25</f>
        <v>771500.39116</v>
      </c>
      <c r="D27" s="311">
        <f>D24+D23+D26+D25</f>
        <v>623035.12123999989</v>
      </c>
      <c r="E27" s="311">
        <f t="shared" si="5"/>
        <v>80.756293629770809</v>
      </c>
      <c r="F27" s="311">
        <f>F24+F23</f>
        <v>750678.59816000005</v>
      </c>
      <c r="G27" s="311">
        <f>G24+G23</f>
        <v>608129.08139999991</v>
      </c>
      <c r="H27" s="311">
        <f t="shared" si="2"/>
        <v>81.010579346553186</v>
      </c>
      <c r="I27" s="311">
        <f>I24+I23</f>
        <v>106436.18333</v>
      </c>
      <c r="J27" s="311">
        <f>J24+J23</f>
        <v>81306.592810000002</v>
      </c>
      <c r="K27" s="310">
        <f t="shared" si="7"/>
        <v>76.389992825948127</v>
      </c>
      <c r="L27" s="95"/>
      <c r="M27" s="83"/>
    </row>
    <row r="28" spans="1:13" ht="29.25" customHeight="1">
      <c r="A28" s="76" t="s">
        <v>202</v>
      </c>
      <c r="B28" s="76"/>
      <c r="C28" s="311">
        <f>C29+C30+C31+C32+C33+C34+C35+C36+C37+C41+C38+C39+C40</f>
        <v>787193.1376299999</v>
      </c>
      <c r="D28" s="311">
        <f>SUM(D29:D41)</f>
        <v>617275.36158000003</v>
      </c>
      <c r="E28" s="311">
        <f t="shared" si="5"/>
        <v>78.414728491972014</v>
      </c>
      <c r="F28" s="311">
        <f>SUM(F29+F30+F31+F32+F33+F34+F35+F36+F37+F38+F39+F40+F41)</f>
        <v>760609.22815999994</v>
      </c>
      <c r="G28" s="311">
        <f>SUM(G29:G41)</f>
        <v>608028.06643000001</v>
      </c>
      <c r="H28" s="311">
        <f t="shared" si="2"/>
        <v>79.939612079239282</v>
      </c>
      <c r="I28" s="311">
        <f>I29+I30+I31+I32+I33+I34+I35+I36+I37+I38+I39+I40+I41</f>
        <v>112198.29979999999</v>
      </c>
      <c r="J28" s="311">
        <f>J29+J30+J31+J32+J33+J34+J35+J36+J37+J38+J39+J40+J41</f>
        <v>75647.848119999995</v>
      </c>
      <c r="K28" s="310">
        <f t="shared" si="7"/>
        <v>67.42334621366517</v>
      </c>
      <c r="L28" s="95"/>
    </row>
    <row r="29" spans="1:13" ht="30.75" customHeight="1">
      <c r="A29" s="81" t="s">
        <v>203</v>
      </c>
      <c r="B29" s="82" t="s">
        <v>30</v>
      </c>
      <c r="C29" s="312">
        <v>64006.061090000003</v>
      </c>
      <c r="D29" s="312">
        <v>46364.52824</v>
      </c>
      <c r="E29" s="313">
        <f t="shared" si="5"/>
        <v>72.437715195137613</v>
      </c>
      <c r="F29" s="304">
        <f>район!C88</f>
        <v>41696.35959</v>
      </c>
      <c r="G29" s="313">
        <f>район!D88</f>
        <v>29555.020930000002</v>
      </c>
      <c r="H29" s="314">
        <f t="shared" si="2"/>
        <v>70.881537910297936</v>
      </c>
      <c r="I29" s="314">
        <f>Справка!DJ31</f>
        <v>22309.701500000003</v>
      </c>
      <c r="J29" s="314">
        <f>Справка!DK31</f>
        <v>16809.507309999997</v>
      </c>
      <c r="K29" s="314">
        <f t="shared" si="7"/>
        <v>75.346177581085044</v>
      </c>
    </row>
    <row r="30" spans="1:13" ht="30.75" customHeight="1">
      <c r="A30" s="81" t="s">
        <v>204</v>
      </c>
      <c r="B30" s="82" t="s">
        <v>46</v>
      </c>
      <c r="C30" s="309">
        <f>I30</f>
        <v>1781.5</v>
      </c>
      <c r="D30" s="309">
        <f>J30</f>
        <v>1511.0572499999998</v>
      </c>
      <c r="E30" s="313">
        <f t="shared" si="5"/>
        <v>84.819379736177368</v>
      </c>
      <c r="F30" s="304">
        <f>район!C96</f>
        <v>1781.5</v>
      </c>
      <c r="G30" s="313">
        <f>район!D96</f>
        <v>1781.5</v>
      </c>
      <c r="H30" s="314">
        <f t="shared" si="2"/>
        <v>100</v>
      </c>
      <c r="I30" s="314">
        <f>Справка!DY31</f>
        <v>1781.5</v>
      </c>
      <c r="J30" s="314">
        <f>Справка!DZ31</f>
        <v>1511.0572499999998</v>
      </c>
      <c r="K30" s="314">
        <f t="shared" si="7"/>
        <v>84.819379736177368</v>
      </c>
    </row>
    <row r="31" spans="1:13" ht="33" customHeight="1">
      <c r="A31" s="81" t="s">
        <v>205</v>
      </c>
      <c r="B31" s="82" t="s">
        <v>50</v>
      </c>
      <c r="C31" s="312">
        <v>5061.8317100000004</v>
      </c>
      <c r="D31" s="312">
        <v>3908.7058699999998</v>
      </c>
      <c r="E31" s="313">
        <f t="shared" si="5"/>
        <v>77.21919838381983</v>
      </c>
      <c r="F31" s="304">
        <f>район!C98</f>
        <v>4702.1330000000007</v>
      </c>
      <c r="G31" s="313">
        <f>район!D98</f>
        <v>3753.4093300000004</v>
      </c>
      <c r="H31" s="314">
        <f t="shared" si="2"/>
        <v>79.823546675519381</v>
      </c>
      <c r="I31" s="314">
        <f>Справка!EB31</f>
        <v>409.02954999999997</v>
      </c>
      <c r="J31" s="314">
        <f>Справка!EC31</f>
        <v>204.62737999999999</v>
      </c>
      <c r="K31" s="314">
        <f t="shared" si="7"/>
        <v>50.027529795830148</v>
      </c>
    </row>
    <row r="32" spans="1:13" ht="30" customHeight="1">
      <c r="A32" s="81" t="s">
        <v>206</v>
      </c>
      <c r="B32" s="82" t="s">
        <v>58</v>
      </c>
      <c r="C32" s="312">
        <v>183656.23983999999</v>
      </c>
      <c r="D32" s="312">
        <v>160309.32707999999</v>
      </c>
      <c r="E32" s="313">
        <f t="shared" si="5"/>
        <v>87.287710572567718</v>
      </c>
      <c r="F32" s="304">
        <f>район!C104</f>
        <v>163752.19899999999</v>
      </c>
      <c r="G32" s="313">
        <f>район!D104</f>
        <v>147377.78926999998</v>
      </c>
      <c r="H32" s="314">
        <f t="shared" si="2"/>
        <v>90.000494753661286</v>
      </c>
      <c r="I32" s="314">
        <f>Справка!EE31</f>
        <v>35927.201839999994</v>
      </c>
      <c r="J32" s="314">
        <f>Справка!EF31</f>
        <v>22188.484380000002</v>
      </c>
      <c r="K32" s="314">
        <f t="shared" si="7"/>
        <v>61.759567246053038</v>
      </c>
    </row>
    <row r="33" spans="1:12" ht="30" customHeight="1">
      <c r="A33" s="81" t="s">
        <v>207</v>
      </c>
      <c r="B33" s="82" t="s">
        <v>68</v>
      </c>
      <c r="C33" s="312">
        <v>22750.077570000001</v>
      </c>
      <c r="D33" s="312">
        <v>14558.23193</v>
      </c>
      <c r="E33" s="313">
        <f t="shared" si="5"/>
        <v>63.992010072078173</v>
      </c>
      <c r="F33" s="304">
        <f>район!C109</f>
        <v>9408.2691699999996</v>
      </c>
      <c r="G33" s="313">
        <f>район!D109</f>
        <v>5588.1119199999994</v>
      </c>
      <c r="H33" s="314">
        <f t="shared" si="2"/>
        <v>59.395748771928467</v>
      </c>
      <c r="I33" s="314">
        <f>Справка!EH31</f>
        <v>19072.975810000004</v>
      </c>
      <c r="J33" s="314">
        <f>Справка!EI31</f>
        <v>14099.127400000001</v>
      </c>
      <c r="K33" s="314">
        <f t="shared" si="7"/>
        <v>73.922011648584999</v>
      </c>
    </row>
    <row r="34" spans="1:12" ht="30" customHeight="1">
      <c r="A34" s="81" t="s">
        <v>208</v>
      </c>
      <c r="B34" s="82" t="s">
        <v>76</v>
      </c>
      <c r="C34" s="309">
        <f>F34</f>
        <v>51</v>
      </c>
      <c r="D34" s="309">
        <f>G34</f>
        <v>51</v>
      </c>
      <c r="E34" s="313">
        <f t="shared" si="5"/>
        <v>100</v>
      </c>
      <c r="F34" s="304">
        <f>район!C113</f>
        <v>51</v>
      </c>
      <c r="G34" s="313">
        <f>район!D113</f>
        <v>51</v>
      </c>
      <c r="H34" s="314">
        <f t="shared" si="2"/>
        <v>100</v>
      </c>
      <c r="I34" s="313"/>
      <c r="J34" s="313"/>
      <c r="K34" s="314">
        <v>0</v>
      </c>
    </row>
    <row r="35" spans="1:12" ht="30" customHeight="1">
      <c r="A35" s="81" t="s">
        <v>209</v>
      </c>
      <c r="B35" s="82" t="s">
        <v>80</v>
      </c>
      <c r="C35" s="309">
        <f>F35</f>
        <v>416422.12072000001</v>
      </c>
      <c r="D35" s="309">
        <f>G35</f>
        <v>328915.77098000003</v>
      </c>
      <c r="E35" s="313">
        <f t="shared" si="5"/>
        <v>78.986142813763067</v>
      </c>
      <c r="F35" s="304">
        <f>район!C115</f>
        <v>416422.12072000001</v>
      </c>
      <c r="G35" s="313">
        <f>район!D115</f>
        <v>328915.77098000003</v>
      </c>
      <c r="H35" s="314">
        <f t="shared" si="2"/>
        <v>78.986142813763067</v>
      </c>
      <c r="I35" s="313"/>
      <c r="J35" s="313"/>
      <c r="K35" s="314">
        <v>0</v>
      </c>
    </row>
    <row r="36" spans="1:12" ht="30" customHeight="1">
      <c r="A36" s="81" t="s">
        <v>210</v>
      </c>
      <c r="B36" s="82" t="s">
        <v>86</v>
      </c>
      <c r="C36" s="312">
        <v>55829.699430000001</v>
      </c>
      <c r="D36" s="312">
        <v>39961.248939999998</v>
      </c>
      <c r="E36" s="313">
        <f t="shared" si="5"/>
        <v>71.577044741399561</v>
      </c>
      <c r="F36" s="304">
        <f>район!C121</f>
        <v>49256.203419999998</v>
      </c>
      <c r="G36" s="313">
        <f>район!D121</f>
        <v>39622.529570000006</v>
      </c>
      <c r="H36" s="314">
        <f t="shared" si="2"/>
        <v>80.441704432931729</v>
      </c>
      <c r="I36" s="314">
        <f>Справка!EK31</f>
        <v>32471.449099999998</v>
      </c>
      <c r="J36" s="314">
        <f>Справка!EL31</f>
        <v>20702.054400000001</v>
      </c>
      <c r="K36" s="314">
        <f t="shared" si="7"/>
        <v>63.754636684816148</v>
      </c>
      <c r="L36" s="83"/>
    </row>
    <row r="37" spans="1:12" ht="30" customHeight="1">
      <c r="A37" s="81" t="s">
        <v>211</v>
      </c>
      <c r="B37" s="82" t="s">
        <v>212</v>
      </c>
      <c r="C37" s="312">
        <v>31664.602459999998</v>
      </c>
      <c r="D37" s="312">
        <v>16500.510689999999</v>
      </c>
      <c r="E37" s="313">
        <f t="shared" si="5"/>
        <v>52.110272695967396</v>
      </c>
      <c r="F37" s="304">
        <f>район!C124</f>
        <v>31654.602459999998</v>
      </c>
      <c r="G37" s="313">
        <f>район!D124</f>
        <v>16490.510690000003</v>
      </c>
      <c r="H37" s="314">
        <f t="shared" si="2"/>
        <v>52.095143860479887</v>
      </c>
      <c r="I37" s="314">
        <f>Справка!EN31</f>
        <v>10</v>
      </c>
      <c r="J37" s="314">
        <f>Справка!EO31</f>
        <v>10</v>
      </c>
      <c r="K37" s="314"/>
    </row>
    <row r="38" spans="1:12" ht="30" customHeight="1">
      <c r="A38" s="81" t="s">
        <v>213</v>
      </c>
      <c r="B38" s="82" t="s">
        <v>95</v>
      </c>
      <c r="C38" s="312">
        <v>5890.0048100000004</v>
      </c>
      <c r="D38" s="312">
        <v>5191.8905999999997</v>
      </c>
      <c r="E38" s="313">
        <f t="shared" si="5"/>
        <v>88.147476402485296</v>
      </c>
      <c r="F38" s="304">
        <f>район!C129</f>
        <v>5673.5628100000004</v>
      </c>
      <c r="G38" s="313">
        <f>район!D129</f>
        <v>5068.9005999999999</v>
      </c>
      <c r="H38" s="314">
        <f t="shared" si="2"/>
        <v>89.342460280262586</v>
      </c>
      <c r="I38" s="314">
        <f>Справка!EQ31</f>
        <v>216.44200000000001</v>
      </c>
      <c r="J38" s="314">
        <f>Справка!ER31</f>
        <v>122.99000000000002</v>
      </c>
      <c r="K38" s="314">
        <f t="shared" si="7"/>
        <v>56.823537021465341</v>
      </c>
    </row>
    <row r="39" spans="1:12" ht="30" customHeight="1">
      <c r="A39" s="81" t="s">
        <v>214</v>
      </c>
      <c r="B39" s="82" t="s">
        <v>107</v>
      </c>
      <c r="C39" s="304">
        <f>F39</f>
        <v>80</v>
      </c>
      <c r="D39" s="315">
        <f>G39</f>
        <v>3.09</v>
      </c>
      <c r="E39" s="313">
        <f t="shared" si="5"/>
        <v>3.8624999999999998</v>
      </c>
      <c r="F39" s="304">
        <f>район!C135</f>
        <v>80</v>
      </c>
      <c r="G39" s="313">
        <f>район!D135</f>
        <v>3.09</v>
      </c>
      <c r="H39" s="314">
        <f t="shared" si="2"/>
        <v>3.8624999999999998</v>
      </c>
      <c r="I39" s="314"/>
      <c r="J39" s="314"/>
      <c r="K39" s="314">
        <v>0</v>
      </c>
    </row>
    <row r="40" spans="1:12" ht="34.5" customHeight="1">
      <c r="A40" s="81" t="s">
        <v>215</v>
      </c>
      <c r="B40" s="82" t="s">
        <v>111</v>
      </c>
      <c r="C40" s="304">
        <f>F40</f>
        <v>0</v>
      </c>
      <c r="D40" s="315">
        <f>G40</f>
        <v>0</v>
      </c>
      <c r="E40" s="313"/>
      <c r="F40" s="304">
        <f>район!C137</f>
        <v>0</v>
      </c>
      <c r="G40" s="313">
        <f>район!D137</f>
        <v>0</v>
      </c>
      <c r="H40" s="314">
        <v>0</v>
      </c>
      <c r="I40" s="314"/>
      <c r="J40" s="316"/>
      <c r="K40" s="314">
        <v>0</v>
      </c>
    </row>
    <row r="41" spans="1:12" ht="30" customHeight="1">
      <c r="A41" s="81" t="s">
        <v>216</v>
      </c>
      <c r="B41" s="82" t="s">
        <v>217</v>
      </c>
      <c r="C41" s="304">
        <v>0</v>
      </c>
      <c r="D41" s="315"/>
      <c r="E41" s="313">
        <v>0</v>
      </c>
      <c r="F41" s="304">
        <f>район!C139</f>
        <v>36131.277990000002</v>
      </c>
      <c r="G41" s="313">
        <f>район!D139</f>
        <v>29820.433140000001</v>
      </c>
      <c r="H41" s="314">
        <f t="shared" si="2"/>
        <v>82.533568694285748</v>
      </c>
      <c r="I41" s="314">
        <f>Справка!ET31</f>
        <v>0</v>
      </c>
      <c r="J41" s="316">
        <f>Справка!EU31</f>
        <v>0</v>
      </c>
      <c r="K41" s="314"/>
    </row>
    <row r="42" spans="1:12">
      <c r="A42" s="140"/>
      <c r="B42" s="141"/>
      <c r="C42" s="139"/>
      <c r="D42" s="139"/>
      <c r="E42" s="139"/>
      <c r="F42" s="139"/>
      <c r="G42" s="139"/>
      <c r="H42" s="139"/>
      <c r="I42" s="139"/>
      <c r="J42" s="139"/>
      <c r="K42" s="139"/>
    </row>
    <row r="43" spans="1:12" hidden="1">
      <c r="A43" s="140"/>
      <c r="B43" s="141"/>
      <c r="C43" s="139">
        <f>C27-C28</f>
        <v>-15692.746469999896</v>
      </c>
      <c r="D43" s="139">
        <f>D27-D28</f>
        <v>5759.7596599998651</v>
      </c>
      <c r="E43" s="139"/>
      <c r="F43" s="139">
        <f>F27-F28</f>
        <v>-9930.6299999998882</v>
      </c>
      <c r="G43" s="139">
        <f>G27-G28</f>
        <v>101.01496999990195</v>
      </c>
      <c r="H43" s="139"/>
      <c r="I43" s="139">
        <f>I27-I28</f>
        <v>-5762.1164699999936</v>
      </c>
      <c r="J43" s="139">
        <f>J27-J28</f>
        <v>5658.7446900000068</v>
      </c>
      <c r="K43" s="139"/>
    </row>
    <row r="44" spans="1:12" hidden="1">
      <c r="A44" s="140"/>
      <c r="B44" s="141"/>
      <c r="C44" s="139">
        <f>C43-F44</f>
        <v>-1.4551915228366852E-11</v>
      </c>
      <c r="D44" s="139">
        <f>D43-G44</f>
        <v>-4.3655745685100555E-11</v>
      </c>
      <c r="E44" s="139"/>
      <c r="F44" s="139">
        <f>F43+I43</f>
        <v>-15692.746469999882</v>
      </c>
      <c r="G44" s="139">
        <f>G43+J43</f>
        <v>5759.7596599999088</v>
      </c>
      <c r="H44" s="139"/>
      <c r="I44" s="139"/>
      <c r="J44" s="139"/>
      <c r="K44" s="139"/>
    </row>
    <row r="45" spans="1:12" ht="20.25" hidden="1" customHeight="1">
      <c r="A45" s="140"/>
      <c r="B45" s="141"/>
      <c r="C45" s="142"/>
      <c r="D45" s="142"/>
      <c r="E45" s="143"/>
      <c r="F45" s="143">
        <f>C28+F44-C23-C26</f>
        <v>574170.16215999995</v>
      </c>
      <c r="G45" s="143">
        <f>D28+G44-D23-D26</f>
        <v>472403.14563999989</v>
      </c>
      <c r="H45" s="137"/>
      <c r="I45" s="137"/>
      <c r="J45" s="137"/>
      <c r="K45" s="139"/>
    </row>
    <row r="46" spans="1:12">
      <c r="A46" s="140"/>
      <c r="B46" s="141"/>
      <c r="C46" s="324"/>
      <c r="D46" s="139"/>
      <c r="E46" s="139"/>
      <c r="F46" s="139"/>
      <c r="G46" s="139"/>
      <c r="H46" s="139"/>
      <c r="I46" s="139"/>
      <c r="J46" s="139"/>
      <c r="K46" s="139"/>
    </row>
    <row r="47" spans="1:12">
      <c r="A47" s="140"/>
      <c r="B47" s="141"/>
      <c r="C47" s="139"/>
      <c r="D47" s="139"/>
      <c r="E47" s="139"/>
      <c r="F47" s="139"/>
      <c r="G47" s="139"/>
      <c r="H47" s="139"/>
      <c r="I47" s="139"/>
      <c r="J47" s="139"/>
      <c r="K47" s="139"/>
    </row>
    <row r="48" spans="1:12">
      <c r="A48" s="140"/>
      <c r="B48" s="141"/>
      <c r="C48" s="139"/>
      <c r="D48" s="139"/>
      <c r="E48" s="139"/>
      <c r="F48" s="139"/>
      <c r="G48" s="139"/>
      <c r="H48" s="139"/>
      <c r="I48" s="139"/>
      <c r="J48" s="139"/>
      <c r="K48" s="139"/>
    </row>
    <row r="49" spans="1:11">
      <c r="A49" s="140" t="s">
        <v>120</v>
      </c>
      <c r="B49" s="141"/>
      <c r="C49" s="142"/>
      <c r="D49" s="142"/>
      <c r="E49" s="143"/>
      <c r="F49" s="143"/>
      <c r="G49" s="143"/>
      <c r="H49" s="137"/>
      <c r="I49" s="137"/>
      <c r="J49" s="137"/>
      <c r="K49" s="137"/>
    </row>
    <row r="50" spans="1:11">
      <c r="A50" s="140" t="s">
        <v>218</v>
      </c>
      <c r="B50" s="141"/>
      <c r="C50" s="144" t="s">
        <v>267</v>
      </c>
      <c r="D50" s="417"/>
      <c r="E50" s="417"/>
      <c r="F50" s="145"/>
      <c r="G50" s="143"/>
      <c r="H50" s="137"/>
      <c r="I50" s="137"/>
      <c r="J50" s="137"/>
      <c r="K50" s="137"/>
    </row>
    <row r="51" spans="1:11">
      <c r="C51" s="86"/>
      <c r="D51" s="86"/>
      <c r="F51" s="83"/>
      <c r="G51" s="83"/>
    </row>
    <row r="52" spans="1:11">
      <c r="C52" s="90"/>
      <c r="D52" s="90"/>
      <c r="F52" s="83"/>
      <c r="G52" s="83"/>
      <c r="I52" s="83"/>
      <c r="J52" s="83"/>
    </row>
    <row r="53" spans="1:11">
      <c r="C53" s="98"/>
      <c r="D53" s="83"/>
      <c r="F53" s="83"/>
      <c r="G53" s="83"/>
    </row>
    <row r="54" spans="1:11">
      <c r="C54" s="98"/>
      <c r="D54" s="83"/>
    </row>
  </sheetData>
  <customSheetViews>
    <customSheetView guid="{8E17DC23-BE06-48DD-840B-6DD85B9E86D1}" scale="80" showPageBreaks="1" printArea="1" hiddenRows="1" view="pageBreakPreview" topLeftCell="A1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1"/>
    </customSheetView>
    <customSheetView guid="{5BFCA170-DEAE-4D2C-98A0-1E68B427AC01}" showPageBreaks="1" printArea="1" hiddenRows="1" topLeftCell="A19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2"/>
    </customSheetView>
    <customSheetView guid="{3DCB9AAA-F09C-4EA6-B992-F93E466D374A}" hiddenRows="1" topLeftCell="A20">
      <selection activeCell="G28" sqref="G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2" orientation="landscape" r:id="rId3"/>
    </customSheetView>
    <customSheetView guid="{1718F1EE-9F48-4DBE-9531-3B70F9C4A5DD}" scale="80" showPageBreaks="1" printArea="1" hiddenRows="1" view="pageBreakPreview" topLeftCell="A16">
      <selection activeCell="G24" sqref="F24:G2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4"/>
    </customSheetView>
    <customSheetView guid="{42584DC0-1D41-4C93-9B38-C388E7B8DAC4}" scale="80" showPageBreaks="1" printArea="1" hiddenRows="1" view="pageBreakPreview" topLeftCell="A23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5"/>
    </customSheetView>
    <customSheetView guid="{B30CE22D-C12F-4E12-8BB9-3AAE0A6991CC}" scale="80" showPageBreaks="1" printArea="1" hiddenRows="1" view="pageBreakPreview">
      <selection activeCell="J4" sqref="J4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63" orientation="landscape" r:id="rId6"/>
    </customSheetView>
    <customSheetView guid="{A54C432C-6C68-4B53-A75C-446EB3A61B2B}" scale="80" showPageBreaks="1" printArea="1" hiddenRows="1" view="pageBreakPreview" topLeftCell="A15">
      <selection activeCell="C27" sqref="C27:K28"/>
      <rowBreaks count="1" manualBreakCount="1">
        <brk id="27" max="10" man="1"/>
      </rowBreaks>
      <pageMargins left="0.70866141732283472" right="0.70866141732283472" top="0.34" bottom="0.74803149606299213" header="0.31496062992125984" footer="0.31496062992125984"/>
      <pageSetup paperSize="9" scale="56" orientation="landscape" r:id="rId7"/>
    </customSheetView>
  </customSheetViews>
  <mergeCells count="7">
    <mergeCell ref="C2:E2"/>
    <mergeCell ref="D50:E50"/>
    <mergeCell ref="A2:A3"/>
    <mergeCell ref="B2:B3"/>
    <mergeCell ref="A1:K1"/>
    <mergeCell ref="I2:K2"/>
    <mergeCell ref="F2:H2"/>
  </mergeCells>
  <phoneticPr fontId="15" type="noConversion"/>
  <pageMargins left="0.70866141732283472" right="0.70866141732283472" top="0.34" bottom="0.74803149606299213" header="0.31496062992125984" footer="0.31496062992125984"/>
  <pageSetup paperSize="9" scale="56" orientation="landscape" r:id="rId8"/>
  <rowBreaks count="1" manualBreakCount="1">
    <brk id="2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G141"/>
  <sheetViews>
    <sheetView view="pageBreakPreview" topLeftCell="A64" zoomScale="70" zoomScaleNormal="100" zoomScaleSheetLayoutView="70" workbookViewId="0">
      <selection activeCell="C98" activeCellId="1" sqref="C51:D51 C98:D98"/>
    </sheetView>
  </sheetViews>
  <sheetFormatPr defaultRowHeight="15.75"/>
  <cols>
    <col min="1" max="1" width="14.7109375" style="58" customWidth="1"/>
    <col min="2" max="2" width="57.5703125" style="59" customWidth="1"/>
    <col min="3" max="3" width="17" style="62" customWidth="1"/>
    <col min="4" max="4" width="15" style="62" customWidth="1"/>
    <col min="5" max="5" width="14.140625" style="62" customWidth="1"/>
    <col min="6" max="6" width="10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424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6.75" customHeight="1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2515</v>
      </c>
      <c r="D4" s="5">
        <f>D5+D12+D14+D17+D7</f>
        <v>1601.9696200000001</v>
      </c>
      <c r="E4" s="5">
        <f>SUM(D4/C4*100)</f>
        <v>63.696605168986089</v>
      </c>
      <c r="F4" s="5">
        <f>SUM(D4-C4)</f>
        <v>-913.03037999999992</v>
      </c>
    </row>
    <row r="5" spans="1:6" s="6" customFormat="1">
      <c r="A5" s="68">
        <v>1010000000</v>
      </c>
      <c r="B5" s="67" t="s">
        <v>6</v>
      </c>
      <c r="C5" s="5">
        <f>C6</f>
        <v>262.3</v>
      </c>
      <c r="D5" s="5">
        <f>D6</f>
        <v>181.78439</v>
      </c>
      <c r="E5" s="5">
        <f t="shared" ref="E5:E51" si="0">SUM(D5/C5*100)</f>
        <v>69.30399923751429</v>
      </c>
      <c r="F5" s="5">
        <f t="shared" ref="F5:F51" si="1">SUM(D5-C5)</f>
        <v>-80.515610000000009</v>
      </c>
    </row>
    <row r="6" spans="1:6">
      <c r="A6" s="7">
        <v>1010200001</v>
      </c>
      <c r="B6" s="8" t="s">
        <v>229</v>
      </c>
      <c r="C6" s="9">
        <v>262.3</v>
      </c>
      <c r="D6" s="10">
        <v>181.78439</v>
      </c>
      <c r="E6" s="9">
        <f t="shared" ref="E6:E11" si="2">SUM(D6/C6*100)</f>
        <v>69.30399923751429</v>
      </c>
      <c r="F6" s="9">
        <f t="shared" si="1"/>
        <v>-80.515610000000009</v>
      </c>
    </row>
    <row r="7" spans="1:6" ht="31.5">
      <c r="A7" s="3">
        <v>1030000000</v>
      </c>
      <c r="B7" s="13" t="s">
        <v>281</v>
      </c>
      <c r="C7" s="5">
        <f>C8+C10+C9</f>
        <v>422.7</v>
      </c>
      <c r="D7" s="5">
        <f>D8+D9+D10+D11</f>
        <v>369.41886</v>
      </c>
      <c r="E7" s="9">
        <f t="shared" si="2"/>
        <v>87.395046132008517</v>
      </c>
      <c r="F7" s="9">
        <f t="shared" si="1"/>
        <v>-53.281139999999994</v>
      </c>
    </row>
    <row r="8" spans="1:6">
      <c r="A8" s="7">
        <v>1030223001</v>
      </c>
      <c r="B8" s="8" t="s">
        <v>283</v>
      </c>
      <c r="C8" s="9">
        <v>157.66999999999999</v>
      </c>
      <c r="D8" s="10">
        <v>162.94273999999999</v>
      </c>
      <c r="E8" s="9">
        <f t="shared" si="2"/>
        <v>103.34416185704318</v>
      </c>
      <c r="F8" s="9">
        <f t="shared" si="1"/>
        <v>5.2727399999999989</v>
      </c>
    </row>
    <row r="9" spans="1:6">
      <c r="A9" s="7">
        <v>1030224001</v>
      </c>
      <c r="B9" s="8" t="s">
        <v>289</v>
      </c>
      <c r="C9" s="9">
        <v>1.7</v>
      </c>
      <c r="D9" s="10">
        <v>1.5118100000000001</v>
      </c>
      <c r="E9" s="9">
        <f t="shared" si="2"/>
        <v>88.93</v>
      </c>
      <c r="F9" s="9">
        <f t="shared" si="1"/>
        <v>-0.18818999999999986</v>
      </c>
    </row>
    <row r="10" spans="1:6">
      <c r="A10" s="7">
        <v>1030225001</v>
      </c>
      <c r="B10" s="8" t="s">
        <v>282</v>
      </c>
      <c r="C10" s="9">
        <v>263.33</v>
      </c>
      <c r="D10" s="10">
        <v>241.77</v>
      </c>
      <c r="E10" s="9">
        <f t="shared" si="2"/>
        <v>91.812554589298614</v>
      </c>
      <c r="F10" s="9">
        <f t="shared" si="1"/>
        <v>-21.559999999999974</v>
      </c>
    </row>
    <row r="11" spans="1:6">
      <c r="A11" s="7">
        <v>1030265001</v>
      </c>
      <c r="B11" s="8" t="s">
        <v>291</v>
      </c>
      <c r="C11" s="9">
        <v>0</v>
      </c>
      <c r="D11" s="10">
        <v>-36.805689999999998</v>
      </c>
      <c r="E11" s="9" t="e">
        <f t="shared" si="2"/>
        <v>#DIV/0!</v>
      </c>
      <c r="F11" s="9">
        <f t="shared" si="1"/>
        <v>-36.805689999999998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35.71604</v>
      </c>
      <c r="E12" s="5">
        <f t="shared" si="0"/>
        <v>89.290099999999995</v>
      </c>
      <c r="F12" s="5">
        <f t="shared" si="1"/>
        <v>-4.2839600000000004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35.71604</v>
      </c>
      <c r="E13" s="9">
        <f t="shared" si="0"/>
        <v>89.290099999999995</v>
      </c>
      <c r="F13" s="9">
        <f t="shared" si="1"/>
        <v>-4.2839600000000004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1780</v>
      </c>
      <c r="D14" s="5">
        <f>D15+D16</f>
        <v>1008.7653299999999</v>
      </c>
      <c r="E14" s="5">
        <f t="shared" si="0"/>
        <v>56.672209550561789</v>
      </c>
      <c r="F14" s="5">
        <f t="shared" si="1"/>
        <v>-771.23467000000005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87.012360000000001</v>
      </c>
      <c r="E15" s="9">
        <f t="shared" si="0"/>
        <v>54.382725000000001</v>
      </c>
      <c r="F15" s="9">
        <f>SUM(D15-C15)</f>
        <v>-72.987639999999999</v>
      </c>
    </row>
    <row r="16" spans="1:6" ht="15.75" customHeight="1">
      <c r="A16" s="7">
        <v>1060600000</v>
      </c>
      <c r="B16" s="11" t="s">
        <v>8</v>
      </c>
      <c r="C16" s="9">
        <v>1620</v>
      </c>
      <c r="D16" s="10">
        <v>921.75297</v>
      </c>
      <c r="E16" s="9">
        <f t="shared" si="0"/>
        <v>56.898331481481478</v>
      </c>
      <c r="F16" s="9">
        <f t="shared" si="1"/>
        <v>-698.24703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6.2850000000000001</v>
      </c>
      <c r="E17" s="5">
        <f t="shared" si="0"/>
        <v>62.850000000000009</v>
      </c>
      <c r="F17" s="5">
        <f t="shared" si="1"/>
        <v>-3.7149999999999999</v>
      </c>
    </row>
    <row r="18" spans="1:6" ht="18" customHeight="1">
      <c r="A18" s="7">
        <v>1080400001</v>
      </c>
      <c r="B18" s="8" t="s">
        <v>228</v>
      </c>
      <c r="C18" s="9">
        <v>10</v>
      </c>
      <c r="D18" s="9">
        <v>6.2850000000000001</v>
      </c>
      <c r="E18" s="9">
        <f t="shared" si="0"/>
        <v>62.850000000000009</v>
      </c>
      <c r="F18" s="9">
        <f t="shared" si="1"/>
        <v>-3.7149999999999999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187.3</v>
      </c>
      <c r="D25" s="5">
        <f>D26+D29+D31+D36+D34</f>
        <v>89.15424999999999</v>
      </c>
      <c r="E25" s="5">
        <f t="shared" si="0"/>
        <v>47.599706353443665</v>
      </c>
      <c r="F25" s="5">
        <f t="shared" si="1"/>
        <v>-98.145750000000021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137.30000000000001</v>
      </c>
      <c r="D26" s="5">
        <f>D27+D28</f>
        <v>83.791519999999991</v>
      </c>
      <c r="E26" s="5">
        <f t="shared" si="0"/>
        <v>61.028055353241065</v>
      </c>
      <c r="F26" s="5">
        <f t="shared" si="1"/>
        <v>-53.50848000000002</v>
      </c>
    </row>
    <row r="27" spans="1:6" ht="15.75" customHeight="1">
      <c r="A27" s="16">
        <v>1110502510</v>
      </c>
      <c r="B27" s="17" t="s">
        <v>226</v>
      </c>
      <c r="C27" s="12">
        <v>107.3</v>
      </c>
      <c r="D27" s="12">
        <v>38.791519999999998</v>
      </c>
      <c r="E27" s="9">
        <f t="shared" si="0"/>
        <v>36.152395153774464</v>
      </c>
      <c r="F27" s="9">
        <f t="shared" si="1"/>
        <v>-68.508479999999992</v>
      </c>
    </row>
    <row r="28" spans="1:6" ht="17.25" customHeight="1">
      <c r="A28" s="7">
        <v>1110503510</v>
      </c>
      <c r="B28" s="11" t="s">
        <v>225</v>
      </c>
      <c r="C28" s="12">
        <v>30</v>
      </c>
      <c r="D28" s="10">
        <v>45</v>
      </c>
      <c r="E28" s="9">
        <f t="shared" si="0"/>
        <v>150</v>
      </c>
      <c r="F28" s="9">
        <f t="shared" si="1"/>
        <v>15</v>
      </c>
    </row>
    <row r="29" spans="1:6" s="15" customFormat="1" ht="15" customHeight="1">
      <c r="A29" s="68">
        <v>1130000000</v>
      </c>
      <c r="B29" s="69" t="s">
        <v>131</v>
      </c>
      <c r="C29" s="5">
        <f>C30</f>
        <v>50</v>
      </c>
      <c r="D29" s="5">
        <f>D30</f>
        <v>1.33328</v>
      </c>
      <c r="E29" s="5">
        <f t="shared" si="0"/>
        <v>2.66656</v>
      </c>
      <c r="F29" s="5">
        <f t="shared" si="1"/>
        <v>-48.666719999999998</v>
      </c>
    </row>
    <row r="30" spans="1:6" ht="15.75" customHeight="1">
      <c r="A30" s="7">
        <v>1130206005</v>
      </c>
      <c r="B30" s="8" t="s">
        <v>224</v>
      </c>
      <c r="C30" s="9">
        <v>50</v>
      </c>
      <c r="D30" s="10">
        <v>1.33328</v>
      </c>
      <c r="E30" s="9">
        <f t="shared" si="0"/>
        <v>2.66656</v>
      </c>
      <c r="F30" s="9">
        <f t="shared" si="1"/>
        <v>-48.666719999999998</v>
      </c>
    </row>
    <row r="31" spans="1:6" ht="15.7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0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7">
        <v>1169000000</v>
      </c>
      <c r="B34" s="13" t="s">
        <v>340</v>
      </c>
      <c r="C34" s="9">
        <v>0</v>
      </c>
      <c r="D34" s="10">
        <v>0</v>
      </c>
      <c r="E34" s="9" t="e">
        <f>SUM(D34/C34*100)</f>
        <v>#DIV/0!</v>
      </c>
      <c r="F34" s="9">
        <f>SUM(D34-C34)</f>
        <v>0</v>
      </c>
    </row>
    <row r="35" spans="1:7" ht="18" hidden="1" customHeight="1">
      <c r="A35" s="7">
        <v>1169005010</v>
      </c>
      <c r="B35" s="8" t="s">
        <v>341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9.5" customHeight="1">
      <c r="A36" s="3">
        <v>1170000000</v>
      </c>
      <c r="B36" s="13" t="s">
        <v>135</v>
      </c>
      <c r="C36" s="5">
        <f>C37+C38</f>
        <v>0</v>
      </c>
      <c r="D36" s="5">
        <f>D37+D38</f>
        <v>4.0294499999999998</v>
      </c>
      <c r="E36" s="5" t="e">
        <f t="shared" si="0"/>
        <v>#DIV/0!</v>
      </c>
      <c r="F36" s="5">
        <f t="shared" si="1"/>
        <v>4.0294499999999998</v>
      </c>
    </row>
    <row r="37" spans="1:7" ht="15.75" customHeight="1">
      <c r="A37" s="7">
        <v>1170105005</v>
      </c>
      <c r="B37" s="8" t="s">
        <v>18</v>
      </c>
      <c r="C37" s="9">
        <v>0</v>
      </c>
      <c r="D37" s="9">
        <v>4.0294499999999998</v>
      </c>
      <c r="E37" s="9" t="e">
        <f t="shared" si="0"/>
        <v>#DIV/0!</v>
      </c>
      <c r="F37" s="9">
        <f t="shared" si="1"/>
        <v>4.0294499999999998</v>
      </c>
    </row>
    <row r="38" spans="1:7" ht="18.7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20.25" customHeight="1">
      <c r="A39" s="3">
        <v>1000000000</v>
      </c>
      <c r="B39" s="4" t="s">
        <v>19</v>
      </c>
      <c r="C39" s="127">
        <f>SUM(C4,C25)</f>
        <v>2702.3</v>
      </c>
      <c r="D39" s="127">
        <f>SUM(D4,D25)</f>
        <v>1691.1238700000001</v>
      </c>
      <c r="E39" s="5">
        <f t="shared" si="0"/>
        <v>62.580907745254045</v>
      </c>
      <c r="F39" s="5">
        <f t="shared" si="1"/>
        <v>-1011.1761300000001</v>
      </c>
    </row>
    <row r="40" spans="1:7" s="6" customFormat="1">
      <c r="A40" s="3">
        <v>2000000000</v>
      </c>
      <c r="B40" s="4" t="s">
        <v>20</v>
      </c>
      <c r="C40" s="5">
        <f>C41+C43+C45+C46+C48+C49+C47+C42+C44</f>
        <v>3290.6099999999997</v>
      </c>
      <c r="D40" s="5">
        <f>D41+D43+D45+D46+D48+D49+D42+D47</f>
        <v>2810.3533499999999</v>
      </c>
      <c r="E40" s="5">
        <f t="shared" si="0"/>
        <v>85.405239454082988</v>
      </c>
      <c r="F40" s="5">
        <f t="shared" si="1"/>
        <v>-480.25664999999981</v>
      </c>
      <c r="G40" s="19"/>
    </row>
    <row r="41" spans="1:7">
      <c r="A41" s="16">
        <v>2021000000</v>
      </c>
      <c r="B41" s="17" t="s">
        <v>21</v>
      </c>
      <c r="C41" s="99">
        <v>1357.7539999999999</v>
      </c>
      <c r="D41" s="20">
        <v>1197.5440000000001</v>
      </c>
      <c r="E41" s="9">
        <f t="shared" si="0"/>
        <v>88.200366192992263</v>
      </c>
      <c r="F41" s="9">
        <f t="shared" si="1"/>
        <v>-160.20999999999981</v>
      </c>
    </row>
    <row r="42" spans="1:7" ht="17.25" customHeight="1">
      <c r="A42" s="16">
        <v>2021500200</v>
      </c>
      <c r="B42" s="17" t="s">
        <v>232</v>
      </c>
      <c r="C42" s="12">
        <v>420</v>
      </c>
      <c r="D42" s="20">
        <v>240</v>
      </c>
      <c r="E42" s="9">
        <f>SUM(D42/C42*100)</f>
        <v>57.142857142857139</v>
      </c>
      <c r="F42" s="9">
        <f>SUM(D42-C42)</f>
        <v>-180</v>
      </c>
    </row>
    <row r="43" spans="1:7" ht="19.5" customHeight="1">
      <c r="A43" s="16">
        <v>2022000000</v>
      </c>
      <c r="B43" s="17" t="s">
        <v>22</v>
      </c>
      <c r="C43" s="12">
        <v>1047.7360000000001</v>
      </c>
      <c r="D43" s="10">
        <v>912.74599999999998</v>
      </c>
      <c r="E43" s="9">
        <f t="shared" si="0"/>
        <v>87.116029228737005</v>
      </c>
      <c r="F43" s="9">
        <f t="shared" si="1"/>
        <v>-134.99000000000012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7.25" customHeight="1">
      <c r="A45" s="16">
        <v>2023000000</v>
      </c>
      <c r="B45" s="17" t="s">
        <v>23</v>
      </c>
      <c r="C45" s="12">
        <v>155.91999999999999</v>
      </c>
      <c r="D45" s="251">
        <v>150.881</v>
      </c>
      <c r="E45" s="9">
        <f t="shared" si="0"/>
        <v>96.768214468958448</v>
      </c>
      <c r="F45" s="9">
        <f t="shared" si="1"/>
        <v>-5.0389999999999873</v>
      </c>
    </row>
    <row r="46" spans="1:7" ht="17.2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0.25" customHeight="1">
      <c r="A47" s="7">
        <v>2070500010</v>
      </c>
      <c r="B47" s="18" t="s">
        <v>298</v>
      </c>
      <c r="C47" s="12">
        <v>309.2</v>
      </c>
      <c r="D47" s="252">
        <v>309.18234999999999</v>
      </c>
      <c r="E47" s="9">
        <f t="shared" si="0"/>
        <v>99.994291720569208</v>
      </c>
      <c r="F47" s="9">
        <f t="shared" si="1"/>
        <v>-1.7650000000003274E-2</v>
      </c>
    </row>
    <row r="48" spans="1:7" ht="19.5" hidden="1" customHeight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t="0.75" hidden="1" customHeight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" hidden="1" customHeight="1">
      <c r="A50" s="3">
        <v>3000000000</v>
      </c>
      <c r="B50" s="13" t="s">
        <v>27</v>
      </c>
      <c r="C50" s="122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7" s="6" customFormat="1" ht="17.25" customHeight="1">
      <c r="A51" s="3"/>
      <c r="B51" s="4" t="s">
        <v>28</v>
      </c>
      <c r="C51" s="93">
        <f>C39+C40</f>
        <v>5992.91</v>
      </c>
      <c r="D51" s="407">
        <f>D39+D40</f>
        <v>4501.4772199999998</v>
      </c>
      <c r="E51" s="5">
        <f t="shared" si="0"/>
        <v>75.113379309884508</v>
      </c>
      <c r="F51" s="5">
        <f t="shared" si="1"/>
        <v>-1491.4327800000001</v>
      </c>
      <c r="G51" s="293"/>
    </row>
    <row r="52" spans="1:7" s="6" customFormat="1">
      <c r="A52" s="3"/>
      <c r="B52" s="21" t="s">
        <v>321</v>
      </c>
      <c r="C52" s="93">
        <f>C51-C98</f>
        <v>-111.73351000000002</v>
      </c>
      <c r="D52" s="93">
        <f>D51-D98</f>
        <v>248.80718999999954</v>
      </c>
      <c r="E52" s="22"/>
      <c r="F52" s="22"/>
    </row>
    <row r="53" spans="1:7" ht="23.25" customHeight="1">
      <c r="A53" s="23"/>
      <c r="B53" s="24"/>
      <c r="C53" s="242"/>
      <c r="D53" s="242"/>
      <c r="E53" s="132"/>
      <c r="F53" s="92"/>
    </row>
    <row r="54" spans="1:7" ht="65.25" customHeight="1">
      <c r="A54" s="28" t="s">
        <v>1</v>
      </c>
      <c r="B54" s="28" t="s">
        <v>29</v>
      </c>
      <c r="C54" s="72" t="s">
        <v>346</v>
      </c>
      <c r="D54" s="103" t="s">
        <v>412</v>
      </c>
      <c r="E54" s="72" t="s">
        <v>3</v>
      </c>
      <c r="F54" s="74" t="s">
        <v>4</v>
      </c>
    </row>
    <row r="55" spans="1:7" ht="19.5" customHeight="1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2">
        <f>C57+C58+C59+C60+C61+C63+C62</f>
        <v>1330.0975000000001</v>
      </c>
      <c r="D56" s="33">
        <f>D57+D58+D59+D60+D61+D63+D62</f>
        <v>945.64662999999996</v>
      </c>
      <c r="E56" s="34">
        <f>SUM(D56/C56*100)</f>
        <v>71.09603844830923</v>
      </c>
      <c r="F56" s="34">
        <f>SUM(D56-C56)</f>
        <v>-384.45087000000012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8" customHeight="1">
      <c r="A58" s="35" t="s">
        <v>34</v>
      </c>
      <c r="B58" s="39" t="s">
        <v>35</v>
      </c>
      <c r="C58" s="37">
        <v>1313.154</v>
      </c>
      <c r="D58" s="37">
        <v>933.70312999999999</v>
      </c>
      <c r="E58" s="38">
        <f t="shared" ref="E58:E98" si="3">SUM(D58/C58*100)</f>
        <v>71.103856059533001</v>
      </c>
      <c r="F58" s="38">
        <f t="shared" ref="F58:F98" si="4">SUM(D58-C58)</f>
        <v>-379.45087000000001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.75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11.9435</v>
      </c>
      <c r="D63" s="37">
        <v>11.9435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118.7345</v>
      </c>
      <c r="E64" s="34">
        <f t="shared" si="3"/>
        <v>78.694136438650318</v>
      </c>
      <c r="F64" s="34">
        <f t="shared" si="4"/>
        <v>-32.146500000000003</v>
      </c>
    </row>
    <row r="65" spans="1:7">
      <c r="A65" s="43" t="s">
        <v>48</v>
      </c>
      <c r="B65" s="44" t="s">
        <v>49</v>
      </c>
      <c r="C65" s="37">
        <v>150.881</v>
      </c>
      <c r="D65" s="37">
        <v>118.7345</v>
      </c>
      <c r="E65" s="38">
        <f t="shared" si="3"/>
        <v>78.694136438650318</v>
      </c>
      <c r="F65" s="38">
        <f t="shared" si="4"/>
        <v>-32.146500000000003</v>
      </c>
    </row>
    <row r="66" spans="1:7" s="6" customFormat="1" ht="18.75" customHeight="1">
      <c r="A66" s="30" t="s">
        <v>50</v>
      </c>
      <c r="B66" s="31" t="s">
        <v>51</v>
      </c>
      <c r="C66" s="32">
        <f>C70+C69+C68+C67</f>
        <v>9.4405000000000001</v>
      </c>
      <c r="D66" s="32">
        <f>D70+D69+D68+D67</f>
        <v>9.4396599999999999</v>
      </c>
      <c r="E66" s="34">
        <f t="shared" si="3"/>
        <v>99.991102166198814</v>
      </c>
      <c r="F66" s="34">
        <f t="shared" si="4"/>
        <v>-8.4000000000017394E-4</v>
      </c>
    </row>
    <row r="67" spans="1:7" hidden="1">
      <c r="A67" s="35" t="s">
        <v>52</v>
      </c>
      <c r="B67" s="39" t="s">
        <v>53</v>
      </c>
      <c r="C67" s="37"/>
      <c r="D67" s="37"/>
      <c r="E67" s="38" t="e">
        <f t="shared" si="3"/>
        <v>#DIV/0!</v>
      </c>
      <c r="F67" s="38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8" t="e">
        <f t="shared" si="3"/>
        <v>#DIV/0!</v>
      </c>
      <c r="F68" s="38">
        <f t="shared" si="4"/>
        <v>0</v>
      </c>
    </row>
    <row r="69" spans="1:7" ht="15.75" customHeight="1">
      <c r="A69" s="46" t="s">
        <v>56</v>
      </c>
      <c r="B69" s="47" t="s">
        <v>57</v>
      </c>
      <c r="C69" s="37">
        <v>2.7905000000000002</v>
      </c>
      <c r="D69" s="37">
        <v>2.78966</v>
      </c>
      <c r="E69" s="38">
        <f t="shared" si="3"/>
        <v>99.969897867765624</v>
      </c>
      <c r="F69" s="38">
        <f t="shared" si="4"/>
        <v>-8.4000000000017394E-4</v>
      </c>
    </row>
    <row r="70" spans="1:7" ht="15.75" customHeight="1">
      <c r="A70" s="46" t="s">
        <v>219</v>
      </c>
      <c r="B70" s="47" t="s">
        <v>220</v>
      </c>
      <c r="C70" s="37">
        <v>6.65</v>
      </c>
      <c r="D70" s="37">
        <v>6.65</v>
      </c>
      <c r="E70" s="38">
        <f>SUM(D70/C70*100)</f>
        <v>100</v>
      </c>
      <c r="F70" s="38">
        <f>SUM(D70-C70)</f>
        <v>0</v>
      </c>
    </row>
    <row r="71" spans="1:7" s="6" customFormat="1">
      <c r="A71" s="30" t="s">
        <v>58</v>
      </c>
      <c r="B71" s="31" t="s">
        <v>59</v>
      </c>
      <c r="C71" s="48">
        <f>SUM(C72:C75)</f>
        <v>2173.4105099999997</v>
      </c>
      <c r="D71" s="48">
        <f>SUM(D72:D75)</f>
        <v>1698.1220399999997</v>
      </c>
      <c r="E71" s="34">
        <f t="shared" si="3"/>
        <v>78.131675179945631</v>
      </c>
      <c r="F71" s="34">
        <f t="shared" si="4"/>
        <v>-475.28846999999996</v>
      </c>
    </row>
    <row r="72" spans="1:7" ht="17.25" customHeight="1">
      <c r="A72" s="35" t="s">
        <v>60</v>
      </c>
      <c r="B72" s="39" t="s">
        <v>61</v>
      </c>
      <c r="C72" s="49">
        <v>11.25</v>
      </c>
      <c r="D72" s="37">
        <v>0</v>
      </c>
      <c r="E72" s="38">
        <f t="shared" si="3"/>
        <v>0</v>
      </c>
      <c r="F72" s="38">
        <f t="shared" si="4"/>
        <v>-11.25</v>
      </c>
    </row>
    <row r="73" spans="1:7" s="6" customFormat="1" ht="17.25" customHeight="1">
      <c r="A73" s="35" t="s">
        <v>62</v>
      </c>
      <c r="B73" s="39" t="s">
        <v>63</v>
      </c>
      <c r="C73" s="49">
        <v>152.941</v>
      </c>
      <c r="D73" s="37">
        <v>102.07704</v>
      </c>
      <c r="E73" s="38">
        <f t="shared" si="3"/>
        <v>66.742757010873461</v>
      </c>
      <c r="F73" s="38">
        <f t="shared" si="4"/>
        <v>-50.863960000000006</v>
      </c>
      <c r="G73" s="50"/>
    </row>
    <row r="74" spans="1:7">
      <c r="A74" s="35" t="s">
        <v>64</v>
      </c>
      <c r="B74" s="39" t="s">
        <v>65</v>
      </c>
      <c r="C74" s="49">
        <v>1829.2195099999999</v>
      </c>
      <c r="D74" s="37">
        <v>1586.1949999999999</v>
      </c>
      <c r="E74" s="38">
        <f t="shared" si="3"/>
        <v>86.714305818878998</v>
      </c>
      <c r="F74" s="38">
        <f t="shared" si="4"/>
        <v>-243.02450999999996</v>
      </c>
    </row>
    <row r="75" spans="1:7">
      <c r="A75" s="35" t="s">
        <v>66</v>
      </c>
      <c r="B75" s="39" t="s">
        <v>67</v>
      </c>
      <c r="C75" s="49">
        <v>180</v>
      </c>
      <c r="D75" s="37">
        <v>9.85</v>
      </c>
      <c r="E75" s="38">
        <f t="shared" si="3"/>
        <v>5.4722222222222223</v>
      </c>
      <c r="F75" s="38">
        <f t="shared" si="4"/>
        <v>-170.15</v>
      </c>
    </row>
    <row r="76" spans="1:7" s="6" customFormat="1" ht="18" customHeight="1">
      <c r="A76" s="30" t="s">
        <v>68</v>
      </c>
      <c r="B76" s="31" t="s">
        <v>69</v>
      </c>
      <c r="C76" s="32">
        <f>SUM(C77:C80)</f>
        <v>908.81399999999996</v>
      </c>
      <c r="D76" s="32">
        <f>SUM(D77:D80)</f>
        <v>738.38620000000003</v>
      </c>
      <c r="E76" s="34">
        <f t="shared" si="3"/>
        <v>81.24722990622945</v>
      </c>
      <c r="F76" s="34">
        <f t="shared" si="4"/>
        <v>-170.42779999999993</v>
      </c>
    </row>
    <row r="77" spans="1:7" hidden="1">
      <c r="A77" s="35" t="s">
        <v>70</v>
      </c>
      <c r="B77" s="51" t="s">
        <v>71</v>
      </c>
      <c r="C77" s="37"/>
      <c r="D77" s="37"/>
      <c r="E77" s="38" t="e">
        <f t="shared" si="3"/>
        <v>#DIV/0!</v>
      </c>
      <c r="F77" s="38">
        <f t="shared" si="4"/>
        <v>0</v>
      </c>
    </row>
    <row r="78" spans="1:7" ht="15.75" hidden="1" customHeight="1">
      <c r="A78" s="35" t="s">
        <v>72</v>
      </c>
      <c r="B78" s="51" t="s">
        <v>73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t="16.5" customHeight="1">
      <c r="A79" s="35" t="s">
        <v>74</v>
      </c>
      <c r="B79" s="39" t="s">
        <v>75</v>
      </c>
      <c r="C79" s="37">
        <v>908.81399999999996</v>
      </c>
      <c r="D79" s="37">
        <v>738.38620000000003</v>
      </c>
      <c r="E79" s="38">
        <f t="shared" si="3"/>
        <v>81.24722990622945</v>
      </c>
      <c r="F79" s="38">
        <f t="shared" si="4"/>
        <v>-170.42779999999993</v>
      </c>
    </row>
    <row r="80" spans="1:7" ht="31.5" hidden="1">
      <c r="A80" s="35" t="s">
        <v>264</v>
      </c>
      <c r="B80" s="39" t="s">
        <v>278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>
      <c r="A81" s="30" t="s">
        <v>86</v>
      </c>
      <c r="B81" s="31" t="s">
        <v>87</v>
      </c>
      <c r="C81" s="32">
        <f>C82</f>
        <v>1530</v>
      </c>
      <c r="D81" s="32">
        <f>SUM(D82)</f>
        <v>742.34100000000001</v>
      </c>
      <c r="E81" s="34">
        <f t="shared" si="3"/>
        <v>48.519019607843141</v>
      </c>
      <c r="F81" s="34">
        <f t="shared" si="4"/>
        <v>-787.65899999999999</v>
      </c>
    </row>
    <row r="82" spans="1:6" ht="16.5" customHeight="1">
      <c r="A82" s="35" t="s">
        <v>88</v>
      </c>
      <c r="B82" s="39" t="s">
        <v>234</v>
      </c>
      <c r="C82" s="37">
        <v>1530</v>
      </c>
      <c r="D82" s="37">
        <v>742.34100000000001</v>
      </c>
      <c r="E82" s="38">
        <f t="shared" si="3"/>
        <v>48.519019607843141</v>
      </c>
      <c r="F82" s="38">
        <f t="shared" si="4"/>
        <v>-787.65899999999999</v>
      </c>
    </row>
    <row r="83" spans="1:6" s="6" customFormat="1" ht="18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0.75" hidden="1" customHeight="1">
      <c r="A84" s="53">
        <v>1001</v>
      </c>
      <c r="B84" s="54" t="s">
        <v>90</v>
      </c>
      <c r="C84" s="37"/>
      <c r="D84" s="32">
        <v>0</v>
      </c>
      <c r="E84" s="38" t="e">
        <f t="shared" si="3"/>
        <v>#DIV/0!</v>
      </c>
      <c r="F84" s="38">
        <f t="shared" si="4"/>
        <v>0</v>
      </c>
    </row>
    <row r="85" spans="1:6" ht="18.75" hidden="1" customHeight="1">
      <c r="A85" s="53">
        <v>1003</v>
      </c>
      <c r="B85" s="54" t="s">
        <v>91</v>
      </c>
      <c r="C85" s="37">
        <v>0</v>
      </c>
      <c r="D85" s="32">
        <v>0</v>
      </c>
      <c r="E85" s="38" t="e">
        <f t="shared" si="3"/>
        <v>#DIV/0!</v>
      </c>
      <c r="F85" s="38">
        <f t="shared" si="4"/>
        <v>0</v>
      </c>
    </row>
    <row r="86" spans="1:6" ht="19.5" hidden="1" customHeight="1">
      <c r="A86" s="53">
        <v>1004</v>
      </c>
      <c r="B86" s="54" t="s">
        <v>92</v>
      </c>
      <c r="C86" s="37">
        <v>0</v>
      </c>
      <c r="D86" s="32">
        <v>0</v>
      </c>
      <c r="E86" s="38" t="e">
        <f t="shared" si="3"/>
        <v>#DIV/0!</v>
      </c>
      <c r="F86" s="38">
        <f t="shared" si="4"/>
        <v>0</v>
      </c>
    </row>
    <row r="87" spans="1:6" ht="18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C89+C90+C91+C92+C93</f>
        <v>2</v>
      </c>
      <c r="D88" s="32">
        <f>D89+D90+D91+D92+D93</f>
        <v>0</v>
      </c>
      <c r="E88" s="38">
        <f t="shared" si="3"/>
        <v>0</v>
      </c>
      <c r="F88" s="22">
        <f>F89+F90+F91+F92+F93</f>
        <v>-2</v>
      </c>
    </row>
    <row r="89" spans="1:6" ht="19.5" customHeight="1">
      <c r="A89" s="35" t="s">
        <v>97</v>
      </c>
      <c r="B89" s="39" t="s">
        <v>98</v>
      </c>
      <c r="C89" s="37">
        <v>2</v>
      </c>
      <c r="D89" s="37">
        <v>0</v>
      </c>
      <c r="E89" s="38">
        <f t="shared" si="3"/>
        <v>0</v>
      </c>
      <c r="F89" s="38">
        <f>SUM(D89-C89)</f>
        <v>-2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3.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0.75" hidden="1" customHeight="1">
      <c r="A94" s="52">
        <v>1400</v>
      </c>
      <c r="B94" s="56" t="s">
        <v>115</v>
      </c>
      <c r="C94" s="48">
        <f>C95+C96+C97</f>
        <v>0</v>
      </c>
      <c r="D94" s="48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57.7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15" hidden="1" customHeight="1">
      <c r="A97" s="53">
        <v>1403</v>
      </c>
      <c r="B97" s="54" t="s">
        <v>118</v>
      </c>
      <c r="C97" s="49">
        <v>0</v>
      </c>
      <c r="D97" s="37">
        <v>0</v>
      </c>
      <c r="E97" s="38" t="e">
        <f t="shared" si="3"/>
        <v>#DIV/0!</v>
      </c>
      <c r="F97" s="38">
        <f t="shared" si="4"/>
        <v>0</v>
      </c>
    </row>
    <row r="98" spans="1:6" s="6" customFormat="1" ht="16.5" customHeight="1">
      <c r="A98" s="52"/>
      <c r="B98" s="57" t="s">
        <v>119</v>
      </c>
      <c r="C98" s="408">
        <f>C56+C64+C66+C71+C76+C81+C83+C88+C94</f>
        <v>6104.6435099999999</v>
      </c>
      <c r="D98" s="408">
        <f>D56+D64+D66+D71+D76+D81+D83+D88+D94</f>
        <v>4252.6700300000002</v>
      </c>
      <c r="E98" s="34">
        <f t="shared" si="3"/>
        <v>69.662872582710406</v>
      </c>
      <c r="F98" s="34">
        <f t="shared" si="4"/>
        <v>-1851.9734799999997</v>
      </c>
    </row>
    <row r="99" spans="1:6" ht="20.25" customHeight="1">
      <c r="C99" s="343"/>
      <c r="D99" s="344"/>
    </row>
    <row r="100" spans="1:6" s="65" customFormat="1" ht="13.5" customHeight="1">
      <c r="A100" s="63" t="s">
        <v>120</v>
      </c>
      <c r="B100" s="63"/>
      <c r="C100" s="64"/>
      <c r="D100" s="64"/>
    </row>
    <row r="101" spans="1:6" s="65" customFormat="1" ht="12.75">
      <c r="A101" s="66" t="s">
        <v>121</v>
      </c>
      <c r="B101" s="66"/>
      <c r="C101" s="134" t="s">
        <v>122</v>
      </c>
      <c r="D101" s="134"/>
    </row>
    <row r="102" spans="1:6" ht="5.25" customHeight="1"/>
    <row r="141" hidden="1"/>
  </sheetData>
  <customSheetViews>
    <customSheetView guid="{8E17DC23-BE06-48DD-840B-6DD85B9E86D1}" scale="70" showPageBreaks="1" hiddenRows="1" view="pageBreakPreview" topLeftCell="A64">
      <selection activeCell="C98" activeCellId="1" sqref="C51:D51 C98:D98"/>
      <pageMargins left="0.70866141732283472" right="0.70866141732283472" top="0.74803149606299213" bottom="0.74803149606299213" header="0.31496062992125984" footer="0.31496062992125984"/>
      <pageSetup paperSize="9" scale="63" orientation="portrait" r:id="rId1"/>
    </customSheetView>
    <customSheetView guid="{5BFCA170-DEAE-4D2C-98A0-1E68B427AC01}" showPageBreaks="1" hiddenRows="1" topLeftCell="A43">
      <selection activeCell="B100" sqref="B100"/>
      <pageMargins left="0.7" right="0.7" top="0.75" bottom="0.75" header="0.3" footer="0.3"/>
      <pageSetup paperSize="9" scale="57" orientation="portrait" r:id="rId2"/>
    </customSheetView>
    <customSheetView guid="{3DCB9AAA-F09C-4EA6-B992-F93E466D374A}" hiddenRows="1" topLeftCell="A43">
      <selection activeCell="B100" sqref="B100"/>
      <pageMargins left="0.7" right="0.7" top="0.75" bottom="0.75" header="0.3" footer="0.3"/>
      <pageSetup paperSize="9" scale="57" orientation="portrait" r:id="rId3"/>
    </customSheetView>
    <customSheetView guid="{1718F1EE-9F48-4DBE-9531-3B70F9C4A5DD}" scale="70" showPageBreaks="1" hiddenRows="1" view="pageBreakPreview" topLeftCell="A45">
      <selection activeCell="C64" sqref="C64"/>
      <pageMargins left="0.7" right="0.7" top="0.75" bottom="0.75" header="0.3" footer="0.3"/>
      <pageSetup paperSize="9" scale="40" orientation="portrait" r:id="rId4"/>
    </customSheetView>
    <customSheetView guid="{42584DC0-1D41-4C93-9B38-C388E7B8DAC4}" scale="70" showPageBreaks="1" hiddenRows="1" view="pageBreakPreview" topLeftCell="A69">
      <selection activeCell="C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hiddenRows="1" view="pageBreakPreview" topLeftCell="A25">
      <selection activeCell="C64" sqref="C64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64">
      <selection activeCell="C98" activeCellId="1" sqref="C51:D51 C98:D98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3" orientation="portrait" r:id="rId8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G142"/>
  <sheetViews>
    <sheetView view="pageBreakPreview" topLeftCell="A37" zoomScale="70" zoomScaleNormal="100" zoomScaleSheetLayoutView="70" workbookViewId="0">
      <selection activeCell="C52" sqref="C52:D52"/>
    </sheetView>
  </sheetViews>
  <sheetFormatPr defaultRowHeight="15.75"/>
  <cols>
    <col min="1" max="1" width="17" style="58" customWidth="1"/>
    <col min="2" max="2" width="57.5703125" style="59" customWidth="1"/>
    <col min="3" max="3" width="16.5703125" style="62" customWidth="1"/>
    <col min="4" max="4" width="16.28515625" style="62" customWidth="1"/>
    <col min="5" max="5" width="13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425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1739</v>
      </c>
      <c r="D4" s="5">
        <f>D5+D12+D14+D17+D7+D20</f>
        <v>1396.02151</v>
      </c>
      <c r="E4" s="5">
        <f>SUM(D4/C4*100)</f>
        <v>80.277257619321446</v>
      </c>
      <c r="F4" s="5">
        <f>SUM(D4-C4)</f>
        <v>-342.97848999999997</v>
      </c>
    </row>
    <row r="5" spans="1:6" s="6" customFormat="1">
      <c r="A5" s="68">
        <v>1010000000</v>
      </c>
      <c r="B5" s="67" t="s">
        <v>6</v>
      </c>
      <c r="C5" s="5">
        <f>C6</f>
        <v>108.1</v>
      </c>
      <c r="D5" s="5">
        <f>D6</f>
        <v>95.675629999999998</v>
      </c>
      <c r="E5" s="5">
        <f t="shared" ref="E5:E51" si="0">SUM(D5/C5*100)</f>
        <v>88.506595744680851</v>
      </c>
      <c r="F5" s="5">
        <f t="shared" ref="F5:F51" si="1">SUM(D5-C5)</f>
        <v>-12.424369999999996</v>
      </c>
    </row>
    <row r="6" spans="1:6">
      <c r="A6" s="7">
        <v>1010200001</v>
      </c>
      <c r="B6" s="8" t="s">
        <v>229</v>
      </c>
      <c r="C6" s="9">
        <v>108.1</v>
      </c>
      <c r="D6" s="10">
        <v>95.675629999999998</v>
      </c>
      <c r="E6" s="9">
        <f t="shared" ref="E6:E11" si="2">SUM(D6/C6*100)</f>
        <v>88.506595744680851</v>
      </c>
      <c r="F6" s="9">
        <f t="shared" si="1"/>
        <v>-12.424369999999996</v>
      </c>
    </row>
    <row r="7" spans="1:6" ht="31.5">
      <c r="A7" s="3">
        <v>1030000000</v>
      </c>
      <c r="B7" s="13" t="s">
        <v>281</v>
      </c>
      <c r="C7" s="5">
        <f>C8+C10+C9</f>
        <v>520.9</v>
      </c>
      <c r="D7" s="5">
        <f>D8+D10+D9+D11</f>
        <v>455.24338999999998</v>
      </c>
      <c r="E7" s="9">
        <f t="shared" si="2"/>
        <v>87.395544250335959</v>
      </c>
      <c r="F7" s="9">
        <f t="shared" si="1"/>
        <v>-65.656610000000001</v>
      </c>
    </row>
    <row r="8" spans="1:6">
      <c r="A8" s="7">
        <v>1030223001</v>
      </c>
      <c r="B8" s="8" t="s">
        <v>283</v>
      </c>
      <c r="C8" s="9">
        <v>194.3</v>
      </c>
      <c r="D8" s="10">
        <v>200.79813999999999</v>
      </c>
      <c r="E8" s="9">
        <f t="shared" si="2"/>
        <v>103.34438497169324</v>
      </c>
      <c r="F8" s="9">
        <f t="shared" si="1"/>
        <v>6.498139999999978</v>
      </c>
    </row>
    <row r="9" spans="1:6">
      <c r="A9" s="7">
        <v>1030224001</v>
      </c>
      <c r="B9" s="8" t="s">
        <v>289</v>
      </c>
      <c r="C9" s="9">
        <v>2.1</v>
      </c>
      <c r="D9" s="10">
        <v>1.86303</v>
      </c>
      <c r="E9" s="9">
        <f t="shared" si="2"/>
        <v>88.71571428571427</v>
      </c>
      <c r="F9" s="9">
        <f t="shared" si="1"/>
        <v>-0.23697000000000012</v>
      </c>
    </row>
    <row r="10" spans="1:6">
      <c r="A10" s="7">
        <v>1030225001</v>
      </c>
      <c r="B10" s="8" t="s">
        <v>282</v>
      </c>
      <c r="C10" s="9">
        <v>324.5</v>
      </c>
      <c r="D10" s="10">
        <v>297.93876999999998</v>
      </c>
      <c r="E10" s="9">
        <f t="shared" si="2"/>
        <v>91.814721109399073</v>
      </c>
      <c r="F10" s="9">
        <f t="shared" si="1"/>
        <v>-26.561230000000023</v>
      </c>
    </row>
    <row r="11" spans="1:6">
      <c r="A11" s="7">
        <v>1030226001</v>
      </c>
      <c r="B11" s="8" t="s">
        <v>291</v>
      </c>
      <c r="C11" s="9">
        <v>0</v>
      </c>
      <c r="D11" s="10">
        <v>-45.356549999999999</v>
      </c>
      <c r="E11" s="9" t="e">
        <f t="shared" si="2"/>
        <v>#DIV/0!</v>
      </c>
      <c r="F11" s="9">
        <f t="shared" si="1"/>
        <v>-45.356549999999999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D13</f>
        <v>43.00244</v>
      </c>
      <c r="E12" s="5">
        <f t="shared" si="0"/>
        <v>107.5061</v>
      </c>
      <c r="F12" s="5">
        <f t="shared" si="1"/>
        <v>3.00244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43.00244</v>
      </c>
      <c r="E13" s="9">
        <f t="shared" si="0"/>
        <v>107.5061</v>
      </c>
      <c r="F13" s="9">
        <f t="shared" si="1"/>
        <v>3.00244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1060</v>
      </c>
      <c r="D14" s="5">
        <f>D15+D16</f>
        <v>799.32505000000003</v>
      </c>
      <c r="E14" s="5">
        <f t="shared" si="0"/>
        <v>75.408023584905663</v>
      </c>
      <c r="F14" s="5">
        <f t="shared" si="1"/>
        <v>-260.67494999999997</v>
      </c>
    </row>
    <row r="15" spans="1:6" s="6" customFormat="1" ht="15.75" customHeight="1">
      <c r="A15" s="7">
        <v>1060100000</v>
      </c>
      <c r="B15" s="11" t="s">
        <v>9</v>
      </c>
      <c r="C15" s="9">
        <v>130</v>
      </c>
      <c r="D15" s="10">
        <v>87.497780000000006</v>
      </c>
      <c r="E15" s="9">
        <f t="shared" si="0"/>
        <v>67.305984615384617</v>
      </c>
      <c r="F15" s="9">
        <f>SUM(D15-C15)</f>
        <v>-42.502219999999994</v>
      </c>
    </row>
    <row r="16" spans="1:6" ht="15.75" customHeight="1">
      <c r="A16" s="7">
        <v>1060600000</v>
      </c>
      <c r="B16" s="11" t="s">
        <v>8</v>
      </c>
      <c r="C16" s="9">
        <v>930</v>
      </c>
      <c r="D16" s="10">
        <v>711.82727</v>
      </c>
      <c r="E16" s="9">
        <f t="shared" si="0"/>
        <v>76.540566666666663</v>
      </c>
      <c r="F16" s="9">
        <f t="shared" si="1"/>
        <v>-218.17273</v>
      </c>
    </row>
    <row r="17" spans="1:6" s="6" customFormat="1">
      <c r="A17" s="3">
        <v>1080000000</v>
      </c>
      <c r="B17" s="4" t="s">
        <v>11</v>
      </c>
      <c r="C17" s="5">
        <f>C18+C19</f>
        <v>10</v>
      </c>
      <c r="D17" s="5">
        <f>D18+D19</f>
        <v>2.7749999999999999</v>
      </c>
      <c r="E17" s="5">
        <f t="shared" si="0"/>
        <v>27.749999999999996</v>
      </c>
      <c r="F17" s="5">
        <f t="shared" si="1"/>
        <v>-7.2249999999999996</v>
      </c>
    </row>
    <row r="18" spans="1:6" ht="18" customHeight="1">
      <c r="A18" s="7">
        <v>1080400001</v>
      </c>
      <c r="B18" s="8" t="s">
        <v>228</v>
      </c>
      <c r="C18" s="9">
        <v>10</v>
      </c>
      <c r="D18" s="10">
        <v>2.7749999999999999</v>
      </c>
      <c r="E18" s="9">
        <f t="shared" si="0"/>
        <v>27.749999999999996</v>
      </c>
      <c r="F18" s="9">
        <f t="shared" si="1"/>
        <v>-7.2249999999999996</v>
      </c>
    </row>
    <row r="19" spans="1:6" ht="36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2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4.7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8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28.5" hidden="1" customHeight="1">
      <c r="A24" s="3">
        <v>1090700000</v>
      </c>
      <c r="B24" s="13" t="s">
        <v>128</v>
      </c>
      <c r="C24" s="5">
        <v>0</v>
      </c>
      <c r="D24" s="14">
        <v>0</v>
      </c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C26+C29+C31+C36</f>
        <v>166</v>
      </c>
      <c r="D25" s="5">
        <f>D26+D29+D31+D36+D34</f>
        <v>-61.30086</v>
      </c>
      <c r="E25" s="5">
        <f t="shared" si="0"/>
        <v>-36.92822891566265</v>
      </c>
      <c r="F25" s="5">
        <f t="shared" si="1"/>
        <v>-227.30086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166</v>
      </c>
      <c r="D26" s="5">
        <f>D27+D28</f>
        <v>30.6448</v>
      </c>
      <c r="E26" s="5">
        <f t="shared" si="0"/>
        <v>18.460722891566263</v>
      </c>
      <c r="F26" s="5">
        <f t="shared" si="1"/>
        <v>-135.3552</v>
      </c>
    </row>
    <row r="27" spans="1:6">
      <c r="A27" s="16">
        <v>1110502510</v>
      </c>
      <c r="B27" s="17" t="s">
        <v>226</v>
      </c>
      <c r="C27" s="12">
        <v>160</v>
      </c>
      <c r="D27" s="10">
        <v>25</v>
      </c>
      <c r="E27" s="9">
        <f t="shared" si="0"/>
        <v>15.625</v>
      </c>
      <c r="F27" s="9">
        <f t="shared" si="1"/>
        <v>-135</v>
      </c>
    </row>
    <row r="28" spans="1:6" ht="18" customHeight="1">
      <c r="A28" s="7">
        <v>1110503510</v>
      </c>
      <c r="B28" s="11" t="s">
        <v>225</v>
      </c>
      <c r="C28" s="12">
        <v>6</v>
      </c>
      <c r="D28" s="10">
        <v>5.6448</v>
      </c>
      <c r="E28" s="9">
        <f t="shared" si="0"/>
        <v>94.08</v>
      </c>
      <c r="F28" s="9">
        <f t="shared" si="1"/>
        <v>-0.35519999999999996</v>
      </c>
    </row>
    <row r="29" spans="1:6" s="15" customFormat="1" ht="29.25">
      <c r="A29" s="68">
        <v>1130000000</v>
      </c>
      <c r="B29" s="69" t="s">
        <v>131</v>
      </c>
      <c r="C29" s="5">
        <f>C30</f>
        <v>0</v>
      </c>
      <c r="D29" s="5">
        <f>D30</f>
        <v>3.0543399999999998</v>
      </c>
      <c r="E29" s="5" t="e">
        <f t="shared" si="0"/>
        <v>#DIV/0!</v>
      </c>
      <c r="F29" s="5">
        <f t="shared" si="1"/>
        <v>3.0543399999999998</v>
      </c>
    </row>
    <row r="30" spans="1:6" ht="17.25" customHeight="1">
      <c r="A30" s="7">
        <v>1130206005</v>
      </c>
      <c r="B30" s="8" t="s">
        <v>224</v>
      </c>
      <c r="C30" s="9">
        <v>0</v>
      </c>
      <c r="D30" s="10">
        <v>3.0543399999999998</v>
      </c>
      <c r="E30" s="9" t="e">
        <f t="shared" si="0"/>
        <v>#DIV/0!</v>
      </c>
      <c r="F30" s="9">
        <f t="shared" si="1"/>
        <v>3.0543399999999998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>SUM(D33/C33*100)</f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v>0</v>
      </c>
      <c r="D34" s="5">
        <v>0</v>
      </c>
      <c r="E34" s="9" t="e">
        <f>SUM(D34/C34*100)</f>
        <v>#DIV/0!</v>
      </c>
      <c r="F34" s="9">
        <f>SUM(D34-C34)</f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>SUM(D35/C35*100)</f>
        <v>#DIV/0!</v>
      </c>
      <c r="F35" s="9">
        <f>SUM(D35-C35)</f>
        <v>0</v>
      </c>
    </row>
    <row r="36" spans="1:7" ht="17.25" customHeight="1">
      <c r="A36" s="3">
        <v>1170000000</v>
      </c>
      <c r="B36" s="13" t="s">
        <v>135</v>
      </c>
      <c r="C36" s="5">
        <f>C37+C38</f>
        <v>0</v>
      </c>
      <c r="D36" s="5">
        <f>D37+D38</f>
        <v>-95</v>
      </c>
      <c r="E36" s="5" t="e">
        <f t="shared" si="0"/>
        <v>#DIV/0!</v>
      </c>
      <c r="F36" s="5">
        <f t="shared" si="1"/>
        <v>-95</v>
      </c>
    </row>
    <row r="37" spans="1:7" ht="17.25" customHeight="1">
      <c r="A37" s="7">
        <v>1170105005</v>
      </c>
      <c r="B37" s="8" t="s">
        <v>18</v>
      </c>
      <c r="C37" s="9">
        <f>C38</f>
        <v>0</v>
      </c>
      <c r="D37" s="9">
        <v>-95</v>
      </c>
      <c r="E37" s="9" t="e">
        <f t="shared" si="0"/>
        <v>#DIV/0!</v>
      </c>
      <c r="F37" s="9">
        <f t="shared" si="1"/>
        <v>-95</v>
      </c>
    </row>
    <row r="38" spans="1:7" ht="19.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1905</v>
      </c>
      <c r="D39" s="127">
        <f>SUM(D4,D25)</f>
        <v>1334.72065</v>
      </c>
      <c r="E39" s="5">
        <f t="shared" si="0"/>
        <v>70.064076115485562</v>
      </c>
      <c r="F39" s="5">
        <f t="shared" si="1"/>
        <v>-570.27935000000002</v>
      </c>
    </row>
    <row r="40" spans="1:7" s="6" customFormat="1">
      <c r="A40" s="3">
        <v>2000000000</v>
      </c>
      <c r="B40" s="4" t="s">
        <v>20</v>
      </c>
      <c r="C40" s="93">
        <f>C41+C42+C43+C44+C48+C49</f>
        <v>4527.7546599999996</v>
      </c>
      <c r="D40" s="93">
        <f>D41+D42+D43+D44+D48+D49+D50</f>
        <v>3004.01017</v>
      </c>
      <c r="E40" s="5">
        <f t="shared" si="0"/>
        <v>66.34657563358347</v>
      </c>
      <c r="F40" s="5">
        <f t="shared" si="1"/>
        <v>-1523.7444899999996</v>
      </c>
      <c r="G40" s="19"/>
    </row>
    <row r="41" spans="1:7">
      <c r="A41" s="16">
        <v>2021000000</v>
      </c>
      <c r="B41" s="17" t="s">
        <v>21</v>
      </c>
      <c r="C41" s="12">
        <v>2768.8539999999998</v>
      </c>
      <c r="D41" s="20">
        <v>2376.1039999999998</v>
      </c>
      <c r="E41" s="9">
        <f t="shared" si="0"/>
        <v>85.815431221725675</v>
      </c>
      <c r="F41" s="9">
        <f t="shared" si="1"/>
        <v>-392.75</v>
      </c>
    </row>
    <row r="42" spans="1:7" ht="17.25" customHeight="1">
      <c r="A42" s="16">
        <v>2021500200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>
      <c r="A43" s="16">
        <v>2022000000</v>
      </c>
      <c r="B43" s="17" t="s">
        <v>22</v>
      </c>
      <c r="C43" s="12">
        <v>1314.29766</v>
      </c>
      <c r="D43" s="10">
        <v>268.69499999999999</v>
      </c>
      <c r="E43" s="9">
        <f t="shared" si="0"/>
        <v>20.443998964435501</v>
      </c>
      <c r="F43" s="9">
        <f t="shared" si="1"/>
        <v>-1045.60266</v>
      </c>
    </row>
    <row r="44" spans="1:7" ht="18" customHeight="1">
      <c r="A44" s="16">
        <v>2023000000</v>
      </c>
      <c r="B44" s="17" t="s">
        <v>23</v>
      </c>
      <c r="C44" s="12">
        <v>157.59899999999999</v>
      </c>
      <c r="D44" s="251">
        <v>151.91810000000001</v>
      </c>
      <c r="E44" s="9">
        <f t="shared" si="0"/>
        <v>96.395345148129124</v>
      </c>
      <c r="F44" s="9">
        <f t="shared" si="1"/>
        <v>-5.6808999999999799</v>
      </c>
    </row>
    <row r="45" spans="1:7" ht="0.75" hidden="1" customHeight="1">
      <c r="A45" s="16">
        <v>2020400000</v>
      </c>
      <c r="B45" s="17" t="s">
        <v>24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8" hidden="1" customHeight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4"/>
      <c r="D47" s="14"/>
      <c r="E47" s="5"/>
      <c r="F47" s="5">
        <f>SUM(D47-C47)</f>
        <v>0</v>
      </c>
    </row>
    <row r="48" spans="1:7" s="6" customFormat="1" ht="18.75" hidden="1" customHeight="1">
      <c r="A48" s="7">
        <v>2020400000</v>
      </c>
      <c r="B48" s="8" t="s">
        <v>24</v>
      </c>
      <c r="C48" s="12">
        <v>0</v>
      </c>
      <c r="D48" s="10">
        <v>0</v>
      </c>
      <c r="E48" s="9" t="e">
        <f t="shared" si="0"/>
        <v>#DIV/0!</v>
      </c>
      <c r="F48" s="9">
        <f t="shared" si="1"/>
        <v>0</v>
      </c>
    </row>
    <row r="49" spans="1:7" s="6" customFormat="1" ht="18.75" customHeight="1">
      <c r="A49" s="7">
        <v>2070500010</v>
      </c>
      <c r="B49" s="8" t="s">
        <v>355</v>
      </c>
      <c r="C49" s="12">
        <v>287.00400000000002</v>
      </c>
      <c r="D49" s="10">
        <v>287.00457</v>
      </c>
      <c r="E49" s="9">
        <f>SUM(D49/C49*100)</f>
        <v>100.00019860350378</v>
      </c>
      <c r="F49" s="9">
        <f>SUM(D49-C49)</f>
        <v>5.6999999998197382E-4</v>
      </c>
    </row>
    <row r="50" spans="1:7" s="6" customFormat="1" ht="18.75" customHeight="1">
      <c r="A50" s="7">
        <v>2190500005</v>
      </c>
      <c r="B50" s="11" t="s">
        <v>26</v>
      </c>
      <c r="C50" s="12">
        <v>0</v>
      </c>
      <c r="D50" s="10">
        <v>-79.711500000000001</v>
      </c>
      <c r="E50" s="9"/>
      <c r="F50" s="9"/>
    </row>
    <row r="51" spans="1:7" s="6" customFormat="1" ht="19.5" customHeight="1">
      <c r="A51" s="3"/>
      <c r="B51" s="4" t="s">
        <v>28</v>
      </c>
      <c r="C51" s="93">
        <f>C39+C40</f>
        <v>6432.7546599999996</v>
      </c>
      <c r="D51" s="93">
        <f>SUM(D39,D40,)</f>
        <v>4338.7308199999998</v>
      </c>
      <c r="E51" s="5">
        <f t="shared" si="0"/>
        <v>67.447478558120537</v>
      </c>
      <c r="F51" s="5">
        <f t="shared" si="1"/>
        <v>-2094.0238399999998</v>
      </c>
      <c r="G51" s="293"/>
    </row>
    <row r="52" spans="1:7" s="6" customFormat="1">
      <c r="A52" s="3"/>
      <c r="B52" s="21" t="s">
        <v>321</v>
      </c>
      <c r="C52" s="93">
        <f>C51-C97</f>
        <v>-449.50601999999981</v>
      </c>
      <c r="D52" s="93">
        <f>D51-D97</f>
        <v>301.1235099999999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60" customHeight="1">
      <c r="A54" s="28" t="s">
        <v>1</v>
      </c>
      <c r="B54" s="28" t="s">
        <v>29</v>
      </c>
      <c r="C54" s="243" t="s">
        <v>346</v>
      </c>
      <c r="D54" s="244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32">
        <f>C57+C58+C59+C60+C61+C63+C62</f>
        <v>1470.8029999999999</v>
      </c>
      <c r="D56" s="32">
        <f>D57+D58+D59+D60+D61+D63+D62</f>
        <v>1076.3682699999999</v>
      </c>
      <c r="E56" s="34">
        <f>SUM(D56/C56*100)</f>
        <v>73.18235480890371</v>
      </c>
      <c r="F56" s="34">
        <f>SUM(D56-C56)</f>
        <v>-394.43472999999994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1410.7539999999999</v>
      </c>
      <c r="D58" s="37">
        <v>1036.32927</v>
      </c>
      <c r="E58" s="38">
        <f t="shared" ref="E58:E97" si="3">SUM(D58/C58*100)</f>
        <v>73.459247324480387</v>
      </c>
      <c r="F58" s="38">
        <f t="shared" ref="F58:F97" si="4">SUM(D58-C58)</f>
        <v>-374.42472999999995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19.635999999999999</v>
      </c>
      <c r="D61" s="37">
        <v>19.635999999999999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20.010000000000002</v>
      </c>
      <c r="D62" s="40">
        <v>0</v>
      </c>
      <c r="E62" s="38">
        <f t="shared" si="3"/>
        <v>0</v>
      </c>
      <c r="F62" s="38">
        <f t="shared" si="4"/>
        <v>-20.010000000000002</v>
      </c>
    </row>
    <row r="63" spans="1:7" ht="18.75" customHeight="1">
      <c r="A63" s="35" t="s">
        <v>44</v>
      </c>
      <c r="B63" s="39" t="s">
        <v>45</v>
      </c>
      <c r="C63" s="37">
        <v>20.402999999999999</v>
      </c>
      <c r="D63" s="37">
        <v>20.402999999999999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124.28307</v>
      </c>
      <c r="E64" s="34">
        <f t="shared" si="3"/>
        <v>82.37158422863051</v>
      </c>
      <c r="F64" s="34">
        <f t="shared" si="4"/>
        <v>-26.597930000000005</v>
      </c>
    </row>
    <row r="65" spans="1:7">
      <c r="A65" s="43" t="s">
        <v>48</v>
      </c>
      <c r="B65" s="44" t="s">
        <v>49</v>
      </c>
      <c r="C65" s="37">
        <v>150.881</v>
      </c>
      <c r="D65" s="37">
        <v>124.28307</v>
      </c>
      <c r="E65" s="38">
        <f t="shared" si="3"/>
        <v>82.37158422863051</v>
      </c>
      <c r="F65" s="38">
        <f t="shared" si="4"/>
        <v>-26.597930000000005</v>
      </c>
    </row>
    <row r="66" spans="1:7" s="6" customFormat="1" ht="18" customHeight="1">
      <c r="A66" s="30" t="s">
        <v>50</v>
      </c>
      <c r="B66" s="31" t="s">
        <v>51</v>
      </c>
      <c r="C66" s="32">
        <f>C69+C70</f>
        <v>1.46</v>
      </c>
      <c r="D66" s="32">
        <f>D69+D70</f>
        <v>0</v>
      </c>
      <c r="E66" s="34">
        <f t="shared" si="3"/>
        <v>0</v>
      </c>
      <c r="F66" s="34">
        <f t="shared" si="4"/>
        <v>-1.46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0</v>
      </c>
      <c r="D69" s="37">
        <v>0</v>
      </c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1.46</v>
      </c>
      <c r="D70" s="37">
        <v>0</v>
      </c>
      <c r="E70" s="34">
        <f t="shared" si="3"/>
        <v>0</v>
      </c>
      <c r="F70" s="34">
        <f t="shared" si="4"/>
        <v>-1.46</v>
      </c>
    </row>
    <row r="71" spans="1:7" s="6" customFormat="1" ht="16.5" customHeight="1">
      <c r="A71" s="30" t="s">
        <v>58</v>
      </c>
      <c r="B71" s="31" t="s">
        <v>59</v>
      </c>
      <c r="C71" s="48">
        <f>C72+C73+C74+C75</f>
        <v>2309.8342600000001</v>
      </c>
      <c r="D71" s="48">
        <f>SUM(D72:D75)</f>
        <v>529.96861999999999</v>
      </c>
      <c r="E71" s="34">
        <f t="shared" si="3"/>
        <v>22.944010710101772</v>
      </c>
      <c r="F71" s="34">
        <f t="shared" si="4"/>
        <v>-1779.86564</v>
      </c>
    </row>
    <row r="72" spans="1:7" ht="15" customHeight="1">
      <c r="A72" s="35" t="s">
        <v>60</v>
      </c>
      <c r="B72" s="39" t="s">
        <v>61</v>
      </c>
      <c r="C72" s="49">
        <v>16.25</v>
      </c>
      <c r="D72" s="37">
        <v>3.75</v>
      </c>
      <c r="E72" s="38">
        <f t="shared" si="3"/>
        <v>23.076923076923077</v>
      </c>
      <c r="F72" s="38">
        <f t="shared" si="4"/>
        <v>-12.5</v>
      </c>
    </row>
    <row r="73" spans="1:7" s="6" customFormat="1" ht="15" customHeight="1">
      <c r="A73" s="35" t="s">
        <v>62</v>
      </c>
      <c r="B73" s="39" t="s">
        <v>63</v>
      </c>
      <c r="C73" s="49">
        <v>151.84793999999999</v>
      </c>
      <c r="D73" s="37">
        <v>38.847940000000001</v>
      </c>
      <c r="E73" s="38">
        <f t="shared" si="3"/>
        <v>25.583448810698389</v>
      </c>
      <c r="F73" s="38">
        <f t="shared" si="4"/>
        <v>-113</v>
      </c>
      <c r="G73" s="50"/>
    </row>
    <row r="74" spans="1:7">
      <c r="A74" s="35" t="s">
        <v>64</v>
      </c>
      <c r="B74" s="39" t="s">
        <v>65</v>
      </c>
      <c r="C74" s="49">
        <v>1903.63768</v>
      </c>
      <c r="D74" s="37">
        <v>446.52668</v>
      </c>
      <c r="E74" s="38">
        <f t="shared" si="3"/>
        <v>23.456495145651875</v>
      </c>
      <c r="F74" s="38">
        <f t="shared" si="4"/>
        <v>-1457.1110000000001</v>
      </c>
    </row>
    <row r="75" spans="1:7">
      <c r="A75" s="35" t="s">
        <v>66</v>
      </c>
      <c r="B75" s="39" t="s">
        <v>67</v>
      </c>
      <c r="C75" s="49">
        <v>238.09863999999999</v>
      </c>
      <c r="D75" s="37">
        <v>40.844000000000001</v>
      </c>
      <c r="E75" s="38">
        <f t="shared" si="3"/>
        <v>17.154234900291744</v>
      </c>
      <c r="F75" s="38">
        <f t="shared" si="4"/>
        <v>-197.25463999999999</v>
      </c>
    </row>
    <row r="76" spans="1:7" s="6" customFormat="1" ht="18" customHeight="1">
      <c r="A76" s="30" t="s">
        <v>68</v>
      </c>
      <c r="B76" s="31" t="s">
        <v>69</v>
      </c>
      <c r="C76" s="32">
        <f>SUM(C77:C79)</f>
        <v>812.43241999999998</v>
      </c>
      <c r="D76" s="32">
        <f>SUM(D77:D79)</f>
        <v>592.73442999999997</v>
      </c>
      <c r="E76" s="34">
        <f t="shared" si="3"/>
        <v>72.957998155711209</v>
      </c>
      <c r="F76" s="34">
        <f t="shared" si="4"/>
        <v>-219.69799</v>
      </c>
    </row>
    <row r="77" spans="1:7" ht="14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4" t="e">
        <f t="shared" si="3"/>
        <v>#DIV/0!</v>
      </c>
      <c r="F77" s="34">
        <f t="shared" si="4"/>
        <v>0</v>
      </c>
    </row>
    <row r="78" spans="1:7" ht="18.75" hidden="1" customHeight="1">
      <c r="A78" s="35" t="s">
        <v>72</v>
      </c>
      <c r="B78" s="51" t="s">
        <v>73</v>
      </c>
      <c r="C78" s="37">
        <v>0</v>
      </c>
      <c r="D78" s="37">
        <v>0</v>
      </c>
      <c r="E78" s="34" t="e">
        <f t="shared" si="3"/>
        <v>#DIV/0!</v>
      </c>
      <c r="F78" s="34">
        <f t="shared" si="4"/>
        <v>0</v>
      </c>
    </row>
    <row r="79" spans="1:7">
      <c r="A79" s="35" t="s">
        <v>74</v>
      </c>
      <c r="B79" s="39" t="s">
        <v>75</v>
      </c>
      <c r="C79" s="37">
        <v>812.43241999999998</v>
      </c>
      <c r="D79" s="37">
        <v>592.73442999999997</v>
      </c>
      <c r="E79" s="38">
        <f t="shared" si="3"/>
        <v>72.957998155711209</v>
      </c>
      <c r="F79" s="38">
        <f t="shared" si="4"/>
        <v>-219.69799</v>
      </c>
    </row>
    <row r="80" spans="1:7" s="6" customFormat="1">
      <c r="A80" s="30" t="s">
        <v>86</v>
      </c>
      <c r="B80" s="31" t="s">
        <v>87</v>
      </c>
      <c r="C80" s="32">
        <f>C81</f>
        <v>2099.85</v>
      </c>
      <c r="D80" s="32">
        <f>D81</f>
        <v>1687.9379200000001</v>
      </c>
      <c r="E80" s="34">
        <f>SUM(D80/C80*100)</f>
        <v>80.383737886039484</v>
      </c>
      <c r="F80" s="34">
        <f t="shared" si="4"/>
        <v>-411.91207999999983</v>
      </c>
    </row>
    <row r="81" spans="1:6" ht="15.75" customHeight="1">
      <c r="A81" s="35" t="s">
        <v>88</v>
      </c>
      <c r="B81" s="39" t="s">
        <v>234</v>
      </c>
      <c r="C81" s="37">
        <f>2099.85</f>
        <v>2099.85</v>
      </c>
      <c r="D81" s="37">
        <v>1687.9379200000001</v>
      </c>
      <c r="E81" s="38">
        <f>SUM(D81/C81*100)</f>
        <v>80.383737886039484</v>
      </c>
      <c r="F81" s="38">
        <f t="shared" si="4"/>
        <v>-411.91207999999983</v>
      </c>
    </row>
    <row r="82" spans="1:6" s="6" customFormat="1" ht="1.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7.25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5.7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17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37</v>
      </c>
      <c r="D87" s="32">
        <f>D88+D89+D90+D91+D92</f>
        <v>26.315000000000001</v>
      </c>
      <c r="E87" s="38">
        <f t="shared" si="3"/>
        <v>71.121621621621628</v>
      </c>
      <c r="F87" s="22">
        <f>F88+F89+F90+F91+F92</f>
        <v>-10.684999999999999</v>
      </c>
    </row>
    <row r="88" spans="1:6" ht="18.75" customHeight="1">
      <c r="A88" s="35" t="s">
        <v>97</v>
      </c>
      <c r="B88" s="39" t="s">
        <v>98</v>
      </c>
      <c r="C88" s="37">
        <v>37</v>
      </c>
      <c r="D88" s="37">
        <v>26.315000000000001</v>
      </c>
      <c r="E88" s="38">
        <f t="shared" si="3"/>
        <v>71.121621621621628</v>
      </c>
      <c r="F88" s="38">
        <f>SUM(D88-C88)</f>
        <v>-10.684999999999999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/>
      <c r="E90" s="38" t="e">
        <f t="shared" si="3"/>
        <v>#DIV/0!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6.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0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9.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387">
        <f>C56+C64+C66+C71+C76+C80+C82+C87+C93</f>
        <v>6882.2606799999994</v>
      </c>
      <c r="D97" s="387">
        <f>D56+D64+D66+D71+D76+D80+D82+D87+D93</f>
        <v>4037.6073099999999</v>
      </c>
      <c r="E97" s="34">
        <f t="shared" si="3"/>
        <v>58.666875576703667</v>
      </c>
      <c r="F97" s="34">
        <f t="shared" si="4"/>
        <v>-2844.6533699999995</v>
      </c>
      <c r="G97" s="293"/>
    </row>
    <row r="98" spans="1:7" ht="0.75" customHeight="1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2" spans="1:7" ht="5.25" customHeight="1"/>
    <row r="142" hidden="1"/>
  </sheetData>
  <customSheetViews>
    <customSheetView guid="{8E17DC23-BE06-48DD-840B-6DD85B9E86D1}" scale="70" showPageBreaks="1" hiddenRows="1" view="pageBreakPreview" topLeftCell="A37">
      <selection activeCell="C52" sqref="C52:D52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5BFCA170-DEAE-4D2C-98A0-1E68B427AC01}" showPageBreaks="1" hiddenRows="1" topLeftCell="A38">
      <selection activeCell="B100" sqref="B100"/>
      <pageMargins left="0.7" right="0.7" top="0.75" bottom="0.75" header="0.3" footer="0.3"/>
      <pageSetup paperSize="9" scale="49" orientation="portrait" r:id="rId2"/>
    </customSheetView>
    <customSheetView guid="{3DCB9AAA-F09C-4EA6-B992-F93E466D374A}" hiddenRows="1" topLeftCell="A38">
      <selection activeCell="B100" sqref="B100"/>
      <pageMargins left="0.7" right="0.7" top="0.75" bottom="0.75" header="0.3" footer="0.3"/>
      <pageSetup paperSize="9" scale="49" orientation="portrait" r:id="rId3"/>
    </customSheetView>
    <customSheetView guid="{1718F1EE-9F48-4DBE-9531-3B70F9C4A5DD}" scale="70" showPageBreaks="1" hiddenRows="1" view="pageBreakPreview" topLeftCell="A44">
      <selection activeCell="D87" sqref="D87"/>
      <pageMargins left="0.7" right="0.7" top="0.75" bottom="0.75" header="0.3" footer="0.3"/>
      <pageSetup paperSize="9" scale="40" orientation="portrait" r:id="rId4"/>
    </customSheetView>
    <customSheetView guid="{42584DC0-1D41-4C93-9B38-C388E7B8DAC4}" scale="70" showPageBreaks="1" hiddenRows="1" view="pageBreakPreview" topLeftCell="C58">
      <selection activeCell="G98" sqref="G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hiddenRows="1" view="pageBreakPreview" topLeftCell="A36">
      <selection activeCell="D62" sqref="D6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37">
      <selection activeCell="C52" sqref="C52:D52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8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H142"/>
  <sheetViews>
    <sheetView view="pageBreakPreview" topLeftCell="A15" zoomScale="70" zoomScaleNormal="100" zoomScaleSheetLayoutView="70" workbookViewId="0">
      <selection activeCell="C51" activeCellId="1" sqref="C98:D98 C51:D51"/>
    </sheetView>
  </sheetViews>
  <sheetFormatPr defaultRowHeight="15.75"/>
  <cols>
    <col min="1" max="1" width="14.7109375" style="58" customWidth="1"/>
    <col min="2" max="2" width="57.5703125" style="59" customWidth="1"/>
    <col min="3" max="3" width="17.28515625" style="62" customWidth="1"/>
    <col min="4" max="4" width="16.5703125" style="62" customWidth="1"/>
    <col min="5" max="5" width="10.28515625" style="62" customWidth="1"/>
    <col min="6" max="6" width="12.140625" style="62" customWidth="1"/>
    <col min="7" max="7" width="15.42578125" style="1" bestFit="1" customWidth="1"/>
    <col min="8" max="8" width="12" style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9" t="s">
        <v>426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1483.5</v>
      </c>
      <c r="D4" s="5">
        <f>D5+D12+D14+D17+D20+D7</f>
        <v>1129.7209499999999</v>
      </c>
      <c r="E4" s="5">
        <f>SUM(D4/C4*100)</f>
        <v>76.152406471183014</v>
      </c>
      <c r="F4" s="5">
        <f>SUM(D4-C4)</f>
        <v>-353.7790500000001</v>
      </c>
    </row>
    <row r="5" spans="1:6" s="6" customFormat="1">
      <c r="A5" s="68">
        <v>1010000000</v>
      </c>
      <c r="B5" s="67" t="s">
        <v>6</v>
      </c>
      <c r="C5" s="5">
        <f>C6</f>
        <v>104.8</v>
      </c>
      <c r="D5" s="5">
        <f>D6</f>
        <v>83.805269999999993</v>
      </c>
      <c r="E5" s="5">
        <f t="shared" ref="E5:E51" si="0">SUM(D5/C5*100)</f>
        <v>79.966860687022901</v>
      </c>
      <c r="F5" s="5">
        <f t="shared" ref="F5:F51" si="1">SUM(D5-C5)</f>
        <v>-20.994730000000004</v>
      </c>
    </row>
    <row r="6" spans="1:6">
      <c r="A6" s="7">
        <v>1010200001</v>
      </c>
      <c r="B6" s="8" t="s">
        <v>229</v>
      </c>
      <c r="C6" s="9">
        <v>104.8</v>
      </c>
      <c r="D6" s="10">
        <v>83.805269999999993</v>
      </c>
      <c r="E6" s="9">
        <f t="shared" ref="E6:E11" si="2">SUM(D6/C6*100)</f>
        <v>79.966860687022901</v>
      </c>
      <c r="F6" s="9">
        <f t="shared" si="1"/>
        <v>-20.994730000000004</v>
      </c>
    </row>
    <row r="7" spans="1:6" ht="31.5">
      <c r="A7" s="3">
        <v>1030000000</v>
      </c>
      <c r="B7" s="13" t="s">
        <v>281</v>
      </c>
      <c r="C7" s="5">
        <f>C8+C10+C9</f>
        <v>723.69999999999993</v>
      </c>
      <c r="D7" s="5">
        <f>D8+D10+D9+D11</f>
        <v>632.48978999999997</v>
      </c>
      <c r="E7" s="5">
        <f t="shared" si="2"/>
        <v>87.396682326931057</v>
      </c>
      <c r="F7" s="5">
        <f t="shared" si="1"/>
        <v>-91.210209999999961</v>
      </c>
    </row>
    <row r="8" spans="1:6">
      <c r="A8" s="7">
        <v>1030223001</v>
      </c>
      <c r="B8" s="8" t="s">
        <v>283</v>
      </c>
      <c r="C8" s="9">
        <v>269.94</v>
      </c>
      <c r="D8" s="10">
        <v>278.97773999999998</v>
      </c>
      <c r="E8" s="9">
        <f t="shared" si="2"/>
        <v>103.34805512336074</v>
      </c>
      <c r="F8" s="9">
        <f t="shared" si="1"/>
        <v>9.0377399999999852</v>
      </c>
    </row>
    <row r="9" spans="1:6">
      <c r="A9" s="7">
        <v>1030224001</v>
      </c>
      <c r="B9" s="8" t="s">
        <v>289</v>
      </c>
      <c r="C9" s="9">
        <v>2.9</v>
      </c>
      <c r="D9" s="10">
        <v>2.58839</v>
      </c>
      <c r="E9" s="9">
        <f>SUM(D9/C9*100)</f>
        <v>89.2548275862069</v>
      </c>
      <c r="F9" s="9">
        <f t="shared" si="1"/>
        <v>-0.31160999999999994</v>
      </c>
    </row>
    <row r="10" spans="1:6">
      <c r="A10" s="7">
        <v>1030225001</v>
      </c>
      <c r="B10" s="8" t="s">
        <v>282</v>
      </c>
      <c r="C10" s="9">
        <v>450.86</v>
      </c>
      <c r="D10" s="10">
        <v>413.93952999999999</v>
      </c>
      <c r="E10" s="9">
        <f t="shared" si="2"/>
        <v>91.811101006964464</v>
      </c>
      <c r="F10" s="9">
        <f t="shared" si="1"/>
        <v>-36.920470000000023</v>
      </c>
    </row>
    <row r="11" spans="1:6">
      <c r="A11" s="7">
        <v>1030226001</v>
      </c>
      <c r="B11" s="8" t="s">
        <v>291</v>
      </c>
      <c r="C11" s="9">
        <v>0</v>
      </c>
      <c r="D11" s="10">
        <v>-63.01587</v>
      </c>
      <c r="E11" s="9" t="e">
        <f t="shared" si="2"/>
        <v>#DIV/0!</v>
      </c>
      <c r="F11" s="9">
        <f t="shared" si="1"/>
        <v>-63.01587</v>
      </c>
    </row>
    <row r="12" spans="1:6" s="6" customFormat="1">
      <c r="A12" s="68">
        <v>1050000000</v>
      </c>
      <c r="B12" s="67" t="s">
        <v>7</v>
      </c>
      <c r="C12" s="5">
        <f>SUM(C13:C13)</f>
        <v>15</v>
      </c>
      <c r="D12" s="5">
        <f>SUM(D13:D13)</f>
        <v>26.019300000000001</v>
      </c>
      <c r="E12" s="5">
        <f t="shared" si="0"/>
        <v>173.46200000000002</v>
      </c>
      <c r="F12" s="5">
        <f t="shared" si="1"/>
        <v>11.019300000000001</v>
      </c>
    </row>
    <row r="13" spans="1:6" ht="15.75" customHeight="1">
      <c r="A13" s="7">
        <v>1050300000</v>
      </c>
      <c r="B13" s="11" t="s">
        <v>230</v>
      </c>
      <c r="C13" s="12">
        <v>15</v>
      </c>
      <c r="D13" s="10">
        <v>26.019300000000001</v>
      </c>
      <c r="E13" s="9">
        <f t="shared" si="0"/>
        <v>173.46200000000002</v>
      </c>
      <c r="F13" s="9">
        <f t="shared" si="1"/>
        <v>11.019300000000001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630</v>
      </c>
      <c r="D14" s="5">
        <f>D15+D16</f>
        <v>382.30659000000003</v>
      </c>
      <c r="E14" s="5">
        <f t="shared" si="0"/>
        <v>60.683585714285712</v>
      </c>
      <c r="F14" s="5">
        <f t="shared" si="1"/>
        <v>-247.69340999999997</v>
      </c>
    </row>
    <row r="15" spans="1:6" s="6" customFormat="1" ht="15.75" customHeight="1">
      <c r="A15" s="7">
        <v>1060100000</v>
      </c>
      <c r="B15" s="11" t="s">
        <v>9</v>
      </c>
      <c r="C15" s="9">
        <v>160</v>
      </c>
      <c r="D15" s="10">
        <v>54.244230000000002</v>
      </c>
      <c r="E15" s="9">
        <f t="shared" si="0"/>
        <v>33.902643750000003</v>
      </c>
      <c r="F15" s="9">
        <f>SUM(D15-C15)</f>
        <v>-105.75577</v>
      </c>
    </row>
    <row r="16" spans="1:6" ht="15.75" customHeight="1">
      <c r="A16" s="7">
        <v>1060600000</v>
      </c>
      <c r="B16" s="11" t="s">
        <v>8</v>
      </c>
      <c r="C16" s="9">
        <v>470</v>
      </c>
      <c r="D16" s="10">
        <v>328.06236000000001</v>
      </c>
      <c r="E16" s="9">
        <f t="shared" si="0"/>
        <v>69.800502127659584</v>
      </c>
      <c r="F16" s="9">
        <f t="shared" si="1"/>
        <v>-141.93763999999999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5.0999999999999996</v>
      </c>
      <c r="E17" s="5">
        <f t="shared" si="0"/>
        <v>51</v>
      </c>
      <c r="F17" s="5">
        <f t="shared" si="1"/>
        <v>-4.9000000000000004</v>
      </c>
    </row>
    <row r="18" spans="1:6" ht="17.25" customHeight="1">
      <c r="A18" s="7">
        <v>1080400001</v>
      </c>
      <c r="B18" s="8" t="s">
        <v>228</v>
      </c>
      <c r="C18" s="9">
        <v>10</v>
      </c>
      <c r="D18" s="10">
        <v>5.0999999999999996</v>
      </c>
      <c r="E18" s="9">
        <f t="shared" si="0"/>
        <v>51</v>
      </c>
      <c r="F18" s="9">
        <f t="shared" si="1"/>
        <v>-4.9000000000000004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3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2.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29.2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6.25" hidden="1" customHeight="1">
      <c r="A23" s="7">
        <v>1090600000</v>
      </c>
      <c r="B23" s="8" t="s">
        <v>127</v>
      </c>
      <c r="C23" s="9">
        <v>0</v>
      </c>
      <c r="D23" s="10">
        <v>0</v>
      </c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356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C26+C29+C32+C37</f>
        <v>390</v>
      </c>
      <c r="D25" s="5">
        <f>D26+D29+D32+D37+D35</f>
        <v>400.75817999999998</v>
      </c>
      <c r="E25" s="5">
        <f t="shared" si="0"/>
        <v>102.75850769230767</v>
      </c>
      <c r="F25" s="5">
        <f t="shared" si="1"/>
        <v>10.758179999999982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340</v>
      </c>
      <c r="D26" s="5">
        <f>D27+D28</f>
        <v>363.83157</v>
      </c>
      <c r="E26" s="5">
        <f t="shared" si="0"/>
        <v>107.00928529411765</v>
      </c>
      <c r="F26" s="5">
        <f t="shared" si="1"/>
        <v>23.831569999999999</v>
      </c>
    </row>
    <row r="27" spans="1:6">
      <c r="A27" s="16">
        <v>1110502510</v>
      </c>
      <c r="B27" s="17" t="s">
        <v>226</v>
      </c>
      <c r="C27" s="12">
        <v>300</v>
      </c>
      <c r="D27" s="10">
        <v>305.50894</v>
      </c>
      <c r="E27" s="9">
        <f t="shared" si="0"/>
        <v>101.83631333333334</v>
      </c>
      <c r="F27" s="9">
        <f t="shared" si="1"/>
        <v>5.5089399999999955</v>
      </c>
    </row>
    <row r="28" spans="1:6" ht="18" customHeight="1">
      <c r="A28" s="7">
        <v>1110503505</v>
      </c>
      <c r="B28" s="11" t="s">
        <v>225</v>
      </c>
      <c r="C28" s="12">
        <v>40</v>
      </c>
      <c r="D28" s="10">
        <v>58.322629999999997</v>
      </c>
      <c r="E28" s="9">
        <f t="shared" si="0"/>
        <v>145.80657499999998</v>
      </c>
      <c r="F28" s="9">
        <f t="shared" si="1"/>
        <v>18.322629999999997</v>
      </c>
    </row>
    <row r="29" spans="1:6" s="15" customFormat="1" ht="18" customHeight="1">
      <c r="A29" s="68">
        <v>1130000000</v>
      </c>
      <c r="B29" s="69" t="s">
        <v>131</v>
      </c>
      <c r="C29" s="5">
        <f>C30+C31</f>
        <v>50</v>
      </c>
      <c r="D29" s="5">
        <f>D30+D31</f>
        <v>37.184240000000003</v>
      </c>
      <c r="E29" s="5">
        <f t="shared" si="0"/>
        <v>74.368480000000005</v>
      </c>
      <c r="F29" s="5">
        <f t="shared" si="1"/>
        <v>-12.815759999999997</v>
      </c>
    </row>
    <row r="30" spans="1:6" ht="15.75" customHeight="1">
      <c r="A30" s="7">
        <v>1130206510</v>
      </c>
      <c r="B30" s="8" t="s">
        <v>338</v>
      </c>
      <c r="C30" s="9">
        <v>40</v>
      </c>
      <c r="D30" s="321">
        <v>27.157299999999999</v>
      </c>
      <c r="E30" s="9">
        <f t="shared" si="0"/>
        <v>67.893249999999995</v>
      </c>
      <c r="F30" s="9">
        <f t="shared" si="1"/>
        <v>-12.842700000000001</v>
      </c>
    </row>
    <row r="31" spans="1:6" ht="17.25" customHeight="1">
      <c r="A31" s="7">
        <v>1130299510</v>
      </c>
      <c r="B31" s="8" t="s">
        <v>357</v>
      </c>
      <c r="C31" s="9">
        <v>10</v>
      </c>
      <c r="D31" s="321">
        <v>10.02694</v>
      </c>
      <c r="E31" s="9">
        <f>SUM(D31/C31*100)</f>
        <v>100.26939999999999</v>
      </c>
      <c r="F31" s="9">
        <f>SUM(D31-C31)</f>
        <v>2.6939999999999742E-2</v>
      </c>
    </row>
    <row r="32" spans="1:6" ht="18" hidden="1" customHeight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t="18" hidden="1" customHeight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21.7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3">
        <v>1160000000</v>
      </c>
      <c r="B35" s="13" t="s">
        <v>252</v>
      </c>
      <c r="C35" s="14">
        <f>C36</f>
        <v>0</v>
      </c>
      <c r="D35" s="14">
        <f>D36</f>
        <v>0</v>
      </c>
      <c r="E35" s="5" t="e">
        <f>SUM(D35/C35*100)</f>
        <v>#DIV/0!</v>
      </c>
      <c r="F35" s="5">
        <f>SUM(D35-C35)</f>
        <v>0</v>
      </c>
    </row>
    <row r="36" spans="1:7" ht="47.25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>SUM(D36/C36*100)</f>
        <v>#DIV/0!</v>
      </c>
      <c r="F36" s="9">
        <f>SUM(D36-C36)</f>
        <v>0</v>
      </c>
    </row>
    <row r="37" spans="1:7" ht="15.75" customHeight="1">
      <c r="A37" s="3"/>
      <c r="B37" s="13" t="s">
        <v>135</v>
      </c>
      <c r="C37" s="5">
        <f>C38+C39</f>
        <v>0</v>
      </c>
      <c r="D37" s="5">
        <f>D38+D39</f>
        <v>-0.25763000000000003</v>
      </c>
      <c r="E37" s="5" t="e">
        <f t="shared" si="0"/>
        <v>#DIV/0!</v>
      </c>
      <c r="F37" s="5">
        <f t="shared" si="1"/>
        <v>-0.25763000000000003</v>
      </c>
    </row>
    <row r="38" spans="1:7" ht="16.5" customHeight="1">
      <c r="A38" s="7">
        <v>1170105005</v>
      </c>
      <c r="B38" s="8" t="s">
        <v>18</v>
      </c>
      <c r="C38" s="9">
        <v>0</v>
      </c>
      <c r="D38" s="9">
        <v>-0.25763000000000003</v>
      </c>
      <c r="E38" s="9" t="e">
        <f t="shared" si="0"/>
        <v>#DIV/0!</v>
      </c>
      <c r="F38" s="9">
        <f t="shared" si="1"/>
        <v>-0.25763000000000003</v>
      </c>
    </row>
    <row r="39" spans="1:7" ht="16.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1873.5</v>
      </c>
      <c r="D40" s="127">
        <f>D4+D25</f>
        <v>1530.4791299999999</v>
      </c>
      <c r="E40" s="5">
        <f t="shared" si="0"/>
        <v>81.690906325060041</v>
      </c>
      <c r="F40" s="5">
        <f t="shared" si="1"/>
        <v>-343.02087000000006</v>
      </c>
    </row>
    <row r="41" spans="1:7" s="6" customFormat="1">
      <c r="A41" s="3">
        <v>2000000000</v>
      </c>
      <c r="B41" s="4" t="s">
        <v>20</v>
      </c>
      <c r="C41" s="5">
        <f>C42+C43+C44+C45+C46+C48</f>
        <v>3075.2370000000001</v>
      </c>
      <c r="D41" s="5">
        <f>D42+D43+D44+D45+D46+D48+D49</f>
        <v>1946.5675999999999</v>
      </c>
      <c r="E41" s="5">
        <f t="shared" si="0"/>
        <v>63.298132794317965</v>
      </c>
      <c r="F41" s="5">
        <f t="shared" si="1"/>
        <v>-1128.6694000000002</v>
      </c>
      <c r="G41" s="19"/>
    </row>
    <row r="42" spans="1:7">
      <c r="A42" s="16">
        <v>2021000000</v>
      </c>
      <c r="B42" s="17" t="s">
        <v>21</v>
      </c>
      <c r="C42" s="99">
        <v>1351.8630000000001</v>
      </c>
      <c r="D42" s="391">
        <v>1187.8779999999999</v>
      </c>
      <c r="E42" s="9">
        <f t="shared" si="0"/>
        <v>87.869702773136027</v>
      </c>
      <c r="F42" s="9">
        <f t="shared" si="1"/>
        <v>-163.98500000000013</v>
      </c>
    </row>
    <row r="43" spans="1:7" ht="15.75" customHeight="1">
      <c r="A43" s="16">
        <v>2021500200</v>
      </c>
      <c r="B43" s="17" t="s">
        <v>232</v>
      </c>
      <c r="C43" s="99">
        <v>714</v>
      </c>
      <c r="D43" s="20">
        <v>340.5</v>
      </c>
      <c r="E43" s="9">
        <f>SUM(D43/C43*100)</f>
        <v>47.689075630252105</v>
      </c>
      <c r="F43" s="9">
        <f>SUM(D43-C43)</f>
        <v>-373.5</v>
      </c>
    </row>
    <row r="44" spans="1:7">
      <c r="A44" s="16">
        <v>2022000000</v>
      </c>
      <c r="B44" s="17" t="s">
        <v>22</v>
      </c>
      <c r="C44" s="99">
        <v>682.53499999999997</v>
      </c>
      <c r="D44" s="10">
        <v>237.059</v>
      </c>
      <c r="E44" s="9">
        <f t="shared" si="0"/>
        <v>34.732138278623076</v>
      </c>
      <c r="F44" s="9">
        <f t="shared" si="1"/>
        <v>-445.476</v>
      </c>
    </row>
    <row r="45" spans="1:7">
      <c r="A45" s="16">
        <v>2023000000</v>
      </c>
      <c r="B45" s="17" t="s">
        <v>23</v>
      </c>
      <c r="C45" s="12">
        <f>3.359+150.88</f>
        <v>154.239</v>
      </c>
      <c r="D45" s="251">
        <v>150.88</v>
      </c>
      <c r="E45" s="9">
        <f t="shared" si="0"/>
        <v>97.822210984251711</v>
      </c>
      <c r="F45" s="9">
        <f t="shared" si="1"/>
        <v>-3.3590000000000089</v>
      </c>
    </row>
    <row r="46" spans="1:7" hidden="1">
      <c r="A46" s="16">
        <v>2020400000</v>
      </c>
      <c r="B46" s="17" t="s">
        <v>24</v>
      </c>
      <c r="C46" s="12">
        <v>120</v>
      </c>
      <c r="D46" s="252">
        <v>0</v>
      </c>
      <c r="E46" s="9">
        <f t="shared" si="0"/>
        <v>0</v>
      </c>
      <c r="F46" s="9">
        <f t="shared" si="1"/>
        <v>-120</v>
      </c>
    </row>
    <row r="47" spans="1:7" ht="47.25" hidden="1">
      <c r="A47" s="16">
        <v>2020900000</v>
      </c>
      <c r="B47" s="18" t="s">
        <v>25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9.5" customHeight="1">
      <c r="A48" s="16">
        <v>2070500010</v>
      </c>
      <c r="B48" s="8" t="s">
        <v>355</v>
      </c>
      <c r="C48" s="12">
        <v>52.6</v>
      </c>
      <c r="D48" s="252">
        <v>52.6</v>
      </c>
      <c r="E48" s="9">
        <f t="shared" si="0"/>
        <v>100</v>
      </c>
      <c r="F48" s="9">
        <f t="shared" si="1"/>
        <v>0</v>
      </c>
    </row>
    <row r="49" spans="1:8" ht="19.5" customHeight="1">
      <c r="A49" s="7">
        <v>2190500005</v>
      </c>
      <c r="B49" s="11" t="s">
        <v>26</v>
      </c>
      <c r="C49" s="12">
        <v>0</v>
      </c>
      <c r="D49" s="252">
        <v>-22.349399999999999</v>
      </c>
      <c r="E49" s="9" t="e">
        <f t="shared" si="0"/>
        <v>#DIV/0!</v>
      </c>
      <c r="F49" s="9">
        <f t="shared" si="1"/>
        <v>-22.349399999999999</v>
      </c>
    </row>
    <row r="50" spans="1:8" s="6" customFormat="1" ht="0.75" hidden="1" customHeight="1">
      <c r="A50" s="3">
        <v>3000000000</v>
      </c>
      <c r="B50" s="13" t="s">
        <v>27</v>
      </c>
      <c r="C50" s="277">
        <v>0</v>
      </c>
      <c r="D50" s="14">
        <v>0</v>
      </c>
      <c r="E50" s="5" t="e">
        <f t="shared" si="0"/>
        <v>#DIV/0!</v>
      </c>
      <c r="F50" s="5">
        <f t="shared" si="1"/>
        <v>0</v>
      </c>
    </row>
    <row r="51" spans="1:8" s="6" customFormat="1" ht="19.5" customHeight="1">
      <c r="A51" s="3"/>
      <c r="B51" s="4" t="s">
        <v>28</v>
      </c>
      <c r="C51" s="93">
        <f>C40+C41</f>
        <v>4948.7370000000001</v>
      </c>
      <c r="D51" s="93">
        <f>D40+D41</f>
        <v>3477.04673</v>
      </c>
      <c r="E51" s="93">
        <f t="shared" si="0"/>
        <v>70.261295558846626</v>
      </c>
      <c r="F51" s="93">
        <f t="shared" si="1"/>
        <v>-1471.6902700000001</v>
      </c>
      <c r="G51" s="293"/>
      <c r="H51" s="293"/>
    </row>
    <row r="52" spans="1:8" s="6" customFormat="1">
      <c r="A52" s="3"/>
      <c r="B52" s="21" t="s">
        <v>321</v>
      </c>
      <c r="C52" s="93">
        <f>C51-C98</f>
        <v>-307.037229999999</v>
      </c>
      <c r="D52" s="93">
        <f>D51-D98</f>
        <v>-334.38728999999967</v>
      </c>
      <c r="E52" s="281"/>
      <c r="F52" s="281"/>
    </row>
    <row r="53" spans="1:8">
      <c r="A53" s="23"/>
      <c r="B53" s="24"/>
      <c r="C53" s="250"/>
      <c r="D53" s="250"/>
      <c r="E53" s="26"/>
      <c r="F53" s="27"/>
    </row>
    <row r="54" spans="1:8" ht="45" customHeight="1">
      <c r="A54" s="28" t="s">
        <v>1</v>
      </c>
      <c r="B54" s="28" t="s">
        <v>29</v>
      </c>
      <c r="C54" s="243" t="s">
        <v>346</v>
      </c>
      <c r="D54" s="244" t="s">
        <v>412</v>
      </c>
      <c r="E54" s="72" t="s">
        <v>3</v>
      </c>
      <c r="F54" s="74" t="s">
        <v>4</v>
      </c>
    </row>
    <row r="55" spans="1:8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8" s="6" customFormat="1" ht="18" customHeight="1">
      <c r="A56" s="30" t="s">
        <v>30</v>
      </c>
      <c r="B56" s="31" t="s">
        <v>31</v>
      </c>
      <c r="C56" s="32">
        <f>C57+C58+C59+C60+C61+C63+C62</f>
        <v>1127.5119999999999</v>
      </c>
      <c r="D56" s="33">
        <f>D57+D58+D59+D60+D61+D63+D62</f>
        <v>856.90672999999992</v>
      </c>
      <c r="E56" s="34">
        <f>SUM(D56/C56*100)</f>
        <v>75.999788028863549</v>
      </c>
      <c r="F56" s="34">
        <f>SUM(D56-C56)</f>
        <v>-270.60527000000002</v>
      </c>
    </row>
    <row r="57" spans="1:8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8" ht="18.75" customHeight="1">
      <c r="A58" s="35" t="s">
        <v>34</v>
      </c>
      <c r="B58" s="39" t="s">
        <v>35</v>
      </c>
      <c r="C58" s="37">
        <v>1096.463</v>
      </c>
      <c r="D58" s="37">
        <v>831.80972999999994</v>
      </c>
      <c r="E58" s="38">
        <f t="shared" ref="E58:E98" si="3">SUM(D58/C58*100)</f>
        <v>75.863000393082118</v>
      </c>
      <c r="F58" s="38">
        <f t="shared" ref="F58:F98" si="4">SUM(D58-C58)</f>
        <v>-264.65327000000002</v>
      </c>
    </row>
    <row r="59" spans="1:8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8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8">
      <c r="A61" s="35" t="s">
        <v>40</v>
      </c>
      <c r="B61" s="39" t="s">
        <v>41</v>
      </c>
      <c r="C61" s="37">
        <v>16.561</v>
      </c>
      <c r="D61" s="37">
        <v>16.561</v>
      </c>
      <c r="E61" s="38">
        <f t="shared" si="3"/>
        <v>100</v>
      </c>
      <c r="F61" s="38">
        <f t="shared" si="4"/>
        <v>0</v>
      </c>
    </row>
    <row r="62" spans="1:8" ht="18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8" ht="15.75" customHeight="1">
      <c r="A63" s="35" t="s">
        <v>44</v>
      </c>
      <c r="B63" s="39" t="s">
        <v>45</v>
      </c>
      <c r="C63" s="37">
        <v>9.4879999999999995</v>
      </c>
      <c r="D63" s="37">
        <v>8.5359999999999996</v>
      </c>
      <c r="E63" s="38">
        <f t="shared" si="3"/>
        <v>89.966273187183816</v>
      </c>
      <c r="F63" s="38">
        <f t="shared" si="4"/>
        <v>-0.95199999999999996</v>
      </c>
    </row>
    <row r="64" spans="1:8" s="6" customFormat="1">
      <c r="A64" s="41" t="s">
        <v>46</v>
      </c>
      <c r="B64" s="42" t="s">
        <v>47</v>
      </c>
      <c r="C64" s="32">
        <f>C65</f>
        <v>150.88</v>
      </c>
      <c r="D64" s="32">
        <f>D65</f>
        <v>124.72999</v>
      </c>
      <c r="E64" s="34">
        <f t="shared" si="3"/>
        <v>82.668339077412512</v>
      </c>
      <c r="F64" s="34">
        <f t="shared" si="4"/>
        <v>-26.150009999999995</v>
      </c>
    </row>
    <row r="65" spans="1:7">
      <c r="A65" s="43" t="s">
        <v>48</v>
      </c>
      <c r="B65" s="44" t="s">
        <v>49</v>
      </c>
      <c r="C65" s="37">
        <v>150.88</v>
      </c>
      <c r="D65" s="37">
        <v>124.72999</v>
      </c>
      <c r="E65" s="38">
        <f t="shared" si="3"/>
        <v>82.668339077412512</v>
      </c>
      <c r="F65" s="38">
        <f t="shared" si="4"/>
        <v>-26.150009999999995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7</v>
      </c>
      <c r="D66" s="32">
        <f>SUM(D67:D69)</f>
        <v>0</v>
      </c>
      <c r="E66" s="34">
        <f t="shared" si="3"/>
        <v>0</v>
      </c>
      <c r="F66" s="34">
        <f t="shared" si="4"/>
        <v>-7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37">
        <v>2</v>
      </c>
      <c r="D69" s="37">
        <v>0</v>
      </c>
      <c r="E69" s="34">
        <f t="shared" si="3"/>
        <v>0</v>
      </c>
      <c r="F69" s="34">
        <f t="shared" si="4"/>
        <v>-2</v>
      </c>
    </row>
    <row r="70" spans="1:7" ht="15.75" customHeight="1">
      <c r="A70" s="46" t="s">
        <v>219</v>
      </c>
      <c r="B70" s="47" t="s">
        <v>220</v>
      </c>
      <c r="C70" s="37">
        <v>5</v>
      </c>
      <c r="D70" s="37">
        <v>0</v>
      </c>
      <c r="E70" s="34">
        <f t="shared" si="3"/>
        <v>0</v>
      </c>
      <c r="F70" s="34">
        <f t="shared" si="4"/>
        <v>-5</v>
      </c>
    </row>
    <row r="71" spans="1:7" s="6" customFormat="1" ht="18.75" customHeight="1">
      <c r="A71" s="30" t="s">
        <v>58</v>
      </c>
      <c r="B71" s="31" t="s">
        <v>59</v>
      </c>
      <c r="C71" s="48">
        <f>SUM(C72:C76)</f>
        <v>2387.02223</v>
      </c>
      <c r="D71" s="48">
        <f>SUM(D72:D76)</f>
        <v>1617.2411399999999</v>
      </c>
      <c r="E71" s="34">
        <f t="shared" si="3"/>
        <v>67.751406739098513</v>
      </c>
      <c r="F71" s="34">
        <f t="shared" si="4"/>
        <v>-769.78109000000018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7.25" customHeight="1">
      <c r="A73" s="35" t="s">
        <v>62</v>
      </c>
      <c r="B73" s="39" t="s">
        <v>63</v>
      </c>
      <c r="C73" s="49">
        <v>373.59100000000001</v>
      </c>
      <c r="D73" s="37">
        <v>231.97229999999999</v>
      </c>
      <c r="E73" s="38">
        <f t="shared" si="3"/>
        <v>62.092582530093068</v>
      </c>
      <c r="F73" s="38">
        <f t="shared" si="4"/>
        <v>-141.61870000000002</v>
      </c>
      <c r="G73" s="50"/>
    </row>
    <row r="74" spans="1:7" s="6" customFormat="1" ht="15" hidden="1" customHeight="1">
      <c r="A74" s="35" t="s">
        <v>62</v>
      </c>
      <c r="B74" s="39" t="s">
        <v>63</v>
      </c>
      <c r="C74" s="49">
        <v>0</v>
      </c>
      <c r="D74" s="37">
        <v>0</v>
      </c>
      <c r="E74" s="38" t="e">
        <f t="shared" si="3"/>
        <v>#DIV/0!</v>
      </c>
      <c r="F74" s="38">
        <f t="shared" si="4"/>
        <v>0</v>
      </c>
      <c r="G74" s="50"/>
    </row>
    <row r="75" spans="1:7">
      <c r="A75" s="35" t="s">
        <v>64</v>
      </c>
      <c r="B75" s="39" t="s">
        <v>65</v>
      </c>
      <c r="C75" s="49">
        <v>1814.52223</v>
      </c>
      <c r="D75" s="37">
        <v>1253.09284</v>
      </c>
      <c r="E75" s="38">
        <f t="shared" si="3"/>
        <v>69.059106539576533</v>
      </c>
      <c r="F75" s="38">
        <f t="shared" si="4"/>
        <v>-561.42939000000001</v>
      </c>
    </row>
    <row r="76" spans="1:7">
      <c r="A76" s="35" t="s">
        <v>66</v>
      </c>
      <c r="B76" s="39" t="s">
        <v>67</v>
      </c>
      <c r="C76" s="49">
        <v>191.40899999999999</v>
      </c>
      <c r="D76" s="37">
        <v>132.17599999999999</v>
      </c>
      <c r="E76" s="38">
        <f t="shared" si="3"/>
        <v>69.054224200533938</v>
      </c>
      <c r="F76" s="38">
        <f t="shared" si="4"/>
        <v>-59.233000000000004</v>
      </c>
    </row>
    <row r="77" spans="1:7" s="6" customFormat="1" ht="17.25" customHeight="1">
      <c r="A77" s="30" t="s">
        <v>68</v>
      </c>
      <c r="B77" s="31" t="s">
        <v>69</v>
      </c>
      <c r="C77" s="32">
        <f>SUM(C78:C80)</f>
        <v>341.76</v>
      </c>
      <c r="D77" s="32">
        <f>SUM(D78:D80)</f>
        <v>222.49616</v>
      </c>
      <c r="E77" s="34">
        <f t="shared" si="3"/>
        <v>65.103043071161053</v>
      </c>
      <c r="F77" s="34">
        <f t="shared" si="4"/>
        <v>-119.26383999999999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341.76</v>
      </c>
      <c r="D80" s="37">
        <v>222.49616</v>
      </c>
      <c r="E80" s="38">
        <f t="shared" si="3"/>
        <v>65.103043071161053</v>
      </c>
      <c r="F80" s="38">
        <f t="shared" si="4"/>
        <v>-119.26383999999999</v>
      </c>
    </row>
    <row r="81" spans="1:6" s="6" customFormat="1">
      <c r="A81" s="30" t="s">
        <v>86</v>
      </c>
      <c r="B81" s="31" t="s">
        <v>87</v>
      </c>
      <c r="C81" s="32">
        <v>1231.5999999999999</v>
      </c>
      <c r="D81" s="32">
        <f>D82</f>
        <v>980.06</v>
      </c>
      <c r="E81" s="34">
        <f t="shared" si="3"/>
        <v>79.576161091263401</v>
      </c>
      <c r="F81" s="34">
        <f t="shared" si="4"/>
        <v>-251.53999999999996</v>
      </c>
    </row>
    <row r="82" spans="1:6" ht="15.75" customHeight="1">
      <c r="A82" s="35" t="s">
        <v>88</v>
      </c>
      <c r="B82" s="39" t="s">
        <v>234</v>
      </c>
      <c r="C82" s="37">
        <v>1231.5999999999999</v>
      </c>
      <c r="D82" s="37">
        <v>980.06</v>
      </c>
      <c r="E82" s="38">
        <f t="shared" si="3"/>
        <v>79.576161091263401</v>
      </c>
      <c r="F82" s="38">
        <f t="shared" si="4"/>
        <v>-251.53999999999996</v>
      </c>
    </row>
    <row r="83" spans="1:6" s="6" customFormat="1" ht="0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6.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.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9.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6.5" hidden="1" customHeight="1">
      <c r="A88" s="30" t="s">
        <v>95</v>
      </c>
      <c r="B88" s="31" t="s">
        <v>96</v>
      </c>
      <c r="C88" s="32">
        <f>C89+C90+C91+C92+C93</f>
        <v>0</v>
      </c>
      <c r="D88" s="32">
        <f>D89+D90+D91+D92+D93</f>
        <v>0</v>
      </c>
      <c r="E88" s="38" t="e">
        <f t="shared" si="3"/>
        <v>#DIV/0!</v>
      </c>
      <c r="F88" s="22">
        <f>F89+F90+F91+F92+F93</f>
        <v>0</v>
      </c>
    </row>
    <row r="89" spans="1:6" ht="13.5" hidden="1" customHeight="1">
      <c r="A89" s="35" t="s">
        <v>97</v>
      </c>
      <c r="B89" s="39" t="s">
        <v>98</v>
      </c>
      <c r="C89" s="37">
        <v>0</v>
      </c>
      <c r="D89" s="37">
        <v>0</v>
      </c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.7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5" hidden="1" customHeight="1">
      <c r="A94" s="52">
        <v>1400</v>
      </c>
      <c r="B94" s="56" t="s">
        <v>115</v>
      </c>
      <c r="C94" s="48"/>
      <c r="D94" s="48"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8" customHeight="1">
      <c r="A96" s="30" t="s">
        <v>95</v>
      </c>
      <c r="B96" s="31" t="s">
        <v>96</v>
      </c>
      <c r="C96" s="48">
        <f>C97</f>
        <v>10</v>
      </c>
      <c r="D96" s="32">
        <f>D97</f>
        <v>10</v>
      </c>
      <c r="E96" s="34">
        <f t="shared" si="3"/>
        <v>100</v>
      </c>
      <c r="F96" s="34">
        <f t="shared" si="4"/>
        <v>0</v>
      </c>
    </row>
    <row r="97" spans="1:7" ht="18" customHeight="1">
      <c r="A97" s="35" t="s">
        <v>97</v>
      </c>
      <c r="B97" s="39" t="s">
        <v>98</v>
      </c>
      <c r="C97" s="49">
        <v>10</v>
      </c>
      <c r="D97" s="37">
        <v>10</v>
      </c>
      <c r="E97" s="38">
        <f t="shared" si="3"/>
        <v>100</v>
      </c>
      <c r="F97" s="38">
        <f t="shared" si="4"/>
        <v>0</v>
      </c>
    </row>
    <row r="98" spans="1:7" s="6" customFormat="1">
      <c r="A98" s="52"/>
      <c r="B98" s="57" t="s">
        <v>119</v>
      </c>
      <c r="C98" s="408">
        <f>C56+C64+C66+C71+C77+C81+C96</f>
        <v>5255.7742299999991</v>
      </c>
      <c r="D98" s="408">
        <f>D56+D64+D66+D71+D77+D81+D88+D83+D94+D96</f>
        <v>3811.4340199999997</v>
      </c>
      <c r="E98" s="34">
        <f t="shared" si="3"/>
        <v>72.518982992920527</v>
      </c>
      <c r="F98" s="34">
        <f t="shared" si="4"/>
        <v>-1444.3402099999994</v>
      </c>
      <c r="G98" s="293"/>
    </row>
    <row r="99" spans="1:7" ht="16.5" customHeight="1">
      <c r="C99" s="126"/>
      <c r="D99" s="101"/>
    </row>
    <row r="100" spans="1:7" s="65" customFormat="1" ht="20.25" customHeight="1">
      <c r="A100" s="63" t="s">
        <v>120</v>
      </c>
      <c r="B100" s="63"/>
      <c r="C100" s="116"/>
      <c r="D100" s="64" t="s">
        <v>275</v>
      </c>
    </row>
    <row r="101" spans="1:7" s="65" customFormat="1" ht="13.5" customHeight="1">
      <c r="A101" s="66" t="s">
        <v>121</v>
      </c>
      <c r="B101" s="66"/>
      <c r="C101" s="65" t="s">
        <v>122</v>
      </c>
    </row>
    <row r="103" spans="1:7" ht="5.25" customHeight="1"/>
    <row r="142" hidden="1"/>
  </sheetData>
  <customSheetViews>
    <customSheetView guid="{8E17DC23-BE06-48DD-840B-6DD85B9E86D1}" scale="70" showPageBreaks="1" printArea="1" hiddenRows="1" view="pageBreakPreview" topLeftCell="A15">
      <selection activeCell="C51" activeCellId="1" sqref="C98:D98 C51:D51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5BFCA170-DEAE-4D2C-98A0-1E68B427AC01}" showPageBreaks="1" printArea="1" hiddenRows="1" topLeftCell="A20">
      <selection activeCell="C42" sqref="C42"/>
      <pageMargins left="0.7" right="0.7" top="0.75" bottom="0.75" header="0.3" footer="0.3"/>
      <pageSetup paperSize="9" scale="48" orientation="portrait" r:id="rId2"/>
    </customSheetView>
    <customSheetView guid="{3DCB9AAA-F09C-4EA6-B992-F93E466D374A}" hiddenRows="1" topLeftCell="A20">
      <selection activeCell="C42" sqref="C42"/>
      <pageMargins left="0.7" right="0.7" top="0.75" bottom="0.75" header="0.3" footer="0.3"/>
      <pageSetup paperSize="9" scale="48" orientation="portrait" r:id="rId3"/>
    </customSheetView>
    <customSheetView guid="{1718F1EE-9F48-4DBE-9531-3B70F9C4A5DD}" scale="70" showPageBreaks="1" printArea="1" hiddenRows="1" view="pageBreakPreview" topLeftCell="A18">
      <selection activeCell="D29" sqref="D29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printArea="1" hiddenRows="1" view="pageBreakPreview" topLeftCell="A55">
      <selection activeCell="D98" sqref="C98:D98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>
      <selection activeCell="A3" sqref="A3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printArea="1" hiddenRows="1" view="pageBreakPreview" topLeftCell="A15">
      <selection activeCell="C51" activeCellId="1" sqref="C98:D98 C51:D51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8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H141"/>
  <sheetViews>
    <sheetView view="pageBreakPreview" topLeftCell="A18" zoomScale="70" zoomScaleNormal="100" zoomScaleSheetLayoutView="70" workbookViewId="0">
      <selection activeCell="D37" activeCellId="3" sqref="C95:D95 C49:D49 C38 D37"/>
    </sheetView>
  </sheetViews>
  <sheetFormatPr defaultRowHeight="15.75"/>
  <cols>
    <col min="1" max="1" width="14.7109375" style="58" customWidth="1"/>
    <col min="2" max="2" width="57.5703125" style="59" customWidth="1"/>
    <col min="3" max="3" width="15.5703125" style="62" customWidth="1"/>
    <col min="4" max="4" width="16" style="62" customWidth="1"/>
    <col min="5" max="5" width="10.28515625" style="62" customWidth="1"/>
    <col min="6" max="6" width="9.42578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427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934.7</v>
      </c>
      <c r="D4" s="5">
        <f>D5+D12+D14+D17+D7</f>
        <v>680.47019</v>
      </c>
      <c r="E4" s="5">
        <f>SUM(D4/C4*100)</f>
        <v>72.800919011447519</v>
      </c>
      <c r="F4" s="5">
        <f>SUM(D4-C4)</f>
        <v>-254.22981000000004</v>
      </c>
    </row>
    <row r="5" spans="1:6" s="6" customFormat="1">
      <c r="A5" s="68">
        <v>1010000000</v>
      </c>
      <c r="B5" s="67" t="s">
        <v>6</v>
      </c>
      <c r="C5" s="5">
        <f>C6</f>
        <v>85.8</v>
      </c>
      <c r="D5" s="5">
        <f>D6</f>
        <v>81.068619999999996</v>
      </c>
      <c r="E5" s="5">
        <f t="shared" ref="E5:E49" si="0">SUM(D5/C5*100)</f>
        <v>94.485571095571103</v>
      </c>
      <c r="F5" s="5">
        <f t="shared" ref="F5:F49" si="1">SUM(D5-C5)</f>
        <v>-4.7313800000000015</v>
      </c>
    </row>
    <row r="6" spans="1:6">
      <c r="A6" s="7">
        <v>1010200001</v>
      </c>
      <c r="B6" s="8" t="s">
        <v>229</v>
      </c>
      <c r="C6" s="9">
        <v>85.8</v>
      </c>
      <c r="D6" s="10">
        <v>81.068619999999996</v>
      </c>
      <c r="E6" s="9">
        <f t="shared" ref="E6:E11" si="2">SUM(D6/C6*100)</f>
        <v>94.485571095571103</v>
      </c>
      <c r="F6" s="9">
        <f t="shared" si="1"/>
        <v>-4.7313800000000015</v>
      </c>
    </row>
    <row r="7" spans="1:6" ht="31.5">
      <c r="A7" s="3">
        <v>1030000000</v>
      </c>
      <c r="B7" s="13" t="s">
        <v>281</v>
      </c>
      <c r="C7" s="5">
        <f>C8+C10+C9</f>
        <v>330.90000000000003</v>
      </c>
      <c r="D7" s="5">
        <f>D8+D10+D9+D11</f>
        <v>289.19153999999997</v>
      </c>
      <c r="E7" s="5">
        <f t="shared" si="2"/>
        <v>87.395448776065265</v>
      </c>
      <c r="F7" s="5">
        <f t="shared" si="1"/>
        <v>-41.708460000000059</v>
      </c>
    </row>
    <row r="8" spans="1:6">
      <c r="A8" s="7">
        <v>1030223001</v>
      </c>
      <c r="B8" s="8" t="s">
        <v>283</v>
      </c>
      <c r="C8" s="9">
        <v>123.43</v>
      </c>
      <c r="D8" s="10">
        <v>127.5562</v>
      </c>
      <c r="E8" s="9">
        <f t="shared" si="2"/>
        <v>103.34294741959005</v>
      </c>
      <c r="F8" s="9">
        <f t="shared" si="1"/>
        <v>4.1261999999999972</v>
      </c>
    </row>
    <row r="9" spans="1:6">
      <c r="A9" s="7">
        <v>1030224001</v>
      </c>
      <c r="B9" s="8" t="s">
        <v>289</v>
      </c>
      <c r="C9" s="9">
        <v>1.32</v>
      </c>
      <c r="D9" s="10">
        <v>1.1835100000000001</v>
      </c>
      <c r="E9" s="9">
        <f t="shared" si="2"/>
        <v>89.659848484848482</v>
      </c>
      <c r="F9" s="9">
        <f t="shared" si="1"/>
        <v>-0.13649</v>
      </c>
    </row>
    <row r="10" spans="1:6">
      <c r="A10" s="7">
        <v>1030225001</v>
      </c>
      <c r="B10" s="8" t="s">
        <v>282</v>
      </c>
      <c r="C10" s="9">
        <v>206.15</v>
      </c>
      <c r="D10" s="10">
        <v>189.26438999999999</v>
      </c>
      <c r="E10" s="9">
        <f t="shared" si="2"/>
        <v>91.809066213921895</v>
      </c>
      <c r="F10" s="9">
        <f t="shared" si="1"/>
        <v>-16.885610000000014</v>
      </c>
    </row>
    <row r="11" spans="1:6">
      <c r="A11" s="7">
        <v>1030226001</v>
      </c>
      <c r="B11" s="8" t="s">
        <v>291</v>
      </c>
      <c r="C11" s="9">
        <v>0</v>
      </c>
      <c r="D11" s="10">
        <v>-28.812560000000001</v>
      </c>
      <c r="E11" s="9" t="e">
        <f t="shared" si="2"/>
        <v>#DIV/0!</v>
      </c>
      <c r="F11" s="9">
        <f t="shared" si="1"/>
        <v>-28.812560000000001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4.3319999999999999</v>
      </c>
      <c r="E12" s="5">
        <f t="shared" si="0"/>
        <v>43.32</v>
      </c>
      <c r="F12" s="5">
        <f t="shared" si="1"/>
        <v>-5.6680000000000001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4.3319999999999999</v>
      </c>
      <c r="E13" s="9">
        <f t="shared" si="0"/>
        <v>43.32</v>
      </c>
      <c r="F13" s="9">
        <f t="shared" si="1"/>
        <v>-5.6680000000000001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488</v>
      </c>
      <c r="D14" s="5">
        <f>D15+D16</f>
        <v>285.77803</v>
      </c>
      <c r="E14" s="5">
        <f t="shared" si="0"/>
        <v>58.561071721311478</v>
      </c>
      <c r="F14" s="5">
        <f t="shared" si="1"/>
        <v>-202.22197</v>
      </c>
    </row>
    <row r="15" spans="1:6" s="6" customFormat="1" ht="15.75" customHeight="1">
      <c r="A15" s="7">
        <v>1060100000</v>
      </c>
      <c r="B15" s="11" t="s">
        <v>9</v>
      </c>
      <c r="C15" s="9">
        <v>98</v>
      </c>
      <c r="D15" s="10">
        <v>22.412990000000001</v>
      </c>
      <c r="E15" s="9">
        <f t="shared" si="0"/>
        <v>22.870397959183673</v>
      </c>
      <c r="F15" s="9">
        <f>SUM(D15-C15)</f>
        <v>-75.587009999999992</v>
      </c>
    </row>
    <row r="16" spans="1:6" ht="15.75" customHeight="1">
      <c r="A16" s="7">
        <v>1060600000</v>
      </c>
      <c r="B16" s="11" t="s">
        <v>8</v>
      </c>
      <c r="C16" s="9">
        <v>390</v>
      </c>
      <c r="D16" s="10">
        <v>263.36504000000002</v>
      </c>
      <c r="E16" s="9">
        <f t="shared" si="0"/>
        <v>67.52949743589744</v>
      </c>
      <c r="F16" s="9">
        <f t="shared" si="1"/>
        <v>-126.63495999999998</v>
      </c>
    </row>
    <row r="17" spans="1:6" s="6" customFormat="1">
      <c r="A17" s="3">
        <v>1080000000</v>
      </c>
      <c r="B17" s="4" t="s">
        <v>11</v>
      </c>
      <c r="C17" s="5">
        <f>C18</f>
        <v>20</v>
      </c>
      <c r="D17" s="5">
        <f>D18</f>
        <v>20.100000000000001</v>
      </c>
      <c r="E17" s="5">
        <f t="shared" si="0"/>
        <v>100.50000000000001</v>
      </c>
      <c r="F17" s="5">
        <f t="shared" si="1"/>
        <v>0.10000000000000142</v>
      </c>
    </row>
    <row r="18" spans="1:6" ht="18" customHeight="1">
      <c r="A18" s="7">
        <v>1080400001</v>
      </c>
      <c r="B18" s="8" t="s">
        <v>228</v>
      </c>
      <c r="C18" s="9">
        <v>20</v>
      </c>
      <c r="D18" s="10">
        <v>20.100000000000001</v>
      </c>
      <c r="E18" s="9">
        <f t="shared" si="0"/>
        <v>100.50000000000001</v>
      </c>
      <c r="F18" s="9">
        <f t="shared" si="1"/>
        <v>0.10000000000000142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7.7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3.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33</v>
      </c>
      <c r="D25" s="5">
        <f>D27+D29+D34</f>
        <v>5.0369000000000002</v>
      </c>
      <c r="E25" s="5">
        <f t="shared" si="0"/>
        <v>15.263333333333334</v>
      </c>
      <c r="F25" s="5">
        <f t="shared" si="1"/>
        <v>-27.963100000000001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33</v>
      </c>
      <c r="D26" s="5">
        <f>D27</f>
        <v>5.0369000000000002</v>
      </c>
      <c r="E26" s="5">
        <f t="shared" si="0"/>
        <v>15.263333333333334</v>
      </c>
      <c r="F26" s="5">
        <f t="shared" si="1"/>
        <v>-27.963100000000001</v>
      </c>
    </row>
    <row r="27" spans="1:6" ht="17.25" customHeight="1">
      <c r="A27" s="16">
        <v>1110502510</v>
      </c>
      <c r="B27" s="17" t="s">
        <v>226</v>
      </c>
      <c r="C27" s="12">
        <v>33</v>
      </c>
      <c r="D27" s="10">
        <v>5.0369000000000002</v>
      </c>
      <c r="E27" s="9">
        <f t="shared" si="0"/>
        <v>15.263333333333334</v>
      </c>
      <c r="F27" s="9">
        <f t="shared" si="1"/>
        <v>-27.963100000000001</v>
      </c>
    </row>
    <row r="28" spans="1:6" ht="0.7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29.25" hidden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idden="1">
      <c r="A30" s="7">
        <v>1130305005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6.5" hidden="1" customHeight="1">
      <c r="A31" s="70">
        <v>1140000000</v>
      </c>
      <c r="B31" s="71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5.75" hidden="1" customHeight="1">
      <c r="A32" s="16">
        <v>1140200000</v>
      </c>
      <c r="B32" s="18" t="s">
        <v>133</v>
      </c>
      <c r="C32" s="9"/>
      <c r="D32" s="10"/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7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7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8.75" customHeight="1">
      <c r="A37" s="3">
        <v>1000000000</v>
      </c>
      <c r="B37" s="4" t="s">
        <v>19</v>
      </c>
      <c r="C37" s="127">
        <f>SUM(C4,C25)</f>
        <v>967.7</v>
      </c>
      <c r="D37" s="127">
        <f>D4+D25</f>
        <v>685.50708999999995</v>
      </c>
      <c r="E37" s="5">
        <f t="shared" si="0"/>
        <v>70.838802314766966</v>
      </c>
      <c r="F37" s="5">
        <f t="shared" si="1"/>
        <v>-282.1929100000001</v>
      </c>
    </row>
    <row r="38" spans="1:7" s="6" customFormat="1">
      <c r="A38" s="3">
        <v>2000000000</v>
      </c>
      <c r="B38" s="4" t="s">
        <v>20</v>
      </c>
      <c r="C38" s="5">
        <f>C39+C41+C42+C43+C44+C45</f>
        <v>2833.8540000000003</v>
      </c>
      <c r="D38" s="5">
        <f>D39+D41+D42+D43+D45</f>
        <v>2267.3219999999997</v>
      </c>
      <c r="E38" s="5">
        <f t="shared" si="0"/>
        <v>80.008426686766484</v>
      </c>
      <c r="F38" s="5">
        <f t="shared" si="1"/>
        <v>-566.53200000000061</v>
      </c>
      <c r="G38" s="19"/>
    </row>
    <row r="39" spans="1:7" ht="14.25" customHeight="1">
      <c r="A39" s="16">
        <v>2021000000</v>
      </c>
      <c r="B39" s="17" t="s">
        <v>21</v>
      </c>
      <c r="C39" s="99">
        <v>1258.9960000000001</v>
      </c>
      <c r="D39" s="20">
        <v>1109.8150000000001</v>
      </c>
      <c r="E39" s="9">
        <f t="shared" si="0"/>
        <v>88.150796348836693</v>
      </c>
      <c r="F39" s="9">
        <f t="shared" si="1"/>
        <v>-149.18100000000004</v>
      </c>
    </row>
    <row r="40" spans="1:7" ht="15.75" hidden="1" customHeight="1">
      <c r="A40" s="16">
        <v>2020100310</v>
      </c>
      <c r="B40" s="17" t="s">
        <v>232</v>
      </c>
      <c r="C40" s="99"/>
      <c r="D40" s="20">
        <v>0</v>
      </c>
      <c r="E40" s="9" t="e">
        <f t="shared" si="0"/>
        <v>#DIV/0!</v>
      </c>
      <c r="F40" s="9">
        <f t="shared" si="1"/>
        <v>0</v>
      </c>
    </row>
    <row r="41" spans="1:7" ht="15.75" customHeight="1">
      <c r="A41" s="16">
        <v>2021500200</v>
      </c>
      <c r="B41" s="17" t="s">
        <v>232</v>
      </c>
      <c r="C41" s="99">
        <v>930</v>
      </c>
      <c r="D41" s="20">
        <v>564.75</v>
      </c>
      <c r="E41" s="9">
        <f t="shared" si="0"/>
        <v>60.725806451612904</v>
      </c>
      <c r="F41" s="9">
        <f t="shared" si="1"/>
        <v>-365.25</v>
      </c>
    </row>
    <row r="42" spans="1:7">
      <c r="A42" s="16">
        <v>2022000000</v>
      </c>
      <c r="B42" s="17" t="s">
        <v>22</v>
      </c>
      <c r="C42" s="99">
        <v>480.904</v>
      </c>
      <c r="D42" s="10">
        <v>435.16199999999998</v>
      </c>
      <c r="E42" s="9">
        <f t="shared" si="0"/>
        <v>90.48833031124714</v>
      </c>
      <c r="F42" s="9">
        <f t="shared" si="1"/>
        <v>-45.742000000000019</v>
      </c>
    </row>
    <row r="43" spans="1:7" ht="17.25" customHeight="1">
      <c r="A43" s="16">
        <v>2023000000</v>
      </c>
      <c r="B43" s="17" t="s">
        <v>23</v>
      </c>
      <c r="C43" s="12">
        <v>73.953999999999994</v>
      </c>
      <c r="D43" s="251">
        <v>70.594999999999999</v>
      </c>
      <c r="E43" s="9">
        <f t="shared" si="0"/>
        <v>95.457987397571472</v>
      </c>
      <c r="F43" s="9">
        <f t="shared" si="1"/>
        <v>-3.3589999999999947</v>
      </c>
    </row>
    <row r="44" spans="1:7" ht="0.75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customHeight="1">
      <c r="A45" s="16">
        <v>2070500010</v>
      </c>
      <c r="B45" s="8" t="s">
        <v>355</v>
      </c>
      <c r="C45" s="12">
        <v>90</v>
      </c>
      <c r="D45" s="252">
        <v>87</v>
      </c>
      <c r="E45" s="9">
        <f t="shared" si="0"/>
        <v>96.666666666666671</v>
      </c>
      <c r="F45" s="9">
        <f t="shared" si="1"/>
        <v>-3</v>
      </c>
    </row>
    <row r="46" spans="1:7" ht="14.25" hidden="1" customHeight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7" s="6" customFormat="1" ht="16.5" hidden="1" customHeight="1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7" s="6" customFormat="1" ht="21" hidden="1" customHeight="1">
      <c r="A48" s="3">
        <v>2190500010</v>
      </c>
      <c r="B48" s="13" t="s">
        <v>326</v>
      </c>
      <c r="C48" s="277">
        <v>0</v>
      </c>
      <c r="D48" s="14">
        <v>0</v>
      </c>
      <c r="E48" s="5"/>
      <c r="F48" s="5"/>
    </row>
    <row r="49" spans="1:8" s="6" customFormat="1" ht="16.5" customHeight="1">
      <c r="A49" s="3"/>
      <c r="B49" s="4" t="s">
        <v>28</v>
      </c>
      <c r="C49" s="5">
        <f>C37+C38</f>
        <v>3801.5540000000001</v>
      </c>
      <c r="D49" s="5">
        <f>D37+D38</f>
        <v>2952.8290899999997</v>
      </c>
      <c r="E49" s="5">
        <f t="shared" si="0"/>
        <v>77.674263998354348</v>
      </c>
      <c r="F49" s="5">
        <f t="shared" si="1"/>
        <v>-848.72491000000036</v>
      </c>
      <c r="G49" s="293"/>
      <c r="H49" s="385"/>
    </row>
    <row r="50" spans="1:8" s="6" customFormat="1" ht="15.75" customHeight="1">
      <c r="A50" s="3"/>
      <c r="B50" s="21" t="s">
        <v>321</v>
      </c>
      <c r="C50" s="280">
        <f>C49-C95</f>
        <v>16.760440000000017</v>
      </c>
      <c r="D50" s="280">
        <f>D49-D95</f>
        <v>252.25716999999941</v>
      </c>
      <c r="E50" s="22"/>
      <c r="F50" s="22"/>
    </row>
    <row r="51" spans="1:8">
      <c r="A51" s="23"/>
      <c r="B51" s="24"/>
      <c r="C51" s="115"/>
      <c r="D51" s="25"/>
      <c r="E51" s="26"/>
      <c r="F51" s="27"/>
    </row>
    <row r="52" spans="1:8" ht="32.25" customHeight="1">
      <c r="A52" s="28" t="s">
        <v>1</v>
      </c>
      <c r="B52" s="28" t="s">
        <v>29</v>
      </c>
      <c r="C52" s="248" t="s">
        <v>346</v>
      </c>
      <c r="D52" s="73" t="s">
        <v>412</v>
      </c>
      <c r="E52" s="72" t="s">
        <v>3</v>
      </c>
      <c r="F52" s="74" t="s">
        <v>4</v>
      </c>
    </row>
    <row r="53" spans="1:8">
      <c r="A53" s="29">
        <v>1</v>
      </c>
      <c r="B53" s="28">
        <v>2</v>
      </c>
      <c r="C53" s="87">
        <v>3</v>
      </c>
      <c r="D53" s="87">
        <v>4</v>
      </c>
      <c r="E53" s="87">
        <v>5</v>
      </c>
      <c r="F53" s="87">
        <v>6</v>
      </c>
    </row>
    <row r="54" spans="1:8" s="6" customFormat="1" ht="16.5" customHeight="1">
      <c r="A54" s="30" t="s">
        <v>30</v>
      </c>
      <c r="B54" s="31" t="s">
        <v>31</v>
      </c>
      <c r="C54" s="32">
        <f>C55+C56+C57+C58+C59+C61+C60</f>
        <v>1135.8050000000001</v>
      </c>
      <c r="D54" s="33">
        <f>D56+D61</f>
        <v>712.53911999999991</v>
      </c>
      <c r="E54" s="34">
        <f>SUM(D54/C54*100)</f>
        <v>62.734282733391723</v>
      </c>
      <c r="F54" s="34">
        <f>SUM(D54-C54)</f>
        <v>-423.26588000000015</v>
      </c>
    </row>
    <row r="55" spans="1:8" s="6" customFormat="1" ht="17.25" hidden="1" customHeight="1">
      <c r="A55" s="35" t="s">
        <v>32</v>
      </c>
      <c r="B55" s="36" t="s">
        <v>33</v>
      </c>
      <c r="C55" s="37"/>
      <c r="D55" s="37"/>
      <c r="E55" s="38"/>
      <c r="F55" s="38"/>
    </row>
    <row r="56" spans="1:8" ht="20.25" customHeight="1">
      <c r="A56" s="35" t="s">
        <v>34</v>
      </c>
      <c r="B56" s="39" t="s">
        <v>35</v>
      </c>
      <c r="C56" s="37">
        <v>1128.096</v>
      </c>
      <c r="D56" s="37">
        <v>709.83061999999995</v>
      </c>
      <c r="E56" s="38">
        <f>SUM(D56/C56*100)</f>
        <v>62.92289131421439</v>
      </c>
      <c r="F56" s="38">
        <f t="shared" ref="F56:F95" si="3">SUM(D56-C56)</f>
        <v>-418.26538000000005</v>
      </c>
    </row>
    <row r="57" spans="1:8" ht="0.75" hidden="1" customHeight="1">
      <c r="A57" s="35" t="s">
        <v>36</v>
      </c>
      <c r="B57" s="39" t="s">
        <v>37</v>
      </c>
      <c r="C57" s="37"/>
      <c r="D57" s="37"/>
      <c r="E57" s="38"/>
      <c r="F57" s="38">
        <f t="shared" si="3"/>
        <v>0</v>
      </c>
    </row>
    <row r="58" spans="1:8" ht="17.25" hidden="1" customHeight="1">
      <c r="A58" s="35" t="s">
        <v>38</v>
      </c>
      <c r="B58" s="39" t="s">
        <v>39</v>
      </c>
      <c r="C58" s="37"/>
      <c r="D58" s="37"/>
      <c r="E58" s="38" t="e">
        <f t="shared" ref="E58:E95" si="4">SUM(D58/C58*100)</f>
        <v>#DIV/0!</v>
      </c>
      <c r="F58" s="38">
        <f t="shared" si="3"/>
        <v>0</v>
      </c>
    </row>
    <row r="59" spans="1:8" ht="0.75" hidden="1" customHeight="1">
      <c r="A59" s="35" t="s">
        <v>40</v>
      </c>
      <c r="B59" s="39" t="s">
        <v>41</v>
      </c>
      <c r="C59" s="37">
        <v>0</v>
      </c>
      <c r="D59" s="37">
        <v>0</v>
      </c>
      <c r="E59" s="38" t="e">
        <f t="shared" si="4"/>
        <v>#DIV/0!</v>
      </c>
      <c r="F59" s="38">
        <f t="shared" si="3"/>
        <v>0</v>
      </c>
    </row>
    <row r="60" spans="1:8" ht="15.75" customHeight="1">
      <c r="A60" s="35" t="s">
        <v>42</v>
      </c>
      <c r="B60" s="39" t="s">
        <v>43</v>
      </c>
      <c r="C60" s="40">
        <v>5</v>
      </c>
      <c r="D60" s="40">
        <v>0</v>
      </c>
      <c r="E60" s="38">
        <f t="shared" si="4"/>
        <v>0</v>
      </c>
      <c r="F60" s="38">
        <f t="shared" si="3"/>
        <v>-5</v>
      </c>
    </row>
    <row r="61" spans="1:8" ht="17.25" customHeight="1">
      <c r="A61" s="35" t="s">
        <v>44</v>
      </c>
      <c r="B61" s="39" t="s">
        <v>45</v>
      </c>
      <c r="C61" s="37">
        <v>2.7090000000000001</v>
      </c>
      <c r="D61" s="37">
        <v>2.7084999999999999</v>
      </c>
      <c r="E61" s="38">
        <f t="shared" si="4"/>
        <v>99.981543004798809</v>
      </c>
      <c r="F61" s="38">
        <f t="shared" si="3"/>
        <v>-5.0000000000016698E-4</v>
      </c>
    </row>
    <row r="62" spans="1:8" s="6" customFormat="1" ht="17.850000000000001" customHeight="1">
      <c r="A62" s="41" t="s">
        <v>46</v>
      </c>
      <c r="B62" s="42" t="s">
        <v>47</v>
      </c>
      <c r="C62" s="32">
        <f>C63</f>
        <v>70.594999999999999</v>
      </c>
      <c r="D62" s="32">
        <f>D63</f>
        <v>54.679189999999998</v>
      </c>
      <c r="E62" s="34">
        <f t="shared" si="4"/>
        <v>77.454763085204334</v>
      </c>
      <c r="F62" s="34">
        <f t="shared" si="3"/>
        <v>-15.91581</v>
      </c>
    </row>
    <row r="63" spans="1:8" ht="17.850000000000001" customHeight="1">
      <c r="A63" s="43" t="s">
        <v>48</v>
      </c>
      <c r="B63" s="44" t="s">
        <v>49</v>
      </c>
      <c r="C63" s="37">
        <v>70.594999999999999</v>
      </c>
      <c r="D63" s="37">
        <v>54.679189999999998</v>
      </c>
      <c r="E63" s="38">
        <f t="shared" si="4"/>
        <v>77.454763085204334</v>
      </c>
      <c r="F63" s="38">
        <f t="shared" si="3"/>
        <v>-15.91581</v>
      </c>
    </row>
    <row r="64" spans="1:8" s="6" customFormat="1" ht="17.25" customHeight="1">
      <c r="A64" s="30" t="s">
        <v>50</v>
      </c>
      <c r="B64" s="31" t="s">
        <v>51</v>
      </c>
      <c r="C64" s="32">
        <f>C67+C68</f>
        <v>4.8029999999999999</v>
      </c>
      <c r="D64" s="32">
        <f>SUM(D65:D67)</f>
        <v>2</v>
      </c>
      <c r="E64" s="34">
        <f t="shared" si="4"/>
        <v>41.640641265875495</v>
      </c>
      <c r="F64" s="34">
        <f t="shared" si="3"/>
        <v>-2.8029999999999999</v>
      </c>
    </row>
    <row r="65" spans="1:7" ht="17.25" hidden="1" customHeight="1">
      <c r="A65" s="35" t="s">
        <v>52</v>
      </c>
      <c r="B65" s="39" t="s">
        <v>53</v>
      </c>
      <c r="C65" s="37"/>
      <c r="D65" s="37"/>
      <c r="E65" s="34" t="e">
        <f t="shared" si="4"/>
        <v>#DIV/0!</v>
      </c>
      <c r="F65" s="34">
        <f t="shared" si="3"/>
        <v>0</v>
      </c>
    </row>
    <row r="66" spans="1:7" ht="17.25" hidden="1" customHeight="1">
      <c r="A66" s="45" t="s">
        <v>54</v>
      </c>
      <c r="B66" s="39" t="s">
        <v>55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t="18" customHeight="1">
      <c r="A67" s="46" t="s">
        <v>56</v>
      </c>
      <c r="B67" s="47" t="s">
        <v>57</v>
      </c>
      <c r="C67" s="37">
        <v>2.8029999999999999</v>
      </c>
      <c r="D67" s="37">
        <v>2</v>
      </c>
      <c r="E67" s="34">
        <f t="shared" si="4"/>
        <v>71.352122725651085</v>
      </c>
      <c r="F67" s="34">
        <f t="shared" si="3"/>
        <v>-0.80299999999999994</v>
      </c>
    </row>
    <row r="68" spans="1:7" ht="18" customHeight="1">
      <c r="A68" s="46" t="s">
        <v>219</v>
      </c>
      <c r="B68" s="47" t="s">
        <v>220</v>
      </c>
      <c r="C68" s="37">
        <v>2</v>
      </c>
      <c r="D68" s="37">
        <v>0</v>
      </c>
      <c r="E68" s="38">
        <f t="shared" si="4"/>
        <v>0</v>
      </c>
      <c r="F68" s="38">
        <f t="shared" si="3"/>
        <v>-2</v>
      </c>
    </row>
    <row r="69" spans="1:7" s="6" customFormat="1" ht="15.75" customHeight="1">
      <c r="A69" s="30" t="s">
        <v>58</v>
      </c>
      <c r="B69" s="31" t="s">
        <v>59</v>
      </c>
      <c r="C69" s="48">
        <f>SUM(C70:C73)</f>
        <v>906.68255999999997</v>
      </c>
      <c r="D69" s="48">
        <f>D70+D71+D72+D73</f>
        <v>758.28727000000003</v>
      </c>
      <c r="E69" s="34">
        <f t="shared" si="4"/>
        <v>83.633159327560023</v>
      </c>
      <c r="F69" s="34">
        <f t="shared" si="3"/>
        <v>-148.39528999999993</v>
      </c>
    </row>
    <row r="70" spans="1:7" ht="16.5" customHeight="1">
      <c r="A70" s="35" t="s">
        <v>60</v>
      </c>
      <c r="B70" s="39" t="s">
        <v>61</v>
      </c>
      <c r="C70" s="49">
        <v>7.5</v>
      </c>
      <c r="D70" s="37">
        <v>0</v>
      </c>
      <c r="E70" s="38">
        <f t="shared" si="4"/>
        <v>0</v>
      </c>
      <c r="F70" s="38">
        <f t="shared" si="3"/>
        <v>-7.5</v>
      </c>
    </row>
    <row r="71" spans="1:7" s="6" customFormat="1" ht="19.5" hidden="1" customHeight="1">
      <c r="A71" s="35" t="s">
        <v>62</v>
      </c>
      <c r="B71" s="39" t="s">
        <v>63</v>
      </c>
      <c r="C71" s="49">
        <v>0</v>
      </c>
      <c r="D71" s="37">
        <v>0</v>
      </c>
      <c r="E71" s="38" t="e">
        <f t="shared" si="4"/>
        <v>#DIV/0!</v>
      </c>
      <c r="F71" s="38">
        <f t="shared" si="3"/>
        <v>0</v>
      </c>
      <c r="G71" s="50"/>
    </row>
    <row r="72" spans="1:7" ht="17.25" customHeight="1">
      <c r="A72" s="35" t="s">
        <v>64</v>
      </c>
      <c r="B72" s="39" t="s">
        <v>65</v>
      </c>
      <c r="C72" s="49">
        <v>879.18255999999997</v>
      </c>
      <c r="D72" s="37">
        <v>757.28727000000003</v>
      </c>
      <c r="E72" s="38">
        <f t="shared" si="4"/>
        <v>86.135383531720649</v>
      </c>
      <c r="F72" s="38">
        <f t="shared" si="3"/>
        <v>-121.89528999999993</v>
      </c>
    </row>
    <row r="73" spans="1:7" ht="15.75" customHeight="1">
      <c r="A73" s="35" t="s">
        <v>66</v>
      </c>
      <c r="B73" s="39" t="s">
        <v>67</v>
      </c>
      <c r="C73" s="49">
        <v>20</v>
      </c>
      <c r="D73" s="37">
        <v>1</v>
      </c>
      <c r="E73" s="38">
        <f t="shared" si="4"/>
        <v>5</v>
      </c>
      <c r="F73" s="38">
        <f t="shared" si="3"/>
        <v>-19</v>
      </c>
    </row>
    <row r="74" spans="1:7" s="6" customFormat="1" ht="18" customHeight="1">
      <c r="A74" s="30" t="s">
        <v>68</v>
      </c>
      <c r="B74" s="31" t="s">
        <v>69</v>
      </c>
      <c r="C74" s="32">
        <f>SUM(C75:C77)</f>
        <v>186.208</v>
      </c>
      <c r="D74" s="32">
        <f>D77</f>
        <v>122.06634</v>
      </c>
      <c r="E74" s="34">
        <f t="shared" si="4"/>
        <v>65.553757088846879</v>
      </c>
      <c r="F74" s="34">
        <f t="shared" si="3"/>
        <v>-64.141660000000002</v>
      </c>
    </row>
    <row r="75" spans="1:7" ht="15.75" hidden="1" customHeight="1">
      <c r="A75" s="35" t="s">
        <v>70</v>
      </c>
      <c r="B75" s="51" t="s">
        <v>71</v>
      </c>
      <c r="C75" s="37">
        <v>0</v>
      </c>
      <c r="D75" s="37">
        <v>0</v>
      </c>
      <c r="E75" s="38" t="e">
        <f t="shared" si="4"/>
        <v>#DIV/0!</v>
      </c>
      <c r="F75" s="38">
        <f t="shared" si="3"/>
        <v>0</v>
      </c>
    </row>
    <row r="76" spans="1:7" ht="15.75" hidden="1" customHeight="1">
      <c r="A76" s="35" t="s">
        <v>72</v>
      </c>
      <c r="B76" s="51" t="s">
        <v>73</v>
      </c>
      <c r="C76" s="37">
        <v>0</v>
      </c>
      <c r="D76" s="37"/>
      <c r="E76" s="38" t="e">
        <f t="shared" si="4"/>
        <v>#DIV/0!</v>
      </c>
      <c r="F76" s="38">
        <f t="shared" si="3"/>
        <v>0</v>
      </c>
    </row>
    <row r="77" spans="1:7" ht="17.850000000000001" customHeight="1">
      <c r="A77" s="35" t="s">
        <v>74</v>
      </c>
      <c r="B77" s="39" t="s">
        <v>75</v>
      </c>
      <c r="C77" s="37">
        <v>186.208</v>
      </c>
      <c r="D77" s="37">
        <v>122.06634</v>
      </c>
      <c r="E77" s="38">
        <f t="shared" si="4"/>
        <v>65.553757088846879</v>
      </c>
      <c r="F77" s="38">
        <f t="shared" si="3"/>
        <v>-64.141660000000002</v>
      </c>
    </row>
    <row r="78" spans="1:7" s="6" customFormat="1" ht="17.850000000000001" customHeight="1">
      <c r="A78" s="30" t="s">
        <v>86</v>
      </c>
      <c r="B78" s="31" t="s">
        <v>87</v>
      </c>
      <c r="C78" s="32">
        <f>C79</f>
        <v>1477.7</v>
      </c>
      <c r="D78" s="32">
        <f>D79</f>
        <v>1049</v>
      </c>
      <c r="E78" s="34">
        <f t="shared" si="4"/>
        <v>70.988698653312582</v>
      </c>
      <c r="F78" s="34">
        <f t="shared" si="3"/>
        <v>-428.70000000000005</v>
      </c>
    </row>
    <row r="79" spans="1:7" ht="15" customHeight="1">
      <c r="A79" s="35" t="s">
        <v>88</v>
      </c>
      <c r="B79" s="39" t="s">
        <v>234</v>
      </c>
      <c r="C79" s="37">
        <v>1477.7</v>
      </c>
      <c r="D79" s="37">
        <v>1049</v>
      </c>
      <c r="E79" s="38">
        <f t="shared" si="4"/>
        <v>70.988698653312582</v>
      </c>
      <c r="F79" s="38">
        <f t="shared" si="3"/>
        <v>-428.70000000000005</v>
      </c>
    </row>
    <row r="80" spans="1:7" s="6" customFormat="1" ht="0.75" hidden="1" customHeight="1">
      <c r="A80" s="52">
        <v>1000</v>
      </c>
      <c r="B80" s="31" t="s">
        <v>89</v>
      </c>
      <c r="C80" s="32">
        <f>SUM(C81:C84)</f>
        <v>0</v>
      </c>
      <c r="D80" s="32">
        <f>SUM(D81:D84)</f>
        <v>0</v>
      </c>
      <c r="E80" s="34" t="e">
        <f t="shared" si="4"/>
        <v>#DIV/0!</v>
      </c>
      <c r="F80" s="34">
        <f t="shared" si="3"/>
        <v>0</v>
      </c>
    </row>
    <row r="81" spans="1:6" ht="0.75" hidden="1" customHeight="1">
      <c r="A81" s="53">
        <v>1001</v>
      </c>
      <c r="B81" s="54" t="s">
        <v>90</v>
      </c>
      <c r="C81" s="37"/>
      <c r="D81" s="37"/>
      <c r="E81" s="38" t="e">
        <f t="shared" si="4"/>
        <v>#DIV/0!</v>
      </c>
      <c r="F81" s="38">
        <f t="shared" si="3"/>
        <v>0</v>
      </c>
    </row>
    <row r="82" spans="1:6" ht="17.25" hidden="1" customHeight="1">
      <c r="A82" s="53">
        <v>1003</v>
      </c>
      <c r="B82" s="54" t="s">
        <v>91</v>
      </c>
      <c r="C82" s="37">
        <v>0</v>
      </c>
      <c r="D82" s="37">
        <v>0</v>
      </c>
      <c r="E82" s="38" t="e">
        <f t="shared" si="4"/>
        <v>#DIV/0!</v>
      </c>
      <c r="F82" s="38">
        <f t="shared" si="3"/>
        <v>0</v>
      </c>
    </row>
    <row r="83" spans="1:6" ht="17.25" hidden="1" customHeight="1">
      <c r="A83" s="53">
        <v>1004</v>
      </c>
      <c r="B83" s="54" t="s">
        <v>92</v>
      </c>
      <c r="C83" s="37"/>
      <c r="D83" s="55"/>
      <c r="E83" s="38" t="e">
        <f t="shared" si="4"/>
        <v>#DIV/0!</v>
      </c>
      <c r="F83" s="38">
        <f t="shared" si="3"/>
        <v>0</v>
      </c>
    </row>
    <row r="84" spans="1:6" ht="17.25" hidden="1" customHeight="1">
      <c r="A84" s="35" t="s">
        <v>93</v>
      </c>
      <c r="B84" s="39" t="s">
        <v>94</v>
      </c>
      <c r="C84" s="37">
        <v>0</v>
      </c>
      <c r="D84" s="37">
        <v>0</v>
      </c>
      <c r="E84" s="38"/>
      <c r="F84" s="38">
        <f t="shared" si="3"/>
        <v>0</v>
      </c>
    </row>
    <row r="85" spans="1:6" ht="17.850000000000001" customHeight="1">
      <c r="A85" s="30" t="s">
        <v>95</v>
      </c>
      <c r="B85" s="31" t="s">
        <v>96</v>
      </c>
      <c r="C85" s="32">
        <f>C86+C87+C88+C89+C90</f>
        <v>3</v>
      </c>
      <c r="D85" s="32">
        <f>D86+D87+D88+D89+D90</f>
        <v>2</v>
      </c>
      <c r="E85" s="38">
        <f t="shared" si="4"/>
        <v>66.666666666666657</v>
      </c>
      <c r="F85" s="22">
        <f>F86+F87+F88+F89+F90</f>
        <v>-1</v>
      </c>
    </row>
    <row r="86" spans="1:6" ht="17.25" customHeight="1">
      <c r="A86" s="35" t="s">
        <v>97</v>
      </c>
      <c r="B86" s="39" t="s">
        <v>98</v>
      </c>
      <c r="C86" s="37">
        <v>3</v>
      </c>
      <c r="D86" s="37">
        <v>2</v>
      </c>
      <c r="E86" s="38">
        <f t="shared" si="4"/>
        <v>66.666666666666657</v>
      </c>
      <c r="F86" s="38">
        <f>SUM(D86-C86)</f>
        <v>-1</v>
      </c>
    </row>
    <row r="87" spans="1:6" ht="15.75" hidden="1" customHeight="1">
      <c r="A87" s="35" t="s">
        <v>99</v>
      </c>
      <c r="B87" s="39" t="s">
        <v>100</v>
      </c>
      <c r="C87" s="37"/>
      <c r="D87" s="37"/>
      <c r="E87" s="38" t="e">
        <f t="shared" si="4"/>
        <v>#DIV/0!</v>
      </c>
      <c r="F87" s="38">
        <f>SUM(D87-C87)</f>
        <v>0</v>
      </c>
    </row>
    <row r="88" spans="1:6" ht="15.75" hidden="1" customHeight="1">
      <c r="A88" s="35" t="s">
        <v>101</v>
      </c>
      <c r="B88" s="39" t="s">
        <v>102</v>
      </c>
      <c r="C88" s="37"/>
      <c r="D88" s="37"/>
      <c r="E88" s="38" t="e">
        <f t="shared" si="4"/>
        <v>#DIV/0!</v>
      </c>
      <c r="F88" s="38"/>
    </row>
    <row r="89" spans="1:6" ht="15.75" hidden="1" customHeight="1">
      <c r="A89" s="35" t="s">
        <v>103</v>
      </c>
      <c r="B89" s="39" t="s">
        <v>104</v>
      </c>
      <c r="C89" s="37"/>
      <c r="D89" s="37"/>
      <c r="E89" s="38" t="e">
        <f t="shared" si="4"/>
        <v>#DIV/0!</v>
      </c>
      <c r="F89" s="38"/>
    </row>
    <row r="90" spans="1:6" ht="15.75" hidden="1" customHeight="1">
      <c r="A90" s="35" t="s">
        <v>105</v>
      </c>
      <c r="B90" s="39" t="s">
        <v>106</v>
      </c>
      <c r="C90" s="37"/>
      <c r="D90" s="37"/>
      <c r="E90" s="38" t="e">
        <f t="shared" si="4"/>
        <v>#DIV/0!</v>
      </c>
      <c r="F90" s="38"/>
    </row>
    <row r="91" spans="1:6" s="6" customFormat="1" ht="15.75" hidden="1" customHeight="1">
      <c r="A91" s="52">
        <v>1400</v>
      </c>
      <c r="B91" s="56" t="s">
        <v>115</v>
      </c>
      <c r="C91" s="48">
        <f>C92+C93+C94</f>
        <v>0</v>
      </c>
      <c r="D91" s="48">
        <f>SUM(D92:D94)</f>
        <v>0</v>
      </c>
      <c r="E91" s="34" t="e">
        <f t="shared" si="4"/>
        <v>#DIV/0!</v>
      </c>
      <c r="F91" s="34">
        <f t="shared" si="3"/>
        <v>0</v>
      </c>
    </row>
    <row r="92" spans="1:6" ht="15.75" hidden="1" customHeight="1">
      <c r="A92" s="53">
        <v>1401</v>
      </c>
      <c r="B92" s="54" t="s">
        <v>116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6" ht="18" hidden="1" customHeight="1">
      <c r="A93" s="53">
        <v>1402</v>
      </c>
      <c r="B93" s="54" t="s">
        <v>117</v>
      </c>
      <c r="C93" s="239"/>
      <c r="D93" s="240"/>
      <c r="E93" s="38" t="e">
        <f t="shared" si="4"/>
        <v>#DIV/0!</v>
      </c>
      <c r="F93" s="38">
        <f t="shared" si="3"/>
        <v>0</v>
      </c>
    </row>
    <row r="94" spans="1:6" ht="15.75" hidden="1" customHeight="1">
      <c r="A94" s="53">
        <v>1403</v>
      </c>
      <c r="B94" s="54" t="s">
        <v>118</v>
      </c>
      <c r="C94" s="49">
        <v>0</v>
      </c>
      <c r="D94" s="37">
        <v>0</v>
      </c>
      <c r="E94" s="38" t="e">
        <f t="shared" si="4"/>
        <v>#DIV/0!</v>
      </c>
      <c r="F94" s="38">
        <f t="shared" si="3"/>
        <v>0</v>
      </c>
    </row>
    <row r="95" spans="1:6" s="6" customFormat="1" ht="16.5" customHeight="1">
      <c r="A95" s="52"/>
      <c r="B95" s="57" t="s">
        <v>119</v>
      </c>
      <c r="C95" s="102">
        <f>C54+C62+C64+C69+C74+C78+C80+C85+C91</f>
        <v>3784.7935600000001</v>
      </c>
      <c r="D95" s="102">
        <f>D54+D62+D64+D69+D74+D78+D85</f>
        <v>2700.5719200000003</v>
      </c>
      <c r="E95" s="34">
        <f t="shared" si="4"/>
        <v>71.353215893761984</v>
      </c>
      <c r="F95" s="34">
        <f t="shared" si="3"/>
        <v>-1084.2216399999998</v>
      </c>
    </row>
    <row r="96" spans="1:6" ht="20.25" customHeight="1">
      <c r="C96" s="126"/>
      <c r="D96" s="101"/>
    </row>
    <row r="97" spans="1:4" s="65" customFormat="1" ht="13.5" customHeight="1">
      <c r="A97" s="63" t="s">
        <v>120</v>
      </c>
      <c r="B97" s="63"/>
      <c r="C97" s="116"/>
      <c r="D97" s="64"/>
    </row>
    <row r="98" spans="1:4" s="65" customFormat="1" ht="12.75">
      <c r="A98" s="66" t="s">
        <v>121</v>
      </c>
      <c r="B98" s="66"/>
      <c r="C98" s="134" t="s">
        <v>122</v>
      </c>
      <c r="D98" s="134"/>
    </row>
    <row r="99" spans="1:4" ht="5.25" customHeight="1">
      <c r="C99" s="120"/>
    </row>
    <row r="141" hidden="1"/>
  </sheetData>
  <customSheetViews>
    <customSheetView guid="{8E17DC23-BE06-48DD-840B-6DD85B9E86D1}" scale="70" showPageBreaks="1" hiddenRows="1" view="pageBreakPreview" topLeftCell="A18">
      <selection activeCell="D37" activeCellId="3" sqref="C95:D95 C49:D49 C38 D37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 topLeftCell="A18">
      <selection activeCell="C43" sqref="C43"/>
      <pageMargins left="0.7" right="0.7" top="0.75" bottom="0.75" header="0.3" footer="0.3"/>
      <pageSetup paperSize="9" scale="60" orientation="portrait" r:id="rId2"/>
    </customSheetView>
    <customSheetView guid="{3DCB9AAA-F09C-4EA6-B992-F93E466D374A}" hiddenRows="1" topLeftCell="A18">
      <selection activeCell="C43" sqref="C43"/>
      <pageMargins left="0.7" right="0.7" top="0.75" bottom="0.75" header="0.3" footer="0.3"/>
      <pageSetup paperSize="9" scale="60" orientation="portrait" r:id="rId3"/>
    </customSheetView>
    <customSheetView guid="{1718F1EE-9F48-4DBE-9531-3B70F9C4A5DD}" scale="70" showPageBreaks="1" hiddenRows="1" view="pageBreakPreview" topLeftCell="A41">
      <selection activeCell="C95" sqref="C95:D95"/>
      <pageMargins left="0.7" right="0.7" top="0.75" bottom="0.75" header="0.3" footer="0.3"/>
      <pageSetup paperSize="9" scale="42" orientation="portrait" r:id="rId4"/>
    </customSheetView>
    <customSheetView guid="{42584DC0-1D41-4C93-9B38-C388E7B8DAC4}" scale="70" showPageBreaks="1" hiddenRows="1" view="pageBreakPreview" topLeftCell="A45">
      <selection activeCell="C95" sqref="C95:D95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5">
      <selection activeCell="D86" sqref="D86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18">
      <selection activeCell="D37" activeCellId="3" sqref="C95:D95 C49:D49 C38 D37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G141"/>
  <sheetViews>
    <sheetView view="pageBreakPreview" topLeftCell="A50" zoomScale="70" zoomScaleNormal="100" zoomScaleSheetLayoutView="70" workbookViewId="0">
      <selection activeCell="C97" sqref="C97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5.7109375" style="62" customWidth="1"/>
    <col min="5" max="5" width="12.5703125" style="62" customWidth="1"/>
    <col min="6" max="6" width="9.855468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428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C5+C12+C17+C7+C14</f>
        <v>1019.12</v>
      </c>
      <c r="D4" s="5">
        <f>D5+D12+D14+D17+D20+D7</f>
        <v>836.09104000000002</v>
      </c>
      <c r="E4" s="5">
        <f>SUM(D4/C4*100)</f>
        <v>82.040489834366909</v>
      </c>
      <c r="F4" s="5">
        <f>SUM(D4-C4)</f>
        <v>-183.02895999999998</v>
      </c>
    </row>
    <row r="5" spans="1:6" s="6" customFormat="1">
      <c r="A5" s="68">
        <v>1010000000</v>
      </c>
      <c r="B5" s="67" t="s">
        <v>6</v>
      </c>
      <c r="C5" s="5">
        <f>C6</f>
        <v>95.3</v>
      </c>
      <c r="D5" s="5">
        <f>D6</f>
        <v>63.22296</v>
      </c>
      <c r="E5" s="5">
        <f t="shared" ref="E5:E51" si="0">SUM(D5/C5*100)</f>
        <v>66.340986358866743</v>
      </c>
      <c r="F5" s="5">
        <f t="shared" ref="F5:F51" si="1">SUM(D5-C5)</f>
        <v>-32.077039999999997</v>
      </c>
    </row>
    <row r="6" spans="1:6">
      <c r="A6" s="7">
        <v>1010200001</v>
      </c>
      <c r="B6" s="8" t="s">
        <v>229</v>
      </c>
      <c r="C6" s="9">
        <v>95.3</v>
      </c>
      <c r="D6" s="10">
        <v>63.22296</v>
      </c>
      <c r="E6" s="9">
        <f t="shared" ref="E6:E11" si="2">SUM(D6/C6*100)</f>
        <v>66.340986358866743</v>
      </c>
      <c r="F6" s="9">
        <f t="shared" si="1"/>
        <v>-32.077039999999997</v>
      </c>
    </row>
    <row r="7" spans="1:6" ht="31.5">
      <c r="A7" s="3">
        <v>1030000000</v>
      </c>
      <c r="B7" s="13" t="s">
        <v>281</v>
      </c>
      <c r="C7" s="5">
        <f>C8+C10+C9</f>
        <v>313.82</v>
      </c>
      <c r="D7" s="5">
        <f>D8+D10+D9+D11</f>
        <v>274.26542000000001</v>
      </c>
      <c r="E7" s="9">
        <f t="shared" si="2"/>
        <v>87.395774647887322</v>
      </c>
      <c r="F7" s="9">
        <f t="shared" si="1"/>
        <v>-39.554579999999987</v>
      </c>
    </row>
    <row r="8" spans="1:6">
      <c r="A8" s="7">
        <v>1030223001</v>
      </c>
      <c r="B8" s="8" t="s">
        <v>283</v>
      </c>
      <c r="C8" s="9">
        <v>117.05</v>
      </c>
      <c r="D8" s="10">
        <v>120.9726</v>
      </c>
      <c r="E8" s="9">
        <f t="shared" si="2"/>
        <v>103.35121742844939</v>
      </c>
      <c r="F8" s="9">
        <f t="shared" si="1"/>
        <v>3.9226000000000028</v>
      </c>
    </row>
    <row r="9" spans="1:6">
      <c r="A9" s="7">
        <v>1030224001</v>
      </c>
      <c r="B9" s="8" t="s">
        <v>289</v>
      </c>
      <c r="C9" s="9">
        <v>1.26</v>
      </c>
      <c r="D9" s="10">
        <v>1.1223799999999999</v>
      </c>
      <c r="E9" s="9">
        <f t="shared" si="2"/>
        <v>89.077777777777769</v>
      </c>
      <c r="F9" s="9">
        <f t="shared" si="1"/>
        <v>-0.13762000000000008</v>
      </c>
    </row>
    <row r="10" spans="1:6">
      <c r="A10" s="7">
        <v>1030225001</v>
      </c>
      <c r="B10" s="8" t="s">
        <v>282</v>
      </c>
      <c r="C10" s="9">
        <v>195.51</v>
      </c>
      <c r="D10" s="10">
        <v>179.49589</v>
      </c>
      <c r="E10" s="9">
        <f t="shared" si="2"/>
        <v>91.809058360186185</v>
      </c>
      <c r="F10" s="9">
        <f t="shared" si="1"/>
        <v>-16.014109999999988</v>
      </c>
    </row>
    <row r="11" spans="1:6">
      <c r="A11" s="7">
        <v>1030226001</v>
      </c>
      <c r="B11" s="8" t="s">
        <v>291</v>
      </c>
      <c r="C11" s="9">
        <v>0</v>
      </c>
      <c r="D11" s="10">
        <v>-27.32545</v>
      </c>
      <c r="E11" s="9" t="e">
        <f t="shared" si="2"/>
        <v>#DIV/0!</v>
      </c>
      <c r="F11" s="9">
        <f t="shared" si="1"/>
        <v>-27.32545</v>
      </c>
    </row>
    <row r="12" spans="1:6" s="6" customFormat="1">
      <c r="A12" s="68">
        <v>1050000000</v>
      </c>
      <c r="B12" s="67" t="s">
        <v>7</v>
      </c>
      <c r="C12" s="5">
        <f>SUM(C13:C13)</f>
        <v>65</v>
      </c>
      <c r="D12" s="5">
        <f>SUM(D13:D13)</f>
        <v>82.355969999999999</v>
      </c>
      <c r="E12" s="5">
        <f t="shared" si="0"/>
        <v>126.70149230769229</v>
      </c>
      <c r="F12" s="5">
        <f t="shared" si="1"/>
        <v>17.355969999999999</v>
      </c>
    </row>
    <row r="13" spans="1:6" ht="15.75" customHeight="1">
      <c r="A13" s="7">
        <v>1050300000</v>
      </c>
      <c r="B13" s="11" t="s">
        <v>230</v>
      </c>
      <c r="C13" s="12">
        <v>65</v>
      </c>
      <c r="D13" s="10">
        <v>82.355969999999999</v>
      </c>
      <c r="E13" s="9">
        <f t="shared" si="0"/>
        <v>126.70149230769229</v>
      </c>
      <c r="F13" s="9">
        <f t="shared" si="1"/>
        <v>17.355969999999999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535</v>
      </c>
      <c r="D14" s="5">
        <f>D15+D16</f>
        <v>407.34668999999997</v>
      </c>
      <c r="E14" s="9">
        <f t="shared" si="0"/>
        <v>76.139568224299055</v>
      </c>
      <c r="F14" s="9">
        <f t="shared" si="1"/>
        <v>-127.65331000000003</v>
      </c>
    </row>
    <row r="15" spans="1:6" s="6" customFormat="1" ht="15.75" customHeight="1">
      <c r="A15" s="7">
        <v>1060100000</v>
      </c>
      <c r="B15" s="11" t="s">
        <v>9</v>
      </c>
      <c r="C15" s="278">
        <v>75</v>
      </c>
      <c r="D15" s="10">
        <v>64.304720000000003</v>
      </c>
      <c r="E15" s="9">
        <f>SUM(D15/C15*100)</f>
        <v>85.739626666666666</v>
      </c>
      <c r="F15" s="9">
        <f>SUM(D15-C14)</f>
        <v>-470.69528000000003</v>
      </c>
    </row>
    <row r="16" spans="1:6" ht="15.75" customHeight="1">
      <c r="A16" s="7">
        <v>1060600000</v>
      </c>
      <c r="B16" s="11" t="s">
        <v>8</v>
      </c>
      <c r="C16" s="9">
        <v>460</v>
      </c>
      <c r="D16" s="10">
        <v>343.04196999999999</v>
      </c>
      <c r="E16" s="9">
        <f t="shared" si="0"/>
        <v>74.574341304347826</v>
      </c>
      <c r="F16" s="9">
        <f t="shared" si="1"/>
        <v>-116.95803000000001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8.9</v>
      </c>
      <c r="E17" s="5">
        <f t="shared" si="0"/>
        <v>89</v>
      </c>
      <c r="F17" s="5">
        <f t="shared" si="1"/>
        <v>-1.0999999999999996</v>
      </c>
    </row>
    <row r="18" spans="1:6" ht="18.75" customHeight="1">
      <c r="A18" s="7">
        <v>1080400001</v>
      </c>
      <c r="B18" s="8" t="s">
        <v>228</v>
      </c>
      <c r="C18" s="9">
        <v>10</v>
      </c>
      <c r="D18" s="10">
        <v>8.9</v>
      </c>
      <c r="E18" s="9">
        <f t="shared" si="0"/>
        <v>89</v>
      </c>
      <c r="F18" s="9">
        <f t="shared" si="1"/>
        <v>-1.0999999999999996</v>
      </c>
    </row>
    <row r="19" spans="1:6" ht="15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0.75" hidden="1" customHeight="1">
      <c r="A20" s="68">
        <v>1090000000</v>
      </c>
      <c r="B20" s="69" t="s">
        <v>231</v>
      </c>
      <c r="C20" s="5">
        <f>C21+C22+C23+C24</f>
        <v>0</v>
      </c>
      <c r="D20" s="5">
        <f>D22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6.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.7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.75" customHeight="1">
      <c r="A25" s="3"/>
      <c r="B25" s="4" t="s">
        <v>13</v>
      </c>
      <c r="C25" s="5">
        <f>C26+C29+C31+C37+C34</f>
        <v>107</v>
      </c>
      <c r="D25" s="5">
        <f>D26+D29+D31+D37-D34</f>
        <v>64.915269999999992</v>
      </c>
      <c r="E25" s="5">
        <f t="shared" si="0"/>
        <v>60.668476635514011</v>
      </c>
      <c r="F25" s="5">
        <f t="shared" si="1"/>
        <v>-42.084730000000008</v>
      </c>
    </row>
    <row r="26" spans="1:6" s="6" customFormat="1" ht="15.75" customHeight="1">
      <c r="A26" s="68">
        <v>1110000000</v>
      </c>
      <c r="B26" s="69" t="s">
        <v>129</v>
      </c>
      <c r="C26" s="5">
        <f>C27+C28</f>
        <v>82</v>
      </c>
      <c r="D26" s="5">
        <f>D27+D28</f>
        <v>33.747</v>
      </c>
      <c r="E26" s="5">
        <f t="shared" si="0"/>
        <v>41.154878048780489</v>
      </c>
      <c r="F26" s="5">
        <f t="shared" si="1"/>
        <v>-48.253</v>
      </c>
    </row>
    <row r="27" spans="1:6" ht="15.75" customHeight="1">
      <c r="A27" s="16">
        <v>1110502510</v>
      </c>
      <c r="B27" s="17" t="s">
        <v>226</v>
      </c>
      <c r="C27" s="12">
        <v>80</v>
      </c>
      <c r="D27" s="10">
        <v>33.747</v>
      </c>
      <c r="E27" s="9">
        <f t="shared" si="0"/>
        <v>42.183749999999996</v>
      </c>
      <c r="F27" s="9">
        <f t="shared" si="1"/>
        <v>-46.253</v>
      </c>
    </row>
    <row r="28" spans="1:6" ht="17.25" customHeight="1">
      <c r="A28" s="7">
        <v>1110503505</v>
      </c>
      <c r="B28" s="11" t="s">
        <v>225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33.75" customHeight="1">
      <c r="A29" s="68">
        <v>1130000000</v>
      </c>
      <c r="B29" s="69" t="s">
        <v>131</v>
      </c>
      <c r="C29" s="5">
        <f>C30</f>
        <v>25</v>
      </c>
      <c r="D29" s="5">
        <f>D30</f>
        <v>31.169429999999998</v>
      </c>
      <c r="E29" s="5">
        <f t="shared" si="0"/>
        <v>124.67771999999999</v>
      </c>
      <c r="F29" s="5">
        <f t="shared" si="1"/>
        <v>6.1694299999999984</v>
      </c>
    </row>
    <row r="30" spans="1:6" ht="17.25" customHeight="1">
      <c r="A30" s="7">
        <v>1130206005</v>
      </c>
      <c r="B30" s="8" t="s">
        <v>224</v>
      </c>
      <c r="C30" s="9">
        <v>25</v>
      </c>
      <c r="D30" s="10">
        <v>31.169429999999998</v>
      </c>
      <c r="E30" s="9">
        <f t="shared" si="0"/>
        <v>124.67771999999999</v>
      </c>
      <c r="F30" s="9">
        <f t="shared" si="1"/>
        <v>6.1694299999999984</v>
      </c>
    </row>
    <row r="31" spans="1:6" ht="22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7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8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8" hidden="1" customHeight="1">
      <c r="A34" s="3">
        <v>1160000000</v>
      </c>
      <c r="B34" s="13" t="s">
        <v>252</v>
      </c>
      <c r="C34" s="14">
        <f>C35</f>
        <v>0</v>
      </c>
      <c r="D34" s="14">
        <f>D35+D36</f>
        <v>0</v>
      </c>
      <c r="E34" s="14" t="e">
        <f>E35</f>
        <v>#DIV/0!</v>
      </c>
      <c r="F34" s="14">
        <f>F35</f>
        <v>-1.16E-3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10" t="e">
        <f>E37</f>
        <v>#DIV/0!</v>
      </c>
      <c r="F35" s="10">
        <f>F37</f>
        <v>-1.16E-3</v>
      </c>
    </row>
    <row r="36" spans="1:7" ht="47.25" hidden="1">
      <c r="A36" s="7">
        <v>1169005010</v>
      </c>
      <c r="B36" s="8" t="s">
        <v>343</v>
      </c>
      <c r="C36" s="9">
        <v>0</v>
      </c>
      <c r="D36" s="10">
        <v>0</v>
      </c>
      <c r="E36" s="10" t="e">
        <f>E38</f>
        <v>#DIV/0!</v>
      </c>
      <c r="F36" s="10">
        <f>F38</f>
        <v>-1.16E-3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-1.16E-3</v>
      </c>
      <c r="E37" s="9" t="e">
        <f t="shared" si="0"/>
        <v>#DIV/0!</v>
      </c>
      <c r="F37" s="5">
        <f t="shared" si="1"/>
        <v>-1.16E-3</v>
      </c>
    </row>
    <row r="38" spans="1:7">
      <c r="A38" s="7">
        <v>1170105005</v>
      </c>
      <c r="B38" s="8" t="s">
        <v>18</v>
      </c>
      <c r="C38" s="9">
        <v>0</v>
      </c>
      <c r="D38" s="9">
        <f>-1.16/1000</f>
        <v>-1.16E-3</v>
      </c>
      <c r="E38" s="9" t="e">
        <f t="shared" si="0"/>
        <v>#DIV/0!</v>
      </c>
      <c r="F38" s="9">
        <f t="shared" si="1"/>
        <v>-1.16E-3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7.25" customHeight="1">
      <c r="A40" s="3">
        <v>1000000000</v>
      </c>
      <c r="B40" s="4" t="s">
        <v>19</v>
      </c>
      <c r="C40" s="127">
        <f>SUM(C4,C25)</f>
        <v>1126.1199999999999</v>
      </c>
      <c r="D40" s="127">
        <f>D4+D25</f>
        <v>901.00630999999998</v>
      </c>
      <c r="E40" s="5">
        <f t="shared" si="0"/>
        <v>80.009795581287975</v>
      </c>
      <c r="F40" s="5">
        <f t="shared" si="1"/>
        <v>-225.11368999999991</v>
      </c>
    </row>
    <row r="41" spans="1:7" s="6" customFormat="1">
      <c r="A41" s="3">
        <v>2000000000</v>
      </c>
      <c r="B41" s="4" t="s">
        <v>20</v>
      </c>
      <c r="C41" s="5">
        <f>C42+C44+C45+C46+C47+C48+C43+C50</f>
        <v>2587.5070000000001</v>
      </c>
      <c r="D41" s="93">
        <f>D42+D44+D45+D46+D47+D48+D43+D50</f>
        <v>1921.6511</v>
      </c>
      <c r="E41" s="5">
        <f t="shared" si="0"/>
        <v>74.266508264518706</v>
      </c>
      <c r="F41" s="5">
        <f t="shared" si="1"/>
        <v>-665.85590000000002</v>
      </c>
      <c r="G41" s="19"/>
    </row>
    <row r="42" spans="1:7" ht="16.5" customHeight="1">
      <c r="A42" s="16">
        <v>2021000000</v>
      </c>
      <c r="B42" s="17" t="s">
        <v>21</v>
      </c>
      <c r="C42" s="12">
        <f>1897.5+9.163</f>
        <v>1906.663</v>
      </c>
      <c r="D42" s="20">
        <v>1674.921</v>
      </c>
      <c r="E42" s="9">
        <f t="shared" si="0"/>
        <v>87.845675926999164</v>
      </c>
      <c r="F42" s="9">
        <f t="shared" si="1"/>
        <v>-231.74199999999996</v>
      </c>
    </row>
    <row r="43" spans="1:7" ht="17.25" customHeight="1">
      <c r="A43" s="16">
        <v>2021500200</v>
      </c>
      <c r="B43" s="17" t="s">
        <v>232</v>
      </c>
      <c r="C43" s="12">
        <v>0</v>
      </c>
      <c r="D43" s="20">
        <v>0</v>
      </c>
      <c r="E43" s="9" t="e">
        <f t="shared" si="0"/>
        <v>#DIV/0!</v>
      </c>
      <c r="F43" s="9">
        <f t="shared" si="1"/>
        <v>0</v>
      </c>
    </row>
    <row r="44" spans="1:7">
      <c r="A44" s="16">
        <v>2022000000</v>
      </c>
      <c r="B44" s="17" t="s">
        <v>22</v>
      </c>
      <c r="C44" s="12">
        <v>573.79</v>
      </c>
      <c r="D44" s="10">
        <v>142.03800000000001</v>
      </c>
      <c r="E44" s="9">
        <f t="shared" si="0"/>
        <v>24.754352637724605</v>
      </c>
      <c r="F44" s="9">
        <f t="shared" si="1"/>
        <v>-431.75199999999995</v>
      </c>
    </row>
    <row r="45" spans="1:7" ht="15" customHeight="1">
      <c r="A45" s="16">
        <v>2023000000</v>
      </c>
      <c r="B45" s="17" t="s">
        <v>23</v>
      </c>
      <c r="C45" s="12">
        <v>73.953999999999994</v>
      </c>
      <c r="D45" s="251">
        <v>71.632099999999994</v>
      </c>
      <c r="E45" s="9">
        <f t="shared" si="0"/>
        <v>96.860345620250428</v>
      </c>
      <c r="F45" s="9">
        <f t="shared" si="1"/>
        <v>-2.3218999999999994</v>
      </c>
    </row>
    <row r="46" spans="1:7" hidden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23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23.25" hidden="1" customHeight="1">
      <c r="A48" s="7">
        <v>2190500005</v>
      </c>
      <c r="B48" s="11" t="s">
        <v>26</v>
      </c>
      <c r="C48" s="14"/>
      <c r="D48" s="14"/>
      <c r="E48" s="5"/>
      <c r="F48" s="5">
        <f>SUM(D48-C48)</f>
        <v>0</v>
      </c>
    </row>
    <row r="49" spans="1:7" s="6" customFormat="1" ht="27.7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9.5" customHeight="1">
      <c r="A50" s="7">
        <v>2070500010</v>
      </c>
      <c r="B50" s="8" t="s">
        <v>355</v>
      </c>
      <c r="C50" s="12">
        <v>33.1</v>
      </c>
      <c r="D50" s="10">
        <v>33.06</v>
      </c>
      <c r="E50" s="9">
        <f t="shared" si="0"/>
        <v>99.879154078549846</v>
      </c>
      <c r="F50" s="9">
        <f t="shared" si="1"/>
        <v>-3.9999999999999147E-2</v>
      </c>
    </row>
    <row r="51" spans="1:7" s="6" customFormat="1" ht="19.5" customHeight="1">
      <c r="A51" s="3"/>
      <c r="B51" s="4" t="s">
        <v>28</v>
      </c>
      <c r="C51" s="93">
        <f>C40+C41</f>
        <v>3713.627</v>
      </c>
      <c r="D51" s="407">
        <f>D40+D41</f>
        <v>2822.6574099999998</v>
      </c>
      <c r="E51" s="93">
        <f t="shared" si="0"/>
        <v>76.008102321530941</v>
      </c>
      <c r="F51" s="93">
        <f t="shared" si="1"/>
        <v>-890.96959000000015</v>
      </c>
      <c r="G51" s="293"/>
    </row>
    <row r="52" spans="1:7" s="6" customFormat="1">
      <c r="A52" s="3"/>
      <c r="B52" s="21" t="s">
        <v>321</v>
      </c>
      <c r="C52" s="93">
        <f>C51-C97</f>
        <v>-73.666530000000876</v>
      </c>
      <c r="D52" s="93">
        <f>D51-D97</f>
        <v>285.31757999999991</v>
      </c>
      <c r="E52" s="22"/>
      <c r="F52" s="22"/>
    </row>
    <row r="53" spans="1:7">
      <c r="A53" s="23"/>
      <c r="B53" s="24"/>
      <c r="C53" s="250"/>
      <c r="D53" s="250"/>
      <c r="E53" s="26"/>
      <c r="F53" s="27"/>
    </row>
    <row r="54" spans="1:7" ht="46.5" customHeight="1">
      <c r="A54" s="28" t="s">
        <v>1</v>
      </c>
      <c r="B54" s="28" t="s">
        <v>29</v>
      </c>
      <c r="C54" s="243" t="s">
        <v>346</v>
      </c>
      <c r="D54" s="244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1294.8660000000002</v>
      </c>
      <c r="D56" s="33">
        <f>D57+D58+D59+D60+D61+D63+D62</f>
        <v>1024.0689600000001</v>
      </c>
      <c r="E56" s="34">
        <f>SUM(D56/C56*100)</f>
        <v>79.086867675883056</v>
      </c>
      <c r="F56" s="34">
        <f>SUM(D56-C56)</f>
        <v>-270.79704000000015</v>
      </c>
    </row>
    <row r="57" spans="1:7" s="6" customFormat="1" ht="31.5" hidden="1">
      <c r="A57" s="35" t="s">
        <v>32</v>
      </c>
      <c r="B57" s="36" t="s">
        <v>33</v>
      </c>
      <c r="C57" s="37"/>
      <c r="D57" s="136"/>
      <c r="E57" s="38"/>
      <c r="F57" s="38"/>
    </row>
    <row r="58" spans="1:7" ht="18.75" customHeight="1">
      <c r="A58" s="35" t="s">
        <v>34</v>
      </c>
      <c r="B58" s="39" t="s">
        <v>35</v>
      </c>
      <c r="C58" s="37">
        <v>1274.5630000000001</v>
      </c>
      <c r="D58" s="37">
        <v>1009.22146</v>
      </c>
      <c r="E58" s="38">
        <f t="shared" ref="E58:E97" si="3">SUM(D58/C58*100)</f>
        <v>79.181763475010641</v>
      </c>
      <c r="F58" s="38">
        <f t="shared" ref="F58:F97" si="4">SUM(D58-C58)</f>
        <v>-265.34154000000012</v>
      </c>
    </row>
    <row r="59" spans="1:7" ht="16.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 ht="15" hidden="1" customHeight="1">
      <c r="A61" s="35" t="s">
        <v>40</v>
      </c>
      <c r="B61" s="39" t="s">
        <v>41</v>
      </c>
      <c r="C61" s="37">
        <v>0</v>
      </c>
      <c r="D61" s="37">
        <v>0</v>
      </c>
      <c r="E61" s="38" t="e">
        <f t="shared" si="3"/>
        <v>#DIV/0!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 t="shared" si="3"/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15.303000000000001</v>
      </c>
      <c r="D63" s="37">
        <v>14.8475</v>
      </c>
      <c r="E63" s="38">
        <f t="shared" si="3"/>
        <v>97.02345945239496</v>
      </c>
      <c r="F63" s="38">
        <f t="shared" si="4"/>
        <v>-0.45550000000000068</v>
      </c>
    </row>
    <row r="64" spans="1:7" s="6" customFormat="1">
      <c r="A64" s="41" t="s">
        <v>46</v>
      </c>
      <c r="B64" s="42" t="s">
        <v>47</v>
      </c>
      <c r="C64" s="32">
        <f>C65</f>
        <v>70.594999999999999</v>
      </c>
      <c r="D64" s="32">
        <f>D65</f>
        <v>66.859790000000004</v>
      </c>
      <c r="E64" s="34">
        <f t="shared" si="3"/>
        <v>94.708959558042366</v>
      </c>
      <c r="F64" s="34">
        <f t="shared" si="4"/>
        <v>-3.735209999999995</v>
      </c>
    </row>
    <row r="65" spans="1:7">
      <c r="A65" s="43" t="s">
        <v>48</v>
      </c>
      <c r="B65" s="44" t="s">
        <v>49</v>
      </c>
      <c r="C65" s="37">
        <v>70.594999999999999</v>
      </c>
      <c r="D65" s="37">
        <v>66.859790000000004</v>
      </c>
      <c r="E65" s="38">
        <f t="shared" si="3"/>
        <v>94.708959558042366</v>
      </c>
      <c r="F65" s="38">
        <f t="shared" si="4"/>
        <v>-3.735209999999995</v>
      </c>
    </row>
    <row r="66" spans="1:7" s="6" customFormat="1" ht="18.75" customHeight="1">
      <c r="A66" s="30" t="s">
        <v>50</v>
      </c>
      <c r="B66" s="31" t="s">
        <v>51</v>
      </c>
      <c r="C66" s="32">
        <f>C69+C70</f>
        <v>4.25</v>
      </c>
      <c r="D66" s="32">
        <f>D69+D70</f>
        <v>2.0499999999999998</v>
      </c>
      <c r="E66" s="34">
        <f t="shared" si="3"/>
        <v>48.235294117647051</v>
      </c>
      <c r="F66" s="34">
        <f t="shared" si="4"/>
        <v>-2.2000000000000002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6.5" customHeight="1">
      <c r="A69" s="46" t="s">
        <v>56</v>
      </c>
      <c r="B69" s="47" t="s">
        <v>57</v>
      </c>
      <c r="C69" s="97">
        <v>0</v>
      </c>
      <c r="D69" s="37">
        <v>0</v>
      </c>
      <c r="E69" s="38" t="e">
        <f t="shared" si="3"/>
        <v>#DIV/0!</v>
      </c>
      <c r="F69" s="38">
        <f t="shared" si="4"/>
        <v>0</v>
      </c>
    </row>
    <row r="70" spans="1:7" ht="15.75" customHeight="1">
      <c r="A70" s="46" t="s">
        <v>219</v>
      </c>
      <c r="B70" s="47" t="s">
        <v>220</v>
      </c>
      <c r="C70" s="37">
        <v>4.25</v>
      </c>
      <c r="D70" s="37">
        <v>2.0499999999999998</v>
      </c>
      <c r="E70" s="38">
        <f t="shared" si="3"/>
        <v>48.235294117647051</v>
      </c>
      <c r="F70" s="38">
        <f t="shared" si="4"/>
        <v>-2.2000000000000002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1016.83253</v>
      </c>
      <c r="D71" s="48">
        <f>SUM(D72:D75)</f>
        <v>320.4599</v>
      </c>
      <c r="E71" s="34">
        <f t="shared" si="3"/>
        <v>31.515504327934906</v>
      </c>
      <c r="F71" s="34">
        <f t="shared" si="4"/>
        <v>-696.37263000000007</v>
      </c>
    </row>
    <row r="72" spans="1:7" ht="15.75" customHeight="1">
      <c r="A72" s="35" t="s">
        <v>60</v>
      </c>
      <c r="B72" s="39" t="s">
        <v>61</v>
      </c>
      <c r="C72" s="49">
        <v>8.75</v>
      </c>
      <c r="D72" s="37">
        <v>3.75</v>
      </c>
      <c r="E72" s="38">
        <f t="shared" si="3"/>
        <v>42.857142857142854</v>
      </c>
      <c r="F72" s="38">
        <f t="shared" si="4"/>
        <v>-5</v>
      </c>
    </row>
    <row r="73" spans="1:7" s="6" customFormat="1" ht="19.5" customHeight="1">
      <c r="A73" s="35" t="s">
        <v>62</v>
      </c>
      <c r="B73" s="39" t="s">
        <v>63</v>
      </c>
      <c r="C73" s="49">
        <v>101.26900000000001</v>
      </c>
      <c r="D73" s="37">
        <v>86.036699999999996</v>
      </c>
      <c r="E73" s="38">
        <f t="shared" si="3"/>
        <v>84.958575674688191</v>
      </c>
      <c r="F73" s="38">
        <f t="shared" si="4"/>
        <v>-15.232300000000009</v>
      </c>
      <c r="G73" s="50"/>
    </row>
    <row r="74" spans="1:7">
      <c r="A74" s="35" t="s">
        <v>64</v>
      </c>
      <c r="B74" s="39" t="s">
        <v>65</v>
      </c>
      <c r="C74" s="49">
        <v>844.95153000000005</v>
      </c>
      <c r="D74" s="37">
        <v>180</v>
      </c>
      <c r="E74" s="38">
        <f t="shared" si="3"/>
        <v>21.302997108011628</v>
      </c>
      <c r="F74" s="38">
        <f t="shared" si="4"/>
        <v>-664.95153000000005</v>
      </c>
    </row>
    <row r="75" spans="1:7" ht="16.5" customHeight="1">
      <c r="A75" s="35" t="s">
        <v>66</v>
      </c>
      <c r="B75" s="39" t="s">
        <v>67</v>
      </c>
      <c r="C75" s="49">
        <v>61.862000000000002</v>
      </c>
      <c r="D75" s="37">
        <v>50.673200000000001</v>
      </c>
      <c r="E75" s="38">
        <f t="shared" si="3"/>
        <v>81.913290873233962</v>
      </c>
      <c r="F75" s="38">
        <f t="shared" si="4"/>
        <v>-11.188800000000001</v>
      </c>
    </row>
    <row r="76" spans="1:7" s="6" customFormat="1" ht="19.5" customHeight="1">
      <c r="A76" s="30" t="s">
        <v>68</v>
      </c>
      <c r="B76" s="31" t="s">
        <v>69</v>
      </c>
      <c r="C76" s="32">
        <f>SUM(C77:C79)</f>
        <v>525.95000000000005</v>
      </c>
      <c r="D76" s="32">
        <f>SUM(D77:D79)</f>
        <v>395.71418</v>
      </c>
      <c r="E76" s="34">
        <f t="shared" si="3"/>
        <v>75.23798459929651</v>
      </c>
      <c r="F76" s="34">
        <f t="shared" si="4"/>
        <v>-130.23582000000005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8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>
      <c r="A79" s="35" t="s">
        <v>74</v>
      </c>
      <c r="B79" s="39" t="s">
        <v>75</v>
      </c>
      <c r="C79" s="37">
        <v>525.95000000000005</v>
      </c>
      <c r="D79" s="37">
        <v>395.71418</v>
      </c>
      <c r="E79" s="38">
        <f t="shared" si="3"/>
        <v>75.23798459929651</v>
      </c>
      <c r="F79" s="38">
        <f t="shared" si="4"/>
        <v>-130.23582000000005</v>
      </c>
    </row>
    <row r="80" spans="1:7" s="6" customFormat="1">
      <c r="A80" s="30" t="s">
        <v>86</v>
      </c>
      <c r="B80" s="31" t="s">
        <v>87</v>
      </c>
      <c r="C80" s="32">
        <f>C81</f>
        <v>872.8</v>
      </c>
      <c r="D80" s="32">
        <f>SUM(D81)</f>
        <v>727.47199999999998</v>
      </c>
      <c r="E80" s="34">
        <f t="shared" si="3"/>
        <v>83.34922089825848</v>
      </c>
      <c r="F80" s="34">
        <f t="shared" si="4"/>
        <v>-145.32799999999997</v>
      </c>
    </row>
    <row r="81" spans="1:6" ht="17.25" customHeight="1">
      <c r="A81" s="35" t="s">
        <v>88</v>
      </c>
      <c r="B81" s="39" t="s">
        <v>234</v>
      </c>
      <c r="C81" s="37">
        <v>872.8</v>
      </c>
      <c r="D81" s="37">
        <v>727.47199999999998</v>
      </c>
      <c r="E81" s="38">
        <f t="shared" si="3"/>
        <v>83.34922089825848</v>
      </c>
      <c r="F81" s="38">
        <f t="shared" si="4"/>
        <v>-145.32799999999997</v>
      </c>
    </row>
    <row r="82" spans="1:6" s="6" customFormat="1" ht="21.75" hidden="1" customHeight="1">
      <c r="A82" s="52">
        <v>1000</v>
      </c>
      <c r="B82" s="31" t="s">
        <v>89</v>
      </c>
      <c r="C82" s="32">
        <f>SUM(C83:C86)</f>
        <v>0</v>
      </c>
      <c r="D82" s="32">
        <f>SUM(D83:D86)</f>
        <v>0</v>
      </c>
      <c r="E82" s="34" t="e">
        <f t="shared" si="3"/>
        <v>#DIV/0!</v>
      </c>
      <c r="F82" s="34">
        <f t="shared" si="4"/>
        <v>0</v>
      </c>
    </row>
    <row r="83" spans="1:6" ht="18" hidden="1" customHeight="1">
      <c r="A83" s="53">
        <v>1001</v>
      </c>
      <c r="B83" s="54" t="s">
        <v>90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ht="17.25" hidden="1" customHeight="1">
      <c r="A84" s="53">
        <v>1003</v>
      </c>
      <c r="B84" s="54" t="s">
        <v>91</v>
      </c>
      <c r="C84" s="37">
        <v>0</v>
      </c>
      <c r="D84" s="37">
        <v>0</v>
      </c>
      <c r="E84" s="38" t="e">
        <f t="shared" si="3"/>
        <v>#DIV/0!</v>
      </c>
      <c r="F84" s="38">
        <f t="shared" si="4"/>
        <v>0</v>
      </c>
    </row>
    <row r="85" spans="1:6" ht="23.25" hidden="1" customHeight="1">
      <c r="A85" s="53">
        <v>1004</v>
      </c>
      <c r="B85" s="54" t="s">
        <v>92</v>
      </c>
      <c r="C85" s="37"/>
      <c r="D85" s="55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35" t="s">
        <v>93</v>
      </c>
      <c r="B86" s="39" t="s">
        <v>94</v>
      </c>
      <c r="C86" s="37">
        <v>0</v>
      </c>
      <c r="D86" s="37">
        <v>0</v>
      </c>
      <c r="E86" s="38"/>
      <c r="F86" s="38">
        <f t="shared" si="4"/>
        <v>0</v>
      </c>
    </row>
    <row r="87" spans="1:6">
      <c r="A87" s="30" t="s">
        <v>95</v>
      </c>
      <c r="B87" s="31" t="s">
        <v>96</v>
      </c>
      <c r="C87" s="32">
        <f>C88+C89+C90+C91+C92</f>
        <v>2</v>
      </c>
      <c r="D87" s="32">
        <f>D88</f>
        <v>0.71499999999999997</v>
      </c>
      <c r="E87" s="38">
        <f t="shared" si="3"/>
        <v>35.75</v>
      </c>
      <c r="F87" s="22">
        <f>F88+F89+F90+F91+F92</f>
        <v>-1.2850000000000001</v>
      </c>
    </row>
    <row r="88" spans="1:6" ht="19.5" customHeight="1">
      <c r="A88" s="35" t="s">
        <v>97</v>
      </c>
      <c r="B88" s="39" t="s">
        <v>98</v>
      </c>
      <c r="C88" s="37">
        <v>2</v>
      </c>
      <c r="D88" s="37">
        <v>0.71499999999999997</v>
      </c>
      <c r="E88" s="38">
        <f t="shared" si="3"/>
        <v>35.75</v>
      </c>
      <c r="F88" s="38">
        <f>SUM(D88-C88)</f>
        <v>-1.2850000000000001</v>
      </c>
    </row>
    <row r="89" spans="1:6" ht="15.75" hidden="1" customHeight="1">
      <c r="A89" s="35" t="s">
        <v>99</v>
      </c>
      <c r="B89" s="39" t="s">
        <v>100</v>
      </c>
      <c r="C89" s="37"/>
      <c r="D89" s="37"/>
      <c r="E89" s="38" t="e">
        <f t="shared" si="3"/>
        <v>#DIV/0!</v>
      </c>
      <c r="F89" s="38">
        <f>SUM(D89-C89)</f>
        <v>0</v>
      </c>
    </row>
    <row r="90" spans="1:6" ht="15.75" hidden="1" customHeight="1">
      <c r="A90" s="35" t="s">
        <v>101</v>
      </c>
      <c r="B90" s="39" t="s">
        <v>102</v>
      </c>
      <c r="C90" s="37"/>
      <c r="D90" s="37" t="s">
        <v>339</v>
      </c>
      <c r="E90" s="38" t="e">
        <f t="shared" si="3"/>
        <v>#VALUE!</v>
      </c>
      <c r="F90" s="38"/>
    </row>
    <row r="91" spans="1:6" ht="15.75" hidden="1" customHeight="1">
      <c r="A91" s="35" t="s">
        <v>103</v>
      </c>
      <c r="B91" s="39" t="s">
        <v>104</v>
      </c>
      <c r="C91" s="37"/>
      <c r="D91" s="37"/>
      <c r="E91" s="38" t="e">
        <f t="shared" si="3"/>
        <v>#DIV/0!</v>
      </c>
      <c r="F91" s="38"/>
    </row>
    <row r="92" spans="1:6" ht="15.75" hidden="1" customHeight="1">
      <c r="A92" s="35" t="s">
        <v>105</v>
      </c>
      <c r="B92" s="39" t="s">
        <v>106</v>
      </c>
      <c r="C92" s="37"/>
      <c r="D92" s="37"/>
      <c r="E92" s="38" t="e">
        <f t="shared" si="3"/>
        <v>#DIV/0!</v>
      </c>
      <c r="F92" s="38"/>
    </row>
    <row r="93" spans="1:6" s="6" customFormat="1" ht="15.75" hidden="1" customHeight="1">
      <c r="A93" s="52">
        <v>1400</v>
      </c>
      <c r="B93" s="56" t="s">
        <v>115</v>
      </c>
      <c r="C93" s="48">
        <f>C94+C95+C96</f>
        <v>0</v>
      </c>
      <c r="D93" s="48">
        <f>SUM(D94:D96)</f>
        <v>0</v>
      </c>
      <c r="E93" s="34" t="e">
        <f t="shared" si="3"/>
        <v>#DIV/0!</v>
      </c>
      <c r="F93" s="34">
        <f t="shared" si="4"/>
        <v>0</v>
      </c>
    </row>
    <row r="94" spans="1:6" ht="15.75" hidden="1" customHeight="1">
      <c r="A94" s="53">
        <v>1401</v>
      </c>
      <c r="B94" s="54" t="s">
        <v>116</v>
      </c>
      <c r="C94" s="49"/>
      <c r="D94" s="37"/>
      <c r="E94" s="38" t="e">
        <f t="shared" si="3"/>
        <v>#DIV/0!</v>
      </c>
      <c r="F94" s="38">
        <f t="shared" si="4"/>
        <v>0</v>
      </c>
    </row>
    <row r="95" spans="1:6" ht="15.75" hidden="1" customHeight="1">
      <c r="A95" s="53">
        <v>1402</v>
      </c>
      <c r="B95" s="54" t="s">
        <v>117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5.75" hidden="1" customHeight="1">
      <c r="A96" s="53">
        <v>1403</v>
      </c>
      <c r="B96" s="54" t="s">
        <v>118</v>
      </c>
      <c r="C96" s="49">
        <v>0</v>
      </c>
      <c r="D96" s="37">
        <v>0</v>
      </c>
      <c r="E96" s="38" t="e">
        <f t="shared" si="3"/>
        <v>#DIV/0!</v>
      </c>
      <c r="F96" s="38">
        <f t="shared" si="4"/>
        <v>0</v>
      </c>
    </row>
    <row r="97" spans="1:7" s="6" customFormat="1" ht="15.75" customHeight="1">
      <c r="A97" s="52"/>
      <c r="B97" s="57" t="s">
        <v>119</v>
      </c>
      <c r="C97" s="408">
        <f>C56+C64+C66+C71+C76+C80+C82+C87+C93</f>
        <v>3787.2935300000008</v>
      </c>
      <c r="D97" s="408">
        <f>D56+D64+D66+D71+D76+D80+D82+D87+D93</f>
        <v>2537.3398299999999</v>
      </c>
      <c r="E97" s="34">
        <f t="shared" si="3"/>
        <v>66.996122954325102</v>
      </c>
      <c r="F97" s="34">
        <f t="shared" si="4"/>
        <v>-1249.9537000000009</v>
      </c>
      <c r="G97" s="293"/>
    </row>
    <row r="98" spans="1:7">
      <c r="C98" s="126"/>
      <c r="D98" s="101"/>
    </row>
    <row r="99" spans="1:7" s="65" customFormat="1" ht="16.5" customHeight="1">
      <c r="A99" s="63" t="s">
        <v>120</v>
      </c>
      <c r="B99" s="63"/>
      <c r="C99" s="249"/>
      <c r="D99" s="249"/>
      <c r="E99" s="384"/>
    </row>
    <row r="100" spans="1:7" s="65" customFormat="1" ht="20.25" customHeight="1">
      <c r="A100" s="66" t="s">
        <v>121</v>
      </c>
      <c r="B100" s="66"/>
      <c r="C100" s="65" t="s">
        <v>122</v>
      </c>
    </row>
    <row r="101" spans="1:7" ht="13.5" customHeight="1">
      <c r="C101" s="120"/>
    </row>
    <row r="103" spans="1:7" ht="5.25" customHeight="1"/>
    <row r="141" hidden="1"/>
  </sheetData>
  <customSheetViews>
    <customSheetView guid="{8E17DC23-BE06-48DD-840B-6DD85B9E86D1}" scale="70" showPageBreaks="1" hiddenRows="1" view="pageBreakPreview" topLeftCell="A5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2" orientation="portrait" r:id="rId2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2" orientation="portrait" r:id="rId3"/>
    </customSheetView>
    <customSheetView guid="{1718F1EE-9F48-4DBE-9531-3B70F9C4A5DD}" scale="70" showPageBreaks="1" hiddenRows="1" view="pageBreakPreview" topLeftCell="A50">
      <selection activeCell="C97" sqref="C97:D97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>
      <selection activeCell="G1" sqref="G1:G1048576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8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50">
      <selection activeCell="C97" sqref="C97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L141"/>
  <sheetViews>
    <sheetView view="pageBreakPreview" topLeftCell="A39" zoomScale="70" zoomScaleNormal="100" zoomScaleSheetLayoutView="70" workbookViewId="0">
      <selection activeCell="C97" activeCellId="2" sqref="D40:D41 C51:D52 C97:D97"/>
    </sheetView>
  </sheetViews>
  <sheetFormatPr defaultRowHeight="15.75"/>
  <cols>
    <col min="1" max="1" width="14.7109375" style="58" customWidth="1"/>
    <col min="2" max="2" width="57.5703125" style="59" customWidth="1"/>
    <col min="3" max="3" width="15" style="62" customWidth="1"/>
    <col min="4" max="4" width="15.42578125" style="62" customWidth="1"/>
    <col min="5" max="5" width="10.85546875" style="62" customWidth="1"/>
    <col min="6" max="6" width="12.570312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60" t="s">
        <v>429</v>
      </c>
      <c r="B1" s="460"/>
      <c r="C1" s="460"/>
      <c r="D1" s="460"/>
      <c r="E1" s="460"/>
      <c r="F1" s="460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727.76</v>
      </c>
      <c r="D4" s="5">
        <f>D5+D12+D14+D17+D7</f>
        <v>519.85636000000011</v>
      </c>
      <c r="E4" s="5">
        <f>SUM(D4/C4*100)</f>
        <v>71.432389798834791</v>
      </c>
      <c r="F4" s="5">
        <f>SUM(D4-C4)</f>
        <v>-207.90363999999988</v>
      </c>
    </row>
    <row r="5" spans="1:6" s="6" customFormat="1">
      <c r="A5" s="68">
        <v>1010000000</v>
      </c>
      <c r="B5" s="67" t="s">
        <v>6</v>
      </c>
      <c r="C5" s="5">
        <f>C6</f>
        <v>33.4</v>
      </c>
      <c r="D5" s="5">
        <f>D6</f>
        <v>28.643170000000001</v>
      </c>
      <c r="E5" s="5">
        <f t="shared" ref="E5:E51" si="0">SUM(D5/C5*100)</f>
        <v>85.757994011976052</v>
      </c>
      <c r="F5" s="5">
        <f t="shared" ref="F5:F51" si="1">SUM(D5-C5)</f>
        <v>-4.7568299999999972</v>
      </c>
    </row>
    <row r="6" spans="1:6">
      <c r="A6" s="7">
        <v>1010200001</v>
      </c>
      <c r="B6" s="8" t="s">
        <v>229</v>
      </c>
      <c r="C6" s="9">
        <v>33.4</v>
      </c>
      <c r="D6" s="10">
        <v>28.643170000000001</v>
      </c>
      <c r="E6" s="9">
        <f t="shared" ref="E6:E11" si="2">SUM(D6/C6*100)</f>
        <v>85.757994011976052</v>
      </c>
      <c r="F6" s="9">
        <f t="shared" si="1"/>
        <v>-4.7568299999999972</v>
      </c>
    </row>
    <row r="7" spans="1:6" ht="31.5">
      <c r="A7" s="3">
        <v>1030000000</v>
      </c>
      <c r="B7" s="13" t="s">
        <v>281</v>
      </c>
      <c r="C7" s="5">
        <f>C8+C10+C9</f>
        <v>322.36</v>
      </c>
      <c r="D7" s="5">
        <f>D8+D10+D9+D11</f>
        <v>281.72843000000006</v>
      </c>
      <c r="E7" s="5">
        <f t="shared" si="2"/>
        <v>87.395591884849253</v>
      </c>
      <c r="F7" s="5">
        <f t="shared" si="1"/>
        <v>-40.631569999999954</v>
      </c>
    </row>
    <row r="8" spans="1:6">
      <c r="A8" s="7">
        <v>1030223001</v>
      </c>
      <c r="B8" s="8" t="s">
        <v>283</v>
      </c>
      <c r="C8" s="9">
        <v>120.24</v>
      </c>
      <c r="D8" s="10">
        <v>124.26442</v>
      </c>
      <c r="E8" s="9">
        <f t="shared" si="2"/>
        <v>103.3469893546241</v>
      </c>
      <c r="F8" s="9">
        <f t="shared" si="1"/>
        <v>4.0244200000000063</v>
      </c>
    </row>
    <row r="9" spans="1:6">
      <c r="A9" s="7">
        <v>1030224001</v>
      </c>
      <c r="B9" s="8" t="s">
        <v>289</v>
      </c>
      <c r="C9" s="9">
        <v>1.29</v>
      </c>
      <c r="D9" s="10">
        <v>1.15293</v>
      </c>
      <c r="E9" s="9">
        <f t="shared" si="2"/>
        <v>89.374418604651169</v>
      </c>
      <c r="F9" s="9">
        <f t="shared" si="1"/>
        <v>-0.13707000000000003</v>
      </c>
    </row>
    <row r="10" spans="1:6">
      <c r="A10" s="7">
        <v>1030225001</v>
      </c>
      <c r="B10" s="8" t="s">
        <v>282</v>
      </c>
      <c r="C10" s="9">
        <v>200.83</v>
      </c>
      <c r="D10" s="10">
        <v>184.38015999999999</v>
      </c>
      <c r="E10" s="9">
        <f t="shared" si="2"/>
        <v>91.809072349748533</v>
      </c>
      <c r="F10" s="9">
        <f t="shared" si="1"/>
        <v>-16.449840000000023</v>
      </c>
    </row>
    <row r="11" spans="1:6">
      <c r="A11" s="7">
        <v>1030226001</v>
      </c>
      <c r="B11" s="8" t="s">
        <v>291</v>
      </c>
      <c r="C11" s="9">
        <v>0</v>
      </c>
      <c r="D11" s="10">
        <v>-28.06908</v>
      </c>
      <c r="E11" s="9" t="e">
        <f t="shared" si="2"/>
        <v>#DIV/0!</v>
      </c>
      <c r="F11" s="9">
        <f t="shared" si="1"/>
        <v>-28.06908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9.2697500000000002</v>
      </c>
      <c r="E12" s="5">
        <f t="shared" si="0"/>
        <v>92.697500000000005</v>
      </c>
      <c r="F12" s="5">
        <f t="shared" si="1"/>
        <v>-0.73024999999999984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9.2697500000000002</v>
      </c>
      <c r="E13" s="9">
        <f t="shared" si="0"/>
        <v>92.697500000000005</v>
      </c>
      <c r="F13" s="9">
        <f t="shared" si="1"/>
        <v>-0.73024999999999984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355</v>
      </c>
      <c r="D14" s="5">
        <f>D15+D16</f>
        <v>198.81501</v>
      </c>
      <c r="E14" s="5">
        <f t="shared" si="0"/>
        <v>56.004228169014084</v>
      </c>
      <c r="F14" s="5">
        <f t="shared" si="1"/>
        <v>-156.18499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22.415089999999999</v>
      </c>
      <c r="E15" s="9">
        <f t="shared" si="0"/>
        <v>56.037724999999995</v>
      </c>
      <c r="F15" s="9">
        <f>SUM(D15-C15)</f>
        <v>-17.584910000000001</v>
      </c>
    </row>
    <row r="16" spans="1:6" ht="15.75" customHeight="1">
      <c r="A16" s="7">
        <v>1060600000</v>
      </c>
      <c r="B16" s="11" t="s">
        <v>8</v>
      </c>
      <c r="C16" s="9">
        <v>315</v>
      </c>
      <c r="D16" s="10">
        <v>176.39992000000001</v>
      </c>
      <c r="E16" s="9">
        <f t="shared" si="0"/>
        <v>55.999974603174607</v>
      </c>
      <c r="F16" s="9">
        <f t="shared" si="1"/>
        <v>-138.60007999999999</v>
      </c>
    </row>
    <row r="17" spans="1:6" s="6" customFormat="1">
      <c r="A17" s="3">
        <v>1080000000</v>
      </c>
      <c r="B17" s="4" t="s">
        <v>11</v>
      </c>
      <c r="C17" s="5">
        <f>C18</f>
        <v>7</v>
      </c>
      <c r="D17" s="5">
        <f>D18</f>
        <v>1.4</v>
      </c>
      <c r="E17" s="5">
        <f t="shared" si="0"/>
        <v>20</v>
      </c>
      <c r="F17" s="5">
        <f t="shared" si="1"/>
        <v>-5.6</v>
      </c>
    </row>
    <row r="18" spans="1:6" ht="16.5" customHeight="1">
      <c r="A18" s="7">
        <v>1080400001</v>
      </c>
      <c r="B18" s="8" t="s">
        <v>228</v>
      </c>
      <c r="C18" s="9">
        <v>7</v>
      </c>
      <c r="D18" s="10">
        <v>1.4</v>
      </c>
      <c r="E18" s="9">
        <f t="shared" si="0"/>
        <v>20</v>
      </c>
      <c r="F18" s="9">
        <f t="shared" si="1"/>
        <v>-5.6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6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2.25" hidden="1" customHeight="1">
      <c r="A21" s="7">
        <v>1090100000</v>
      </c>
      <c r="B21" s="8" t="s">
        <v>125</v>
      </c>
      <c r="C21" s="9">
        <v>0</v>
      </c>
      <c r="D21" s="10">
        <v>0</v>
      </c>
      <c r="E21" s="9" t="e">
        <f t="shared" si="0"/>
        <v>#DIV/0!</v>
      </c>
      <c r="F21" s="9">
        <f t="shared" si="1"/>
        <v>0</v>
      </c>
    </row>
    <row r="22" spans="1:6" s="15" customFormat="1" ht="30" hidden="1" customHeight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30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0.2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hidden="1" customHeight="1">
      <c r="A25" s="3"/>
      <c r="B25" s="4" t="s">
        <v>13</v>
      </c>
      <c r="C25" s="5">
        <f>C26+C29+C31+C37+C34</f>
        <v>182</v>
      </c>
      <c r="D25" s="5">
        <f>D26+D29+D31+D37+D34</f>
        <v>55.763519999999993</v>
      </c>
      <c r="E25" s="5">
        <f t="shared" si="0"/>
        <v>30.639296703296697</v>
      </c>
      <c r="F25" s="5">
        <f t="shared" si="1"/>
        <v>-126.23648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132</v>
      </c>
      <c r="D26" s="5">
        <f>D27+D28</f>
        <v>28.189999999999998</v>
      </c>
      <c r="E26" s="5">
        <f t="shared" si="0"/>
        <v>21.356060606060602</v>
      </c>
      <c r="F26" s="5">
        <f t="shared" si="1"/>
        <v>-103.81</v>
      </c>
    </row>
    <row r="27" spans="1:6">
      <c r="A27" s="16">
        <v>1110502510</v>
      </c>
      <c r="B27" s="17" t="s">
        <v>226</v>
      </c>
      <c r="C27" s="12">
        <v>115</v>
      </c>
      <c r="D27" s="10">
        <v>6.5140000000000002</v>
      </c>
      <c r="E27" s="9">
        <f t="shared" si="0"/>
        <v>5.6643478260869564</v>
      </c>
      <c r="F27" s="9">
        <f t="shared" si="1"/>
        <v>-108.486</v>
      </c>
    </row>
    <row r="28" spans="1:6" ht="18.75" customHeight="1">
      <c r="A28" s="7">
        <v>1110503505</v>
      </c>
      <c r="B28" s="11" t="s">
        <v>225</v>
      </c>
      <c r="C28" s="12">
        <v>17</v>
      </c>
      <c r="D28" s="10">
        <v>21.675999999999998</v>
      </c>
      <c r="E28" s="9">
        <f t="shared" si="0"/>
        <v>127.50588235294116</v>
      </c>
      <c r="F28" s="9">
        <f t="shared" si="1"/>
        <v>4.6759999999999984</v>
      </c>
    </row>
    <row r="29" spans="1:6" s="15" customFormat="1" ht="37.5" customHeight="1">
      <c r="A29" s="68">
        <v>1130000000</v>
      </c>
      <c r="B29" s="69" t="s">
        <v>131</v>
      </c>
      <c r="C29" s="5">
        <f>C30</f>
        <v>50</v>
      </c>
      <c r="D29" s="5">
        <f>D30</f>
        <v>21.386410000000001</v>
      </c>
      <c r="E29" s="5">
        <f t="shared" si="0"/>
        <v>42.772820000000003</v>
      </c>
      <c r="F29" s="5">
        <f t="shared" si="1"/>
        <v>-28.613589999999999</v>
      </c>
    </row>
    <row r="30" spans="1:6">
      <c r="A30" s="7">
        <v>1130206005</v>
      </c>
      <c r="B30" s="8" t="s">
        <v>224</v>
      </c>
      <c r="C30" s="9">
        <v>50</v>
      </c>
      <c r="D30" s="10">
        <v>21.386410000000001</v>
      </c>
      <c r="E30" s="9">
        <f t="shared" si="0"/>
        <v>42.772820000000003</v>
      </c>
      <c r="F30" s="9">
        <f t="shared" si="1"/>
        <v>-28.613589999999999</v>
      </c>
    </row>
    <row r="31" spans="1:6" ht="27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1160000000</v>
      </c>
      <c r="B34" s="13" t="s">
        <v>252</v>
      </c>
      <c r="C34" s="14">
        <f>C35+C36</f>
        <v>0</v>
      </c>
      <c r="D34" s="14">
        <f>D35+D36</f>
        <v>8.7899999999999992E-3</v>
      </c>
      <c r="E34" s="5" t="e">
        <f t="shared" si="0"/>
        <v>#DIV/0!</v>
      </c>
      <c r="F34" s="5">
        <f t="shared" si="1"/>
        <v>8.7899999999999992E-3</v>
      </c>
    </row>
    <row r="35" spans="1:7" ht="47.25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47.25">
      <c r="A36" s="7">
        <v>1169005010</v>
      </c>
      <c r="B36" s="8" t="s">
        <v>344</v>
      </c>
      <c r="C36" s="9">
        <v>0</v>
      </c>
      <c r="D36" s="10">
        <v>8.7899999999999992E-3</v>
      </c>
      <c r="E36" s="9" t="e">
        <f>SUM(D36/C36*100)</f>
        <v>#DIV/0!</v>
      </c>
      <c r="F36" s="9">
        <f>SUM(D36-C36)</f>
        <v>8.7899999999999992E-3</v>
      </c>
    </row>
    <row r="37" spans="1:7" ht="21" customHeight="1">
      <c r="A37" s="3">
        <v>1170000000</v>
      </c>
      <c r="B37" s="13" t="s">
        <v>135</v>
      </c>
      <c r="C37" s="5">
        <f>C38+C39</f>
        <v>0</v>
      </c>
      <c r="D37" s="5">
        <f>D38+D39</f>
        <v>6.1783200000000003</v>
      </c>
      <c r="E37" s="5" t="e">
        <f t="shared" si="0"/>
        <v>#DIV/0!</v>
      </c>
      <c r="F37" s="5">
        <f t="shared" si="1"/>
        <v>6.1783200000000003</v>
      </c>
    </row>
    <row r="38" spans="1:7" ht="17.25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8" customHeight="1">
      <c r="A39" s="7">
        <v>1170505005</v>
      </c>
      <c r="B39" s="11" t="s">
        <v>221</v>
      </c>
      <c r="C39" s="9">
        <v>0</v>
      </c>
      <c r="D39" s="10">
        <v>6.1783200000000003</v>
      </c>
      <c r="E39" s="9" t="e">
        <f t="shared" si="0"/>
        <v>#DIV/0!</v>
      </c>
      <c r="F39" s="9">
        <f t="shared" si="1"/>
        <v>6.1783200000000003</v>
      </c>
    </row>
    <row r="40" spans="1:7" s="6" customFormat="1">
      <c r="A40" s="3">
        <v>1000000000</v>
      </c>
      <c r="B40" s="4" t="s">
        <v>19</v>
      </c>
      <c r="C40" s="127">
        <f>SUM(C4,C25)</f>
        <v>909.76</v>
      </c>
      <c r="D40" s="333">
        <f>D4+D25</f>
        <v>575.61988000000008</v>
      </c>
      <c r="E40" s="5">
        <f t="shared" si="0"/>
        <v>63.271618888498068</v>
      </c>
      <c r="F40" s="5">
        <f t="shared" si="1"/>
        <v>-334.14011999999991</v>
      </c>
    </row>
    <row r="41" spans="1:7" s="6" customFormat="1">
      <c r="A41" s="3">
        <v>2000000000</v>
      </c>
      <c r="B41" s="4" t="s">
        <v>20</v>
      </c>
      <c r="C41" s="5">
        <f>C42+C43+C44+C45+C46+C47+C50</f>
        <v>2818.3090000000002</v>
      </c>
      <c r="D41" s="280">
        <f>D42+D43+D44+D45+D46+D47+D50</f>
        <v>2133.5011</v>
      </c>
      <c r="E41" s="5">
        <f t="shared" si="0"/>
        <v>75.701461408241599</v>
      </c>
      <c r="F41" s="5">
        <f t="shared" si="1"/>
        <v>-684.80790000000025</v>
      </c>
      <c r="G41" s="19"/>
    </row>
    <row r="42" spans="1:7" ht="16.5" customHeight="1">
      <c r="A42" s="16">
        <v>2021000000</v>
      </c>
      <c r="B42" s="17" t="s">
        <v>21</v>
      </c>
      <c r="C42" s="12">
        <v>1243.7660000000001</v>
      </c>
      <c r="D42" s="20">
        <v>1096.0450000000001</v>
      </c>
      <c r="E42" s="9">
        <f t="shared" si="0"/>
        <v>88.123087461789439</v>
      </c>
      <c r="F42" s="9">
        <f t="shared" si="1"/>
        <v>-147.721</v>
      </c>
    </row>
    <row r="43" spans="1:7" ht="15.75" customHeight="1">
      <c r="A43" s="16">
        <v>2021500200</v>
      </c>
      <c r="B43" s="17" t="s">
        <v>232</v>
      </c>
      <c r="C43" s="12">
        <v>400</v>
      </c>
      <c r="D43" s="20">
        <v>300</v>
      </c>
      <c r="E43" s="9">
        <f t="shared" si="0"/>
        <v>75</v>
      </c>
      <c r="F43" s="9">
        <f t="shared" si="1"/>
        <v>-100</v>
      </c>
    </row>
    <row r="44" spans="1:7">
      <c r="A44" s="16">
        <v>2022000000</v>
      </c>
      <c r="B44" s="17" t="s">
        <v>22</v>
      </c>
      <c r="C44" s="12">
        <v>1004.188</v>
      </c>
      <c r="D44" s="10">
        <v>568.72299999999996</v>
      </c>
      <c r="E44" s="9">
        <f t="shared" si="0"/>
        <v>56.635112150314484</v>
      </c>
      <c r="F44" s="9">
        <f t="shared" si="1"/>
        <v>-435.46500000000003</v>
      </c>
    </row>
    <row r="45" spans="1:7" ht="15" customHeight="1">
      <c r="A45" s="16">
        <v>2023000000</v>
      </c>
      <c r="B45" s="17" t="s">
        <v>23</v>
      </c>
      <c r="C45" s="12">
        <v>73.254999999999995</v>
      </c>
      <c r="D45" s="251">
        <v>71.633099999999999</v>
      </c>
      <c r="E45" s="9">
        <f t="shared" si="0"/>
        <v>97.785953177257539</v>
      </c>
      <c r="F45" s="9">
        <f t="shared" si="1"/>
        <v>-1.6218999999999966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7.25" hidden="1" customHeight="1">
      <c r="A47" s="16">
        <v>2020900000</v>
      </c>
      <c r="B47" s="18" t="s">
        <v>25</v>
      </c>
      <c r="C47" s="12"/>
      <c r="D47" s="252"/>
      <c r="E47" s="9" t="e">
        <f t="shared" si="0"/>
        <v>#DIV/0!</v>
      </c>
      <c r="F47" s="9">
        <f t="shared" si="1"/>
        <v>0</v>
      </c>
    </row>
    <row r="48" spans="1:7" ht="17.25" hidden="1" customHeight="1">
      <c r="A48" s="16">
        <v>2080500010</v>
      </c>
      <c r="B48" s="18" t="s">
        <v>256</v>
      </c>
      <c r="C48" s="12"/>
      <c r="D48" s="252"/>
      <c r="E48" s="9"/>
      <c r="F48" s="9"/>
    </row>
    <row r="49" spans="1:7" s="6" customFormat="1" ht="17.2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355</v>
      </c>
      <c r="C50" s="12">
        <v>97.1</v>
      </c>
      <c r="D50" s="10">
        <v>97.1</v>
      </c>
      <c r="E50" s="9">
        <f t="shared" si="0"/>
        <v>100</v>
      </c>
      <c r="F50" s="9">
        <f t="shared" si="1"/>
        <v>0</v>
      </c>
    </row>
    <row r="51" spans="1:7" s="6" customFormat="1" ht="17.25" customHeight="1">
      <c r="A51" s="3"/>
      <c r="B51" s="4" t="s">
        <v>28</v>
      </c>
      <c r="C51" s="280">
        <f>C40+C41</f>
        <v>3728.0690000000004</v>
      </c>
      <c r="D51" s="411">
        <f>D40+D41</f>
        <v>2709.1209800000001</v>
      </c>
      <c r="E51" s="93">
        <f t="shared" si="0"/>
        <v>72.668209198917722</v>
      </c>
      <c r="F51" s="93">
        <f t="shared" si="1"/>
        <v>-1018.9480200000003</v>
      </c>
      <c r="G51" s="94"/>
    </row>
    <row r="52" spans="1:7" s="6" customFormat="1" ht="16.5" customHeight="1">
      <c r="A52" s="3"/>
      <c r="B52" s="21" t="s">
        <v>322</v>
      </c>
      <c r="C52" s="280">
        <f>C51-C97</f>
        <v>53.393470000000889</v>
      </c>
      <c r="D52" s="280">
        <f>D51-D97</f>
        <v>183.40200000000004</v>
      </c>
      <c r="E52" s="281"/>
      <c r="F52" s="281"/>
    </row>
    <row r="53" spans="1:7">
      <c r="A53" s="23"/>
      <c r="B53" s="24"/>
      <c r="C53" s="326"/>
      <c r="D53" s="326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>
      <c r="A56" s="30" t="s">
        <v>30</v>
      </c>
      <c r="B56" s="31" t="s">
        <v>31</v>
      </c>
      <c r="C56" s="33">
        <f>C57+C58+C59+C60+C61+C63+C62</f>
        <v>1139.7604999999999</v>
      </c>
      <c r="D56" s="33">
        <f>D57+D58+D59+D60+D61+D63+D62</f>
        <v>859.71104000000014</v>
      </c>
      <c r="E56" s="34">
        <f>SUM(D56/C56*100)</f>
        <v>75.429095849522795</v>
      </c>
      <c r="F56" s="34">
        <f>SUM(D56-C56)</f>
        <v>-280.04945999999973</v>
      </c>
    </row>
    <row r="57" spans="1:7" s="6" customFormat="1" ht="15.75" hidden="1" customHeight="1">
      <c r="A57" s="35" t="s">
        <v>32</v>
      </c>
      <c r="B57" s="36" t="s">
        <v>33</v>
      </c>
      <c r="C57" s="282"/>
      <c r="D57" s="282"/>
      <c r="E57" s="38"/>
      <c r="F57" s="38"/>
    </row>
    <row r="58" spans="1:7" ht="17.25" customHeight="1">
      <c r="A58" s="35" t="s">
        <v>34</v>
      </c>
      <c r="B58" s="39" t="s">
        <v>35</v>
      </c>
      <c r="C58" s="282">
        <v>1100.9659999999999</v>
      </c>
      <c r="D58" s="282">
        <v>821.91654000000005</v>
      </c>
      <c r="E58" s="38">
        <f t="shared" ref="E58:E97" si="3">SUM(D58/C58*100)</f>
        <v>74.654125558827445</v>
      </c>
      <c r="F58" s="38">
        <f t="shared" ref="F58:F97" si="4">SUM(D58-C58)</f>
        <v>-279.04945999999984</v>
      </c>
    </row>
    <row r="59" spans="1:7" ht="17.25" hidden="1" customHeight="1">
      <c r="A59" s="35" t="s">
        <v>36</v>
      </c>
      <c r="B59" s="39" t="s">
        <v>37</v>
      </c>
      <c r="C59" s="282"/>
      <c r="D59" s="282"/>
      <c r="E59" s="38"/>
      <c r="F59" s="38">
        <f t="shared" si="4"/>
        <v>0</v>
      </c>
    </row>
    <row r="60" spans="1:7" ht="15.75" hidden="1" customHeight="1">
      <c r="A60" s="35" t="s">
        <v>38</v>
      </c>
      <c r="B60" s="39" t="s">
        <v>39</v>
      </c>
      <c r="C60" s="282"/>
      <c r="D60" s="282"/>
      <c r="E60" s="38" t="e">
        <f t="shared" si="3"/>
        <v>#DIV/0!</v>
      </c>
      <c r="F60" s="38">
        <f t="shared" si="4"/>
        <v>0</v>
      </c>
    </row>
    <row r="61" spans="1:7" ht="15" customHeight="1">
      <c r="A61" s="35" t="s">
        <v>40</v>
      </c>
      <c r="B61" s="39" t="s">
        <v>41</v>
      </c>
      <c r="C61" s="282">
        <v>32.152000000000001</v>
      </c>
      <c r="D61" s="282">
        <v>32.152000000000001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283">
        <v>1</v>
      </c>
      <c r="D62" s="283">
        <v>0</v>
      </c>
      <c r="E62" s="38">
        <f t="shared" si="3"/>
        <v>0</v>
      </c>
      <c r="F62" s="38">
        <f t="shared" si="4"/>
        <v>-1</v>
      </c>
    </row>
    <row r="63" spans="1:7" ht="19.5" customHeight="1">
      <c r="A63" s="35" t="s">
        <v>44</v>
      </c>
      <c r="B63" s="39" t="s">
        <v>45</v>
      </c>
      <c r="C63" s="282">
        <v>5.6425000000000001</v>
      </c>
      <c r="D63" s="282">
        <v>5.6425000000000001</v>
      </c>
      <c r="E63" s="38">
        <f t="shared" si="3"/>
        <v>100</v>
      </c>
      <c r="F63" s="38">
        <f t="shared" si="4"/>
        <v>0</v>
      </c>
    </row>
    <row r="64" spans="1:7" s="6" customFormat="1">
      <c r="A64" s="41" t="s">
        <v>46</v>
      </c>
      <c r="B64" s="42" t="s">
        <v>47</v>
      </c>
      <c r="C64" s="33">
        <f>C65</f>
        <v>70.596000000000004</v>
      </c>
      <c r="D64" s="33">
        <f>D65</f>
        <v>64.453280000000007</v>
      </c>
      <c r="E64" s="34">
        <f t="shared" si="3"/>
        <v>91.298770468581793</v>
      </c>
      <c r="F64" s="34">
        <f t="shared" si="4"/>
        <v>-6.1427199999999971</v>
      </c>
    </row>
    <row r="65" spans="1:9">
      <c r="A65" s="43" t="s">
        <v>48</v>
      </c>
      <c r="B65" s="44" t="s">
        <v>49</v>
      </c>
      <c r="C65" s="282">
        <v>70.596000000000004</v>
      </c>
      <c r="D65" s="282">
        <v>64.453280000000007</v>
      </c>
      <c r="E65" s="38">
        <f t="shared" si="3"/>
        <v>91.298770468581793</v>
      </c>
      <c r="F65" s="38">
        <f t="shared" si="4"/>
        <v>-6.1427199999999971</v>
      </c>
    </row>
    <row r="66" spans="1:9" s="6" customFormat="1" ht="18" customHeight="1">
      <c r="A66" s="30" t="s">
        <v>50</v>
      </c>
      <c r="B66" s="31" t="s">
        <v>51</v>
      </c>
      <c r="C66" s="33">
        <f>C69+C70</f>
        <v>8</v>
      </c>
      <c r="D66" s="33">
        <f>D69+D70</f>
        <v>7.931</v>
      </c>
      <c r="E66" s="34">
        <f t="shared" si="3"/>
        <v>99.137500000000003</v>
      </c>
      <c r="F66" s="34">
        <f t="shared" si="4"/>
        <v>-6.899999999999995E-2</v>
      </c>
    </row>
    <row r="67" spans="1:9" ht="1.5" hidden="1" customHeight="1">
      <c r="A67" s="35" t="s">
        <v>52</v>
      </c>
      <c r="B67" s="39" t="s">
        <v>53</v>
      </c>
      <c r="C67" s="282">
        <v>0</v>
      </c>
      <c r="D67" s="33">
        <v>0</v>
      </c>
      <c r="E67" s="34" t="e">
        <f t="shared" si="3"/>
        <v>#DIV/0!</v>
      </c>
      <c r="F67" s="34">
        <f t="shared" si="4"/>
        <v>0</v>
      </c>
    </row>
    <row r="68" spans="1:9" ht="20.25" hidden="1" customHeight="1">
      <c r="A68" s="45" t="s">
        <v>54</v>
      </c>
      <c r="B68" s="39" t="s">
        <v>55</v>
      </c>
      <c r="C68" s="282">
        <v>0</v>
      </c>
      <c r="D68" s="33">
        <v>0</v>
      </c>
      <c r="E68" s="34" t="e">
        <f t="shared" si="3"/>
        <v>#DIV/0!</v>
      </c>
      <c r="F68" s="34">
        <f t="shared" si="4"/>
        <v>0</v>
      </c>
    </row>
    <row r="69" spans="1:9" ht="17.25" customHeight="1">
      <c r="A69" s="46" t="s">
        <v>56</v>
      </c>
      <c r="B69" s="47" t="s">
        <v>57</v>
      </c>
      <c r="C69" s="284">
        <v>0</v>
      </c>
      <c r="D69" s="33">
        <v>0</v>
      </c>
      <c r="E69" s="34" t="e">
        <f t="shared" si="3"/>
        <v>#DIV/0!</v>
      </c>
      <c r="F69" s="34">
        <f t="shared" si="4"/>
        <v>0</v>
      </c>
    </row>
    <row r="70" spans="1:9">
      <c r="A70" s="46" t="s">
        <v>219</v>
      </c>
      <c r="B70" s="47" t="s">
        <v>220</v>
      </c>
      <c r="C70" s="282">
        <v>8</v>
      </c>
      <c r="D70" s="282">
        <v>7.931</v>
      </c>
      <c r="E70" s="34">
        <f t="shared" si="3"/>
        <v>99.137500000000003</v>
      </c>
      <c r="F70" s="34">
        <f t="shared" si="4"/>
        <v>-6.899999999999995E-2</v>
      </c>
    </row>
    <row r="71" spans="1:9" s="6" customFormat="1" ht="17.25" customHeight="1">
      <c r="A71" s="30" t="s">
        <v>58</v>
      </c>
      <c r="B71" s="31" t="s">
        <v>59</v>
      </c>
      <c r="C71" s="33">
        <f>SUM(C72:C75)</f>
        <v>1549.45453</v>
      </c>
      <c r="D71" s="33">
        <f>SUM(D72:D75)</f>
        <v>929.34582999999998</v>
      </c>
      <c r="E71" s="34">
        <f t="shared" si="3"/>
        <v>59.978903027247924</v>
      </c>
      <c r="F71" s="34">
        <f t="shared" si="4"/>
        <v>-620.1087</v>
      </c>
      <c r="I71" s="108"/>
    </row>
    <row r="72" spans="1:9" ht="15.75" customHeight="1">
      <c r="A72" s="35" t="s">
        <v>60</v>
      </c>
      <c r="B72" s="39" t="s">
        <v>61</v>
      </c>
      <c r="C72" s="282">
        <v>7.5</v>
      </c>
      <c r="D72" s="282">
        <v>3.75</v>
      </c>
      <c r="E72" s="38">
        <f t="shared" si="3"/>
        <v>50</v>
      </c>
      <c r="F72" s="38">
        <f t="shared" si="4"/>
        <v>-3.75</v>
      </c>
    </row>
    <row r="73" spans="1:9" s="6" customFormat="1" ht="19.5" customHeight="1">
      <c r="A73" s="35" t="s">
        <v>62</v>
      </c>
      <c r="B73" s="39" t="s">
        <v>63</v>
      </c>
      <c r="C73" s="282">
        <v>60</v>
      </c>
      <c r="D73" s="282">
        <v>23.57723</v>
      </c>
      <c r="E73" s="38">
        <f t="shared" si="3"/>
        <v>39.295383333333334</v>
      </c>
      <c r="F73" s="38">
        <f t="shared" si="4"/>
        <v>-36.42277</v>
      </c>
      <c r="G73" s="50"/>
    </row>
    <row r="74" spans="1:9">
      <c r="A74" s="35" t="s">
        <v>64</v>
      </c>
      <c r="B74" s="39" t="s">
        <v>65</v>
      </c>
      <c r="C74" s="282">
        <v>1409.15453</v>
      </c>
      <c r="D74" s="282">
        <v>896.01859999999999</v>
      </c>
      <c r="E74" s="38">
        <f t="shared" si="3"/>
        <v>63.585545866286218</v>
      </c>
      <c r="F74" s="38">
        <f t="shared" si="4"/>
        <v>-513.13593000000003</v>
      </c>
    </row>
    <row r="75" spans="1:9">
      <c r="A75" s="35" t="s">
        <v>66</v>
      </c>
      <c r="B75" s="39" t="s">
        <v>67</v>
      </c>
      <c r="C75" s="282">
        <v>72.8</v>
      </c>
      <c r="D75" s="282">
        <v>6</v>
      </c>
      <c r="E75" s="38">
        <f t="shared" si="3"/>
        <v>8.2417582417582409</v>
      </c>
      <c r="F75" s="38">
        <f t="shared" si="4"/>
        <v>-66.8</v>
      </c>
    </row>
    <row r="76" spans="1:9" s="6" customFormat="1" ht="18" customHeight="1">
      <c r="A76" s="30" t="s">
        <v>68</v>
      </c>
      <c r="B76" s="31" t="s">
        <v>69</v>
      </c>
      <c r="C76" s="33">
        <f>SUM(C77:C79)</f>
        <v>208.36099999999999</v>
      </c>
      <c r="D76" s="33">
        <f>SUM(D77:D79)</f>
        <v>106.57683</v>
      </c>
      <c r="E76" s="34">
        <f t="shared" si="3"/>
        <v>51.150085668623213</v>
      </c>
      <c r="F76" s="34">
        <f t="shared" si="4"/>
        <v>-101.78416999999999</v>
      </c>
    </row>
    <row r="77" spans="1:9" ht="15" hidden="1" customHeight="1">
      <c r="A77" s="35" t="s">
        <v>70</v>
      </c>
      <c r="B77" s="51" t="s">
        <v>71</v>
      </c>
      <c r="C77" s="282"/>
      <c r="D77" s="282"/>
      <c r="E77" s="38" t="e">
        <f t="shared" si="3"/>
        <v>#DIV/0!</v>
      </c>
      <c r="F77" s="38">
        <f t="shared" si="4"/>
        <v>0</v>
      </c>
    </row>
    <row r="78" spans="1:9" ht="18" hidden="1" customHeight="1">
      <c r="A78" s="35" t="s">
        <v>72</v>
      </c>
      <c r="B78" s="51" t="s">
        <v>73</v>
      </c>
      <c r="C78" s="282"/>
      <c r="D78" s="282"/>
      <c r="E78" s="38" t="e">
        <f t="shared" si="3"/>
        <v>#DIV/0!</v>
      </c>
      <c r="F78" s="38">
        <f t="shared" si="4"/>
        <v>0</v>
      </c>
    </row>
    <row r="79" spans="1:9">
      <c r="A79" s="35" t="s">
        <v>74</v>
      </c>
      <c r="B79" s="39" t="s">
        <v>75</v>
      </c>
      <c r="C79" s="282">
        <v>208.36099999999999</v>
      </c>
      <c r="D79" s="282">
        <v>106.57683</v>
      </c>
      <c r="E79" s="38">
        <f t="shared" si="3"/>
        <v>51.150085668623213</v>
      </c>
      <c r="F79" s="38">
        <f t="shared" si="4"/>
        <v>-101.78416999999999</v>
      </c>
    </row>
    <row r="80" spans="1:9" s="6" customFormat="1">
      <c r="A80" s="30" t="s">
        <v>86</v>
      </c>
      <c r="B80" s="31" t="s">
        <v>87</v>
      </c>
      <c r="C80" s="33">
        <f>C81</f>
        <v>689.50350000000003</v>
      </c>
      <c r="D80" s="33">
        <f>SUM(D81)</f>
        <v>548.70299999999997</v>
      </c>
      <c r="E80" s="34">
        <f t="shared" si="3"/>
        <v>79.579436507573917</v>
      </c>
      <c r="F80" s="34">
        <f t="shared" si="4"/>
        <v>-140.80050000000006</v>
      </c>
    </row>
    <row r="81" spans="1:12" ht="15.75" customHeight="1">
      <c r="A81" s="35" t="s">
        <v>88</v>
      </c>
      <c r="B81" s="39" t="s">
        <v>234</v>
      </c>
      <c r="C81" s="282">
        <v>689.50350000000003</v>
      </c>
      <c r="D81" s="282">
        <v>548.70299999999997</v>
      </c>
      <c r="E81" s="38">
        <f t="shared" si="3"/>
        <v>79.579436507573917</v>
      </c>
      <c r="F81" s="38">
        <f t="shared" si="4"/>
        <v>-140.80050000000006</v>
      </c>
      <c r="L81" s="107"/>
    </row>
    <row r="82" spans="1:12" s="6" customFormat="1">
      <c r="A82" s="52">
        <v>1000</v>
      </c>
      <c r="B82" s="31" t="s">
        <v>89</v>
      </c>
      <c r="C82" s="33">
        <f>SUM(C83:C86)</f>
        <v>5</v>
      </c>
      <c r="D82" s="33">
        <f>SUM(D83:D86)</f>
        <v>5</v>
      </c>
      <c r="E82" s="34">
        <f>SUM(D82/C82*100)</f>
        <v>100</v>
      </c>
      <c r="F82" s="34">
        <f t="shared" si="4"/>
        <v>0</v>
      </c>
    </row>
    <row r="83" spans="1:12" hidden="1">
      <c r="A83" s="53">
        <v>1001</v>
      </c>
      <c r="B83" s="54" t="s">
        <v>90</v>
      </c>
      <c r="C83" s="282"/>
      <c r="D83" s="282"/>
      <c r="E83" s="352" t="e">
        <f>SUM(D83/C83*100)</f>
        <v>#DIV/0!</v>
      </c>
      <c r="F83" s="352">
        <f>SUM(D83-C83)</f>
        <v>0</v>
      </c>
    </row>
    <row r="84" spans="1:12" hidden="1">
      <c r="A84" s="53">
        <v>1003</v>
      </c>
      <c r="B84" s="54" t="s">
        <v>91</v>
      </c>
      <c r="C84" s="282"/>
      <c r="D84" s="282"/>
      <c r="E84" s="352" t="e">
        <f>SUM(D84/C84*100)</f>
        <v>#DIV/0!</v>
      </c>
      <c r="F84" s="352">
        <f>SUM(D84-C84)</f>
        <v>0</v>
      </c>
    </row>
    <row r="85" spans="1:12" hidden="1">
      <c r="A85" s="53">
        <v>1004</v>
      </c>
      <c r="B85" s="54" t="s">
        <v>92</v>
      </c>
      <c r="C85" s="282"/>
      <c r="D85" s="285"/>
      <c r="E85" s="352" t="e">
        <f>SUM(D85/C85*100)</f>
        <v>#DIV/0!</v>
      </c>
      <c r="F85" s="352">
        <f>SUM(D85-C85)</f>
        <v>0</v>
      </c>
    </row>
    <row r="86" spans="1:12" ht="15" customHeight="1">
      <c r="A86" s="35" t="s">
        <v>93</v>
      </c>
      <c r="B86" s="39" t="s">
        <v>94</v>
      </c>
      <c r="C86" s="282">
        <v>5</v>
      </c>
      <c r="D86" s="282">
        <v>5</v>
      </c>
      <c r="E86" s="352">
        <f>SUM(D86/C86*100)</f>
        <v>100</v>
      </c>
      <c r="F86" s="352">
        <f>SUM(D86-C86)</f>
        <v>0</v>
      </c>
    </row>
    <row r="87" spans="1:12" ht="19.5" customHeight="1">
      <c r="A87" s="30" t="s">
        <v>95</v>
      </c>
      <c r="B87" s="31" t="s">
        <v>96</v>
      </c>
      <c r="C87" s="33">
        <f>C88+C89+C90+C91+C92</f>
        <v>4</v>
      </c>
      <c r="D87" s="33">
        <f>D88+D89+D90+D91+D92</f>
        <v>3.9980000000000002</v>
      </c>
      <c r="E87" s="38">
        <f t="shared" si="3"/>
        <v>99.95</v>
      </c>
      <c r="F87" s="22">
        <f>F88+F89+F90+F91+F92</f>
        <v>-1.9999999999997797E-3</v>
      </c>
    </row>
    <row r="88" spans="1:12" ht="15.75" customHeight="1">
      <c r="A88" s="35" t="s">
        <v>97</v>
      </c>
      <c r="B88" s="39" t="s">
        <v>98</v>
      </c>
      <c r="C88" s="282">
        <v>4</v>
      </c>
      <c r="D88" s="282">
        <v>3.9980000000000002</v>
      </c>
      <c r="E88" s="38">
        <f t="shared" si="3"/>
        <v>99.95</v>
      </c>
      <c r="F88" s="38">
        <f>SUM(D88-C88)</f>
        <v>-1.9999999999997797E-3</v>
      </c>
    </row>
    <row r="89" spans="1:12" ht="0.75" hidden="1" customHeight="1">
      <c r="A89" s="35" t="s">
        <v>99</v>
      </c>
      <c r="B89" s="39" t="s">
        <v>100</v>
      </c>
      <c r="C89" s="282"/>
      <c r="D89" s="282">
        <v>0</v>
      </c>
      <c r="E89" s="38" t="e">
        <f t="shared" si="3"/>
        <v>#DIV/0!</v>
      </c>
      <c r="F89" s="38">
        <f>SUM(D89-C89)</f>
        <v>0</v>
      </c>
    </row>
    <row r="90" spans="1:12" ht="15.75" hidden="1" customHeight="1">
      <c r="A90" s="35" t="s">
        <v>101</v>
      </c>
      <c r="B90" s="39" t="s">
        <v>102</v>
      </c>
      <c r="C90" s="282"/>
      <c r="D90" s="282"/>
      <c r="E90" s="38" t="e">
        <f t="shared" si="3"/>
        <v>#DIV/0!</v>
      </c>
      <c r="F90" s="38"/>
    </row>
    <row r="91" spans="1:12" ht="3" hidden="1" customHeight="1">
      <c r="A91" s="35" t="s">
        <v>103</v>
      </c>
      <c r="B91" s="39" t="s">
        <v>104</v>
      </c>
      <c r="C91" s="282"/>
      <c r="D91" s="282"/>
      <c r="E91" s="38" t="e">
        <f t="shared" si="3"/>
        <v>#DIV/0!</v>
      </c>
      <c r="F91" s="38"/>
    </row>
    <row r="92" spans="1:12" ht="15" hidden="1" customHeight="1">
      <c r="A92" s="35" t="s">
        <v>105</v>
      </c>
      <c r="B92" s="39" t="s">
        <v>106</v>
      </c>
      <c r="C92" s="282"/>
      <c r="D92" s="282"/>
      <c r="E92" s="38" t="e">
        <f t="shared" si="3"/>
        <v>#DIV/0!</v>
      </c>
      <c r="F92" s="38"/>
    </row>
    <row r="93" spans="1:12" s="6" customFormat="1" ht="12" hidden="1" customHeight="1">
      <c r="A93" s="52">
        <v>1400</v>
      </c>
      <c r="B93" s="56" t="s">
        <v>115</v>
      </c>
      <c r="C93" s="33">
        <f>C94+C95+C96</f>
        <v>0</v>
      </c>
      <c r="D93" s="33">
        <f>SUM(D94:D96)</f>
        <v>0</v>
      </c>
      <c r="E93" s="34" t="e">
        <f t="shared" si="3"/>
        <v>#DIV/0!</v>
      </c>
      <c r="F93" s="34">
        <f t="shared" si="4"/>
        <v>0</v>
      </c>
    </row>
    <row r="94" spans="1:12" ht="15.75" hidden="1" customHeight="1">
      <c r="A94" s="53">
        <v>1401</v>
      </c>
      <c r="B94" s="54" t="s">
        <v>116</v>
      </c>
      <c r="C94" s="282"/>
      <c r="D94" s="282"/>
      <c r="E94" s="38" t="e">
        <f t="shared" si="3"/>
        <v>#DIV/0!</v>
      </c>
      <c r="F94" s="38">
        <f t="shared" si="4"/>
        <v>0</v>
      </c>
    </row>
    <row r="95" spans="1:12" hidden="1">
      <c r="A95" s="53">
        <v>1402</v>
      </c>
      <c r="B95" s="54" t="s">
        <v>117</v>
      </c>
      <c r="C95" s="282"/>
      <c r="D95" s="282"/>
      <c r="E95" s="38" t="e">
        <f t="shared" si="3"/>
        <v>#DIV/0!</v>
      </c>
      <c r="F95" s="38">
        <f t="shared" si="4"/>
        <v>0</v>
      </c>
    </row>
    <row r="96" spans="1:12" ht="23.25" hidden="1" customHeight="1">
      <c r="A96" s="53">
        <v>1403</v>
      </c>
      <c r="B96" s="54" t="s">
        <v>118</v>
      </c>
      <c r="C96" s="282"/>
      <c r="D96" s="282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33">
        <f>C56+C64+C66+C71+C76+C80+C87+C82</f>
        <v>3674.6755299999995</v>
      </c>
      <c r="D97" s="33">
        <f>D56+D64+D66+D71+D76+D80+D87+D82</f>
        <v>2525.7189800000001</v>
      </c>
      <c r="E97" s="34">
        <f t="shared" si="3"/>
        <v>68.733115601093644</v>
      </c>
      <c r="F97" s="34">
        <f t="shared" si="4"/>
        <v>-1148.9565499999994</v>
      </c>
      <c r="G97" s="151"/>
    </row>
    <row r="98" spans="1:7" ht="20.25" customHeight="1">
      <c r="C98" s="126"/>
      <c r="D98" s="101"/>
    </row>
    <row r="99" spans="1:7" s="65" customFormat="1" ht="13.5" customHeight="1">
      <c r="A99" s="63" t="s">
        <v>120</v>
      </c>
      <c r="B99" s="63"/>
      <c r="C99" s="116"/>
      <c r="D99" s="64"/>
      <c r="E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>
      <c r="C101" s="120"/>
    </row>
    <row r="103" spans="1:7" ht="5.25" customHeight="1"/>
    <row r="141" hidden="1"/>
  </sheetData>
  <customSheetViews>
    <customSheetView guid="{8E17DC23-BE06-48DD-840B-6DD85B9E86D1}" scale="70" showPageBreaks="1" hiddenRows="1" view="pageBreakPreview" topLeftCell="A39">
      <selection activeCell="C97" activeCellId="2" sqref="D40:D41 C51:D52 C97:D97"/>
      <pageMargins left="0.70866141732283472" right="0.70866141732283472" top="0.74803149606299213" bottom="0.74803149606299213" header="0.31496062992125984" footer="0.31496062992125984"/>
      <pageSetup paperSize="9" scale="58" orientation="portrait" r:id="rId1"/>
    </customSheetView>
    <customSheetView guid="{5BFCA170-DEAE-4D2C-98A0-1E68B427AC01}" showPageBreaks="1" hiddenRows="1" topLeftCell="A37">
      <selection activeCell="B100" sqref="B100"/>
      <pageMargins left="0.7" right="0.7" top="0.75" bottom="0.75" header="0.3" footer="0.3"/>
      <pageSetup paperSize="9" scale="54" orientation="portrait" r:id="rId2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hiddenRows="1" view="pageBreakPreview" topLeftCell="A16">
      <selection activeCell="D4" sqref="C4:D50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55" orientation="portrait" r:id="rId5"/>
    </customSheetView>
    <customSheetView guid="{B30CE22D-C12F-4E12-8BB9-3AAE0A6991CC}" scale="70" showPageBreaks="1" hiddenRows="1" view="pageBreakPreview" topLeftCell="A37">
      <selection activeCell="D99" sqref="D99:E99"/>
      <pageMargins left="0.70866141732283472" right="0.70866141732283472" top="0.74803149606299213" bottom="0.74803149606299213" header="0.31496062992125984" footer="0.31496062992125984"/>
      <pageSetup paperSize="9" scale="53" orientation="portrait" r:id="rId6"/>
    </customSheetView>
    <customSheetView guid="{A54C432C-6C68-4B53-A75C-446EB3A61B2B}" scale="70" showPageBreaks="1" hiddenRows="1" view="pageBreakPreview" topLeftCell="A39">
      <selection activeCell="C97" activeCellId="2" sqref="D40:D41 C51:D52 C97:D97"/>
      <pageMargins left="0.70866141732283472" right="0.70866141732283472" top="0.74803149606299213" bottom="0.74803149606299213" header="0.31496062992125984" footer="0.31496062992125984"/>
      <pageSetup paperSize="9" scale="58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8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/>
  <dimension ref="A1:G141"/>
  <sheetViews>
    <sheetView view="pageBreakPreview" topLeftCell="A48" zoomScale="70" zoomScaleNormal="100" zoomScaleSheetLayoutView="70" workbookViewId="0">
      <selection activeCell="G51" sqref="G5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7.42578125" style="62" customWidth="1"/>
    <col min="5" max="5" width="10.42578125" style="62" customWidth="1"/>
    <col min="6" max="6" width="9.42578125" style="62" customWidth="1"/>
    <col min="7" max="7" width="17.710937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430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2425.41</v>
      </c>
      <c r="D4" s="5">
        <f>D5+D12+D14+D17+D7</f>
        <v>1904.24863</v>
      </c>
      <c r="E4" s="5">
        <f>SUM(D4/C4*100)</f>
        <v>78.512442432413494</v>
      </c>
      <c r="F4" s="5">
        <f>SUM(D4-C4)</f>
        <v>-521.16136999999981</v>
      </c>
    </row>
    <row r="5" spans="1:6" s="6" customFormat="1">
      <c r="A5" s="68">
        <v>1010000000</v>
      </c>
      <c r="B5" s="67" t="s">
        <v>6</v>
      </c>
      <c r="C5" s="5">
        <f>C6</f>
        <v>114.5</v>
      </c>
      <c r="D5" s="5">
        <f>D6</f>
        <v>98.722260000000006</v>
      </c>
      <c r="E5" s="5">
        <f t="shared" ref="E5:E50" si="0">SUM(D5/C5*100)</f>
        <v>86.220314410480356</v>
      </c>
      <c r="F5" s="5">
        <f t="shared" ref="F5:F50" si="1">SUM(D5-C5)</f>
        <v>-15.777739999999994</v>
      </c>
    </row>
    <row r="6" spans="1:6">
      <c r="A6" s="7">
        <v>1010200001</v>
      </c>
      <c r="B6" s="8" t="s">
        <v>229</v>
      </c>
      <c r="C6" s="9">
        <v>114.5</v>
      </c>
      <c r="D6" s="10">
        <v>98.722260000000006</v>
      </c>
      <c r="E6" s="9">
        <f t="shared" ref="E6:E11" si="2">SUM(D6/C6*100)</f>
        <v>86.220314410480356</v>
      </c>
      <c r="F6" s="9">
        <f t="shared" si="1"/>
        <v>-15.777739999999994</v>
      </c>
    </row>
    <row r="7" spans="1:6" ht="31.5">
      <c r="A7" s="3">
        <v>1030000000</v>
      </c>
      <c r="B7" s="13" t="s">
        <v>281</v>
      </c>
      <c r="C7" s="5">
        <f>C8+C10+C9</f>
        <v>497.40999999999997</v>
      </c>
      <c r="D7" s="5">
        <f>D8+D10+D9+D11</f>
        <v>434.72007999999994</v>
      </c>
      <c r="E7" s="5">
        <f t="shared" si="2"/>
        <v>87.396731066926662</v>
      </c>
      <c r="F7" s="5">
        <f t="shared" si="1"/>
        <v>-62.689920000000029</v>
      </c>
    </row>
    <row r="8" spans="1:6">
      <c r="A8" s="7">
        <v>1030223001</v>
      </c>
      <c r="B8" s="8" t="s">
        <v>283</v>
      </c>
      <c r="C8" s="9">
        <v>185.53</v>
      </c>
      <c r="D8" s="10">
        <v>191.74575999999999</v>
      </c>
      <c r="E8" s="9">
        <f t="shared" si="2"/>
        <v>103.35027219317629</v>
      </c>
      <c r="F8" s="9">
        <f t="shared" si="1"/>
        <v>6.2157599999999888</v>
      </c>
    </row>
    <row r="9" spans="1:6">
      <c r="A9" s="7">
        <v>1030224001</v>
      </c>
      <c r="B9" s="8" t="s">
        <v>289</v>
      </c>
      <c r="C9" s="9">
        <v>2</v>
      </c>
      <c r="D9" s="10">
        <v>1.7790299999999999</v>
      </c>
      <c r="E9" s="9">
        <f t="shared" si="2"/>
        <v>88.951499999999996</v>
      </c>
      <c r="F9" s="9">
        <f t="shared" si="1"/>
        <v>-0.22097000000000011</v>
      </c>
    </row>
    <row r="10" spans="1:6">
      <c r="A10" s="7">
        <v>1030225001</v>
      </c>
      <c r="B10" s="8" t="s">
        <v>282</v>
      </c>
      <c r="C10" s="9">
        <v>309.88</v>
      </c>
      <c r="D10" s="10">
        <v>284.50709000000001</v>
      </c>
      <c r="E10" s="9">
        <f t="shared" si="2"/>
        <v>91.812020782238292</v>
      </c>
      <c r="F10" s="9">
        <f t="shared" si="1"/>
        <v>-25.37290999999999</v>
      </c>
    </row>
    <row r="11" spans="1:6">
      <c r="A11" s="7">
        <v>1030226001</v>
      </c>
      <c r="B11" s="8" t="s">
        <v>291</v>
      </c>
      <c r="C11" s="9">
        <v>0</v>
      </c>
      <c r="D11" s="10">
        <v>-43.311799999999998</v>
      </c>
      <c r="E11" s="9" t="e">
        <f t="shared" si="2"/>
        <v>#DIV/0!</v>
      </c>
      <c r="F11" s="9">
        <f t="shared" si="1"/>
        <v>-43.311799999999998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42.170999999999999</v>
      </c>
      <c r="E12" s="5">
        <f t="shared" si="0"/>
        <v>105.42750000000001</v>
      </c>
      <c r="F12" s="5">
        <f t="shared" si="1"/>
        <v>2.1709999999999994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42.170999999999999</v>
      </c>
      <c r="E13" s="9">
        <f t="shared" si="0"/>
        <v>105.42750000000001</v>
      </c>
      <c r="F13" s="9">
        <f t="shared" si="1"/>
        <v>2.1709999999999994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1761.5</v>
      </c>
      <c r="D14" s="5">
        <f>D15+D16</f>
        <v>1320.9852900000001</v>
      </c>
      <c r="E14" s="5">
        <f t="shared" si="0"/>
        <v>74.992068691456154</v>
      </c>
      <c r="F14" s="5">
        <f t="shared" si="1"/>
        <v>-440.51470999999992</v>
      </c>
    </row>
    <row r="15" spans="1:6" s="6" customFormat="1" ht="15.75" customHeight="1">
      <c r="A15" s="7">
        <v>1060100000</v>
      </c>
      <c r="B15" s="11" t="s">
        <v>9</v>
      </c>
      <c r="C15" s="9">
        <v>150</v>
      </c>
      <c r="D15" s="10">
        <v>143.89569</v>
      </c>
      <c r="E15" s="9">
        <f t="shared" si="0"/>
        <v>95.930460000000011</v>
      </c>
      <c r="F15" s="9">
        <f>SUM(D15-C15)</f>
        <v>-6.1043099999999981</v>
      </c>
    </row>
    <row r="16" spans="1:6" ht="15.75" customHeight="1">
      <c r="A16" s="7">
        <v>1060600000</v>
      </c>
      <c r="B16" s="11" t="s">
        <v>8</v>
      </c>
      <c r="C16" s="9">
        <v>1611.5</v>
      </c>
      <c r="D16" s="10">
        <v>1177.0896</v>
      </c>
      <c r="E16" s="9">
        <f t="shared" si="0"/>
        <v>73.043102699348438</v>
      </c>
      <c r="F16" s="9">
        <f t="shared" si="1"/>
        <v>-434.41039999999998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7.65</v>
      </c>
      <c r="E17" s="5">
        <f t="shared" si="0"/>
        <v>63.750000000000007</v>
      </c>
      <c r="F17" s="5">
        <f t="shared" si="1"/>
        <v>-4.3499999999999996</v>
      </c>
    </row>
    <row r="18" spans="1:6" ht="15" customHeight="1">
      <c r="A18" s="7">
        <v>1080400001</v>
      </c>
      <c r="B18" s="8" t="s">
        <v>228</v>
      </c>
      <c r="C18" s="9">
        <v>12</v>
      </c>
      <c r="D18" s="10">
        <v>7.65</v>
      </c>
      <c r="E18" s="9">
        <f t="shared" si="0"/>
        <v>63.750000000000007</v>
      </c>
      <c r="F18" s="9">
        <f t="shared" si="1"/>
        <v>-4.3499999999999996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300</v>
      </c>
      <c r="D25" s="5">
        <f>D26+D29+D31+D36+D34</f>
        <v>216.00078999999999</v>
      </c>
      <c r="E25" s="5">
        <f t="shared" si="0"/>
        <v>72.000263333333336</v>
      </c>
      <c r="F25" s="5">
        <f t="shared" si="1"/>
        <v>-83.999210000000005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250</v>
      </c>
      <c r="D26" s="5">
        <f>D27+D28</f>
        <v>102.7355</v>
      </c>
      <c r="E26" s="5">
        <f t="shared" si="0"/>
        <v>41.094200000000001</v>
      </c>
      <c r="F26" s="5">
        <f t="shared" si="1"/>
        <v>-147.2645</v>
      </c>
    </row>
    <row r="27" spans="1:6">
      <c r="A27" s="16">
        <v>1110502510</v>
      </c>
      <c r="B27" s="17" t="s">
        <v>226</v>
      </c>
      <c r="C27" s="12">
        <v>220</v>
      </c>
      <c r="D27" s="10">
        <v>65.813000000000002</v>
      </c>
      <c r="E27" s="9">
        <f t="shared" si="0"/>
        <v>29.915000000000003</v>
      </c>
      <c r="F27" s="9">
        <f t="shared" si="1"/>
        <v>-154.18700000000001</v>
      </c>
    </row>
    <row r="28" spans="1:6">
      <c r="A28" s="7">
        <v>1110503510</v>
      </c>
      <c r="B28" s="11" t="s">
        <v>225</v>
      </c>
      <c r="C28" s="12">
        <v>30</v>
      </c>
      <c r="D28" s="10">
        <v>36.922499999999999</v>
      </c>
      <c r="E28" s="9">
        <f t="shared" si="0"/>
        <v>123.075</v>
      </c>
      <c r="F28" s="9">
        <f t="shared" si="1"/>
        <v>6.9224999999999994</v>
      </c>
    </row>
    <row r="29" spans="1:6" s="15" customFormat="1" ht="19.5" customHeight="1">
      <c r="A29" s="68">
        <v>1130000000</v>
      </c>
      <c r="B29" s="69" t="s">
        <v>131</v>
      </c>
      <c r="C29" s="5">
        <f>C30</f>
        <v>50</v>
      </c>
      <c r="D29" s="5">
        <f>D30</f>
        <v>59.210509999999999</v>
      </c>
      <c r="E29" s="5">
        <f t="shared" si="0"/>
        <v>118.42101999999998</v>
      </c>
      <c r="F29" s="5">
        <f t="shared" si="1"/>
        <v>9.2105099999999993</v>
      </c>
    </row>
    <row r="30" spans="1:6" ht="21" customHeight="1">
      <c r="A30" s="7">
        <v>1130206510</v>
      </c>
      <c r="B30" s="8" t="s">
        <v>15</v>
      </c>
      <c r="C30" s="9">
        <v>50</v>
      </c>
      <c r="D30" s="10">
        <v>59.210509999999999</v>
      </c>
      <c r="E30" s="9">
        <f t="shared" si="0"/>
        <v>118.42101999999998</v>
      </c>
      <c r="F30" s="9">
        <f t="shared" si="1"/>
        <v>9.2105099999999993</v>
      </c>
    </row>
    <row r="31" spans="1:6" ht="21" customHeight="1">
      <c r="A31" s="70">
        <v>1140000000</v>
      </c>
      <c r="B31" s="71" t="s">
        <v>132</v>
      </c>
      <c r="C31" s="5">
        <f>C32+C33</f>
        <v>0</v>
      </c>
      <c r="D31" s="5">
        <f>D32+D33</f>
        <v>18.815999999999999</v>
      </c>
      <c r="E31" s="5" t="e">
        <f t="shared" si="0"/>
        <v>#DIV/0!</v>
      </c>
      <c r="F31" s="5">
        <f t="shared" si="1"/>
        <v>18.815999999999999</v>
      </c>
    </row>
    <row r="32" spans="1:6" ht="21.75" customHeight="1">
      <c r="A32" s="16">
        <v>1140200000</v>
      </c>
      <c r="B32" s="18" t="s">
        <v>133</v>
      </c>
      <c r="C32" s="9">
        <v>0</v>
      </c>
      <c r="D32" s="10">
        <v>18.815999999999999</v>
      </c>
      <c r="E32" s="9" t="e">
        <f t="shared" si="0"/>
        <v>#DIV/0!</v>
      </c>
      <c r="F32" s="9">
        <f t="shared" si="1"/>
        <v>18.815999999999999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>
      <c r="A34" s="3">
        <v>1160000000</v>
      </c>
      <c r="B34" s="13" t="s">
        <v>252</v>
      </c>
      <c r="C34" s="9">
        <v>0</v>
      </c>
      <c r="D34" s="14">
        <f>D35</f>
        <v>1.17597</v>
      </c>
      <c r="E34" s="9" t="e">
        <f t="shared" si="0"/>
        <v>#DIV/0!</v>
      </c>
      <c r="F34" s="9">
        <f t="shared" si="1"/>
        <v>1.17597</v>
      </c>
    </row>
    <row r="35" spans="1:7" ht="47.25">
      <c r="A35" s="7">
        <v>1163305010</v>
      </c>
      <c r="B35" s="8" t="s">
        <v>268</v>
      </c>
      <c r="C35" s="9">
        <v>0</v>
      </c>
      <c r="D35" s="10">
        <v>1.17597</v>
      </c>
      <c r="E35" s="9" t="e">
        <f t="shared" si="0"/>
        <v>#DIV/0!</v>
      </c>
      <c r="F35" s="9">
        <f t="shared" si="1"/>
        <v>1.17597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34.062809999999999</v>
      </c>
      <c r="E36" s="9" t="e">
        <f t="shared" si="0"/>
        <v>#DIV/0!</v>
      </c>
      <c r="F36" s="5">
        <f t="shared" si="1"/>
        <v>34.062809999999999</v>
      </c>
    </row>
    <row r="37" spans="1:7" ht="18" customHeight="1">
      <c r="A37" s="7">
        <v>1170105005</v>
      </c>
      <c r="B37" s="8" t="s">
        <v>18</v>
      </c>
      <c r="C37" s="9">
        <f>C38</f>
        <v>0</v>
      </c>
      <c r="D37" s="9">
        <v>34.062809999999999</v>
      </c>
      <c r="E37" s="9" t="e">
        <f t="shared" si="0"/>
        <v>#DIV/0!</v>
      </c>
      <c r="F37" s="9">
        <f t="shared" si="1"/>
        <v>34.062809999999999</v>
      </c>
    </row>
    <row r="38" spans="1:7" ht="15" hidden="1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7.25" customHeight="1">
      <c r="A39" s="3">
        <v>1000000000</v>
      </c>
      <c r="B39" s="4" t="s">
        <v>19</v>
      </c>
      <c r="C39" s="127">
        <f>SUM(C4,C25)</f>
        <v>2725.41</v>
      </c>
      <c r="D39" s="127">
        <f>SUM(D4,D25)</f>
        <v>2120.2494200000001</v>
      </c>
      <c r="E39" s="5">
        <f t="shared" si="0"/>
        <v>77.795613137105988</v>
      </c>
      <c r="F39" s="5">
        <f t="shared" si="1"/>
        <v>-605.16057999999975</v>
      </c>
    </row>
    <row r="40" spans="1:7" s="6" customFormat="1">
      <c r="A40" s="3">
        <v>2000000000</v>
      </c>
      <c r="B40" s="4" t="s">
        <v>20</v>
      </c>
      <c r="C40" s="5">
        <f>C41+C43+C44+C45+C46+C47+C48+C42</f>
        <v>2247.9899999999998</v>
      </c>
      <c r="D40" s="5">
        <f>D41+D42+D43+D44+D48+D47+D45</f>
        <v>1237.2572500000001</v>
      </c>
      <c r="E40" s="5">
        <f t="shared" si="0"/>
        <v>55.038378729442762</v>
      </c>
      <c r="F40" s="5">
        <f t="shared" si="1"/>
        <v>-1010.7327499999997</v>
      </c>
      <c r="G40" s="19"/>
    </row>
    <row r="41" spans="1:7" ht="15" customHeight="1">
      <c r="A41" s="16">
        <v>2021000000</v>
      </c>
      <c r="B41" s="17" t="s">
        <v>21</v>
      </c>
      <c r="C41" s="12">
        <v>859.154</v>
      </c>
      <c r="D41" s="20">
        <v>847.83699999999999</v>
      </c>
      <c r="E41" s="9">
        <f t="shared" si="0"/>
        <v>98.682773984640704</v>
      </c>
      <c r="F41" s="9">
        <f t="shared" si="1"/>
        <v>-11.317000000000007</v>
      </c>
    </row>
    <row r="42" spans="1:7" ht="15" customHeight="1">
      <c r="A42" s="16">
        <v>2021500200</v>
      </c>
      <c r="B42" s="17" t="s">
        <v>232</v>
      </c>
      <c r="C42" s="12">
        <v>700</v>
      </c>
      <c r="D42" s="20">
        <v>0</v>
      </c>
      <c r="E42" s="9">
        <f>SUM(D42/C42*100)</f>
        <v>0</v>
      </c>
      <c r="F42" s="9">
        <f>SUM(D42-C42)</f>
        <v>-700</v>
      </c>
    </row>
    <row r="43" spans="1:7">
      <c r="A43" s="16">
        <v>2022000000</v>
      </c>
      <c r="B43" s="17" t="s">
        <v>22</v>
      </c>
      <c r="C43" s="12">
        <v>457.16199999999998</v>
      </c>
      <c r="D43" s="10">
        <v>421.51100000000002</v>
      </c>
      <c r="E43" s="9">
        <f t="shared" si="0"/>
        <v>92.201670305055984</v>
      </c>
      <c r="F43" s="9">
        <f t="shared" si="1"/>
        <v>-35.650999999999954</v>
      </c>
    </row>
    <row r="44" spans="1:7" ht="18.75" customHeight="1">
      <c r="A44" s="16">
        <v>2023000000</v>
      </c>
      <c r="B44" s="17" t="s">
        <v>23</v>
      </c>
      <c r="C44" s="12">
        <v>71.573999999999998</v>
      </c>
      <c r="D44" s="251">
        <v>70.594999999999999</v>
      </c>
      <c r="E44" s="9">
        <f t="shared" si="0"/>
        <v>98.632184871601424</v>
      </c>
      <c r="F44" s="9">
        <f t="shared" si="1"/>
        <v>-0.9789999999999992</v>
      </c>
    </row>
    <row r="45" spans="1:7" ht="17.25" customHeight="1">
      <c r="A45" s="16">
        <v>2020400000</v>
      </c>
      <c r="B45" s="17" t="s">
        <v>24</v>
      </c>
      <c r="C45" s="12">
        <v>120</v>
      </c>
      <c r="D45" s="252">
        <v>120</v>
      </c>
      <c r="E45" s="9">
        <f t="shared" si="0"/>
        <v>100</v>
      </c>
      <c r="F45" s="9">
        <f t="shared" si="1"/>
        <v>0</v>
      </c>
    </row>
    <row r="46" spans="1:7" ht="47.25" hidden="1">
      <c r="A46" s="16">
        <v>2020900000</v>
      </c>
      <c r="B46" s="18" t="s">
        <v>25</v>
      </c>
      <c r="C46" s="12"/>
      <c r="D46" s="252"/>
      <c r="E46" s="9" t="e">
        <f t="shared" si="0"/>
        <v>#DIV/0!</v>
      </c>
      <c r="F46" s="9">
        <f t="shared" si="1"/>
        <v>0</v>
      </c>
    </row>
    <row r="47" spans="1:7" hidden="1">
      <c r="A47" s="7">
        <v>2190500005</v>
      </c>
      <c r="B47" s="11" t="s">
        <v>26</v>
      </c>
      <c r="C47" s="10">
        <v>0</v>
      </c>
      <c r="D47" s="10">
        <v>-262.74074999999999</v>
      </c>
      <c r="E47" s="5" t="e">
        <f t="shared" si="0"/>
        <v>#DIV/0!</v>
      </c>
      <c r="F47" s="5">
        <f>SUM(D47-C47)</f>
        <v>-262.74074999999999</v>
      </c>
    </row>
    <row r="48" spans="1:7" ht="18" customHeight="1">
      <c r="A48" s="7">
        <v>2070502010</v>
      </c>
      <c r="B48" s="11" t="s">
        <v>303</v>
      </c>
      <c r="C48" s="10">
        <v>40.1</v>
      </c>
      <c r="D48" s="10">
        <v>40.055</v>
      </c>
      <c r="E48" s="9">
        <f>SUM(D48/C48*100)</f>
        <v>99.887780548628427</v>
      </c>
      <c r="F48" s="9">
        <f>SUM(D48-C48)</f>
        <v>-4.5000000000001705E-2</v>
      </c>
    </row>
    <row r="49" spans="1:7" s="6" customFormat="1">
      <c r="A49" s="353">
        <v>2190000010</v>
      </c>
      <c r="B49" s="354" t="s">
        <v>26</v>
      </c>
      <c r="C49" s="12">
        <v>0</v>
      </c>
      <c r="D49" s="10">
        <v>-262.74074999999999</v>
      </c>
      <c r="E49" s="9" t="e">
        <f t="shared" si="0"/>
        <v>#DIV/0!</v>
      </c>
      <c r="F49" s="9">
        <f t="shared" si="1"/>
        <v>-262.74074999999999</v>
      </c>
    </row>
    <row r="50" spans="1:7" s="6" customFormat="1" ht="19.5" customHeight="1">
      <c r="A50" s="3"/>
      <c r="B50" s="4" t="s">
        <v>28</v>
      </c>
      <c r="C50" s="93">
        <f>C39+C40</f>
        <v>4973.3999999999996</v>
      </c>
      <c r="D50" s="407">
        <f>D39+D40</f>
        <v>3357.5066700000002</v>
      </c>
      <c r="E50" s="5">
        <f t="shared" si="0"/>
        <v>67.509282784413088</v>
      </c>
      <c r="F50" s="5">
        <f t="shared" si="1"/>
        <v>-1615.8933299999994</v>
      </c>
      <c r="G50" s="94"/>
    </row>
    <row r="51" spans="1:7" s="6" customFormat="1">
      <c r="A51" s="3"/>
      <c r="B51" s="21" t="s">
        <v>321</v>
      </c>
      <c r="C51" s="93">
        <f>C50-C96</f>
        <v>-646.64892000000145</v>
      </c>
      <c r="D51" s="93">
        <f>D50-D96</f>
        <v>-155.1595199999997</v>
      </c>
      <c r="E51" s="22"/>
      <c r="F51" s="22"/>
    </row>
    <row r="52" spans="1:7">
      <c r="A52" s="23"/>
      <c r="B52" s="24"/>
      <c r="C52" s="350"/>
      <c r="D52" s="350" t="s">
        <v>337</v>
      </c>
      <c r="E52" s="26"/>
      <c r="F52" s="92"/>
    </row>
    <row r="53" spans="1:7" ht="50.25" customHeight="1">
      <c r="A53" s="28" t="s">
        <v>1</v>
      </c>
      <c r="B53" s="28" t="s">
        <v>29</v>
      </c>
      <c r="C53" s="243" t="s">
        <v>346</v>
      </c>
      <c r="D53" s="244" t="s">
        <v>412</v>
      </c>
      <c r="E53" s="72" t="s">
        <v>3</v>
      </c>
      <c r="F53" s="74" t="s">
        <v>4</v>
      </c>
    </row>
    <row r="54" spans="1:7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7" s="6" customFormat="1" ht="30.75" customHeight="1">
      <c r="A55" s="30" t="s">
        <v>30</v>
      </c>
      <c r="B55" s="31" t="s">
        <v>31</v>
      </c>
      <c r="C55" s="246">
        <f>C56+C57+C58+C59+C60+C62+C61</f>
        <v>1444.78</v>
      </c>
      <c r="D55" s="32">
        <f>D56+D57+D58+D59+D60+D62+D61</f>
        <v>1092.19883</v>
      </c>
      <c r="E55" s="34">
        <f>SUM(D55/C55*100)</f>
        <v>75.596203574246601</v>
      </c>
      <c r="F55" s="34">
        <f>SUM(D55-C55)</f>
        <v>-352.58116999999993</v>
      </c>
    </row>
    <row r="56" spans="1:7" s="6" customFormat="1" ht="31.5" hidden="1">
      <c r="A56" s="35" t="s">
        <v>32</v>
      </c>
      <c r="B56" s="36" t="s">
        <v>33</v>
      </c>
      <c r="C56" s="37"/>
      <c r="D56" s="37"/>
      <c r="E56" s="34" t="e">
        <f>SUM(D56/C56*100)</f>
        <v>#DIV/0!</v>
      </c>
      <c r="F56" s="38"/>
    </row>
    <row r="57" spans="1:7" ht="15" customHeight="1">
      <c r="A57" s="35" t="s">
        <v>34</v>
      </c>
      <c r="B57" s="39" t="s">
        <v>35</v>
      </c>
      <c r="C57" s="37">
        <v>1429.154</v>
      </c>
      <c r="D57" s="37">
        <v>1082.0003300000001</v>
      </c>
      <c r="E57" s="34">
        <f>SUM(D57/C57*100)</f>
        <v>75.709148909074884</v>
      </c>
      <c r="F57" s="38">
        <f t="shared" ref="F57:F96" si="3">SUM(D57-C57)</f>
        <v>-347.15366999999992</v>
      </c>
    </row>
    <row r="58" spans="1:7" ht="16.5" hidden="1" customHeight="1">
      <c r="A58" s="35" t="s">
        <v>36</v>
      </c>
      <c r="B58" s="39" t="s">
        <v>37</v>
      </c>
      <c r="C58" s="37"/>
      <c r="D58" s="37"/>
      <c r="E58" s="34" t="e">
        <f>SUM(D58/C58*100)</f>
        <v>#DIV/0!</v>
      </c>
      <c r="F58" s="38">
        <f t="shared" si="3"/>
        <v>0</v>
      </c>
    </row>
    <row r="59" spans="1:7" ht="31.5" hidden="1" customHeight="1">
      <c r="A59" s="35" t="s">
        <v>38</v>
      </c>
      <c r="B59" s="39" t="s">
        <v>39</v>
      </c>
      <c r="C59" s="37"/>
      <c r="D59" s="37"/>
      <c r="E59" s="34" t="e">
        <f>SUM(D59/C59*100)</f>
        <v>#DIV/0!</v>
      </c>
      <c r="F59" s="38">
        <f t="shared" si="3"/>
        <v>0</v>
      </c>
    </row>
    <row r="60" spans="1:7" hidden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ref="E60:E96" si="4">SUM(D60/C60*100)</f>
        <v>#DIV/0!</v>
      </c>
      <c r="F60" s="38">
        <f t="shared" si="3"/>
        <v>0</v>
      </c>
    </row>
    <row r="61" spans="1:7">
      <c r="A61" s="35" t="s">
        <v>42</v>
      </c>
      <c r="B61" s="39" t="s">
        <v>43</v>
      </c>
      <c r="C61" s="40">
        <v>5</v>
      </c>
      <c r="D61" s="40">
        <v>0</v>
      </c>
      <c r="E61" s="38">
        <f t="shared" si="4"/>
        <v>0</v>
      </c>
      <c r="F61" s="38">
        <f t="shared" si="3"/>
        <v>-5</v>
      </c>
    </row>
    <row r="62" spans="1:7" ht="19.5" customHeight="1">
      <c r="A62" s="35" t="s">
        <v>44</v>
      </c>
      <c r="B62" s="39" t="s">
        <v>45</v>
      </c>
      <c r="C62" s="37">
        <v>10.625999999999999</v>
      </c>
      <c r="D62" s="37">
        <v>10.198499999999999</v>
      </c>
      <c r="E62" s="38">
        <f t="shared" si="4"/>
        <v>95.976849237718795</v>
      </c>
      <c r="F62" s="38">
        <f t="shared" si="3"/>
        <v>-0.42750000000000021</v>
      </c>
    </row>
    <row r="63" spans="1:7" s="6" customFormat="1">
      <c r="A63" s="41" t="s">
        <v>46</v>
      </c>
      <c r="B63" s="42" t="s">
        <v>47</v>
      </c>
      <c r="C63" s="32">
        <f>C64</f>
        <v>70.594999999999999</v>
      </c>
      <c r="D63" s="32">
        <f>D64</f>
        <v>60.150849999999998</v>
      </c>
      <c r="E63" s="34">
        <f t="shared" si="4"/>
        <v>85.205538635880728</v>
      </c>
      <c r="F63" s="34">
        <f t="shared" si="3"/>
        <v>-10.44415</v>
      </c>
    </row>
    <row r="64" spans="1:7">
      <c r="A64" s="43" t="s">
        <v>48</v>
      </c>
      <c r="B64" s="44" t="s">
        <v>49</v>
      </c>
      <c r="C64" s="37">
        <v>70.594999999999999</v>
      </c>
      <c r="D64" s="37">
        <v>60.150849999999998</v>
      </c>
      <c r="E64" s="38">
        <f t="shared" si="4"/>
        <v>85.205538635880728</v>
      </c>
      <c r="F64" s="38">
        <f t="shared" si="3"/>
        <v>-10.44415</v>
      </c>
    </row>
    <row r="65" spans="1:7" s="6" customFormat="1" ht="21" customHeight="1">
      <c r="A65" s="30" t="s">
        <v>50</v>
      </c>
      <c r="B65" s="31" t="s">
        <v>51</v>
      </c>
      <c r="C65" s="32">
        <f>C68+C69</f>
        <v>198.8</v>
      </c>
      <c r="D65" s="32">
        <f>D68+D69</f>
        <v>88.250739999999993</v>
      </c>
      <c r="E65" s="34">
        <f t="shared" si="4"/>
        <v>44.391720321931579</v>
      </c>
      <c r="F65" s="34">
        <f t="shared" si="3"/>
        <v>-110.54926000000002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4"/>
        <v>#DIV/0!</v>
      </c>
      <c r="F66" s="34">
        <f t="shared" si="3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4"/>
        <v>#DIV/0!</v>
      </c>
      <c r="F67" s="34">
        <f t="shared" si="3"/>
        <v>0</v>
      </c>
    </row>
    <row r="68" spans="1:7" ht="15" hidden="1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4"/>
        <v>#DIV/0!</v>
      </c>
      <c r="F68" s="34">
        <f t="shared" si="3"/>
        <v>0</v>
      </c>
    </row>
    <row r="69" spans="1:7">
      <c r="A69" s="46" t="s">
        <v>219</v>
      </c>
      <c r="B69" s="47" t="s">
        <v>220</v>
      </c>
      <c r="C69" s="37">
        <v>198.8</v>
      </c>
      <c r="D69" s="37">
        <v>88.250739999999993</v>
      </c>
      <c r="E69" s="34">
        <f t="shared" si="4"/>
        <v>44.391720321931579</v>
      </c>
      <c r="F69" s="34">
        <f t="shared" si="3"/>
        <v>-110.54926000000002</v>
      </c>
    </row>
    <row r="70" spans="1:7" s="6" customFormat="1" ht="17.25" customHeight="1">
      <c r="A70" s="30" t="s">
        <v>58</v>
      </c>
      <c r="B70" s="31" t="s">
        <v>59</v>
      </c>
      <c r="C70" s="48">
        <f>SUM(C71:C74)</f>
        <v>2186.6479199999999</v>
      </c>
      <c r="D70" s="48">
        <f>SUM(D71:D74)</f>
        <v>1181.2325900000001</v>
      </c>
      <c r="E70" s="34">
        <f t="shared" si="4"/>
        <v>54.020246204061969</v>
      </c>
      <c r="F70" s="34">
        <f t="shared" si="3"/>
        <v>-1005.4153299999998</v>
      </c>
    </row>
    <row r="71" spans="1:7">
      <c r="A71" s="35" t="s">
        <v>60</v>
      </c>
      <c r="B71" s="39" t="s">
        <v>61</v>
      </c>
      <c r="C71" s="49">
        <v>2.5</v>
      </c>
      <c r="D71" s="37">
        <v>0</v>
      </c>
      <c r="E71" s="38">
        <f t="shared" si="4"/>
        <v>0</v>
      </c>
      <c r="F71" s="38">
        <f t="shared" si="3"/>
        <v>-2.5</v>
      </c>
    </row>
    <row r="72" spans="1:7" s="6" customFormat="1">
      <c r="A72" s="35" t="s">
        <v>62</v>
      </c>
      <c r="B72" s="39" t="s">
        <v>63</v>
      </c>
      <c r="C72" s="49">
        <v>1039.8409999999999</v>
      </c>
      <c r="D72" s="37">
        <v>286.33656999999999</v>
      </c>
      <c r="E72" s="38">
        <f t="shared" si="4"/>
        <v>27.536572418283185</v>
      </c>
      <c r="F72" s="38">
        <f t="shared" si="3"/>
        <v>-753.50442999999996</v>
      </c>
      <c r="G72" s="50"/>
    </row>
    <row r="73" spans="1:7">
      <c r="A73" s="35" t="s">
        <v>64</v>
      </c>
      <c r="B73" s="39" t="s">
        <v>65</v>
      </c>
      <c r="C73" s="49">
        <f>1035.39892</f>
        <v>1035.3989200000001</v>
      </c>
      <c r="D73" s="37">
        <v>841.39602000000002</v>
      </c>
      <c r="E73" s="38">
        <f t="shared" si="4"/>
        <v>81.262980262718443</v>
      </c>
      <c r="F73" s="38">
        <f t="shared" si="3"/>
        <v>-194.00290000000007</v>
      </c>
    </row>
    <row r="74" spans="1:7">
      <c r="A74" s="35" t="s">
        <v>66</v>
      </c>
      <c r="B74" s="39" t="s">
        <v>67</v>
      </c>
      <c r="C74" s="49">
        <v>108.908</v>
      </c>
      <c r="D74" s="37">
        <v>53.5</v>
      </c>
      <c r="E74" s="38">
        <f t="shared" si="4"/>
        <v>49.124031292467038</v>
      </c>
      <c r="F74" s="38">
        <f t="shared" si="3"/>
        <v>-55.408000000000001</v>
      </c>
    </row>
    <row r="75" spans="1:7" s="6" customFormat="1" ht="16.5" customHeight="1">
      <c r="A75" s="30" t="s">
        <v>68</v>
      </c>
      <c r="B75" s="31" t="s">
        <v>69</v>
      </c>
      <c r="C75" s="32">
        <f>SUM(C76:C78)</f>
        <v>759.98599999999999</v>
      </c>
      <c r="D75" s="32">
        <f>SUM(D76:D78)</f>
        <v>486.51121000000001</v>
      </c>
      <c r="E75" s="34">
        <f t="shared" si="4"/>
        <v>64.015812133381417</v>
      </c>
      <c r="F75" s="34">
        <f t="shared" si="3"/>
        <v>-273.47478999999998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4"/>
        <v>#DIV/0!</v>
      </c>
      <c r="F76" s="38">
        <f t="shared" si="3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4"/>
        <v>#DIV/0!</v>
      </c>
      <c r="F77" s="38">
        <f t="shared" si="3"/>
        <v>0</v>
      </c>
    </row>
    <row r="78" spans="1:7">
      <c r="A78" s="35" t="s">
        <v>74</v>
      </c>
      <c r="B78" s="39" t="s">
        <v>75</v>
      </c>
      <c r="C78" s="37">
        <v>759.98599999999999</v>
      </c>
      <c r="D78" s="37">
        <v>486.51121000000001</v>
      </c>
      <c r="E78" s="38">
        <f t="shared" si="4"/>
        <v>64.015812133381417</v>
      </c>
      <c r="F78" s="38">
        <f t="shared" si="3"/>
        <v>-273.47478999999998</v>
      </c>
    </row>
    <row r="79" spans="1:7" s="6" customFormat="1">
      <c r="A79" s="30" t="s">
        <v>86</v>
      </c>
      <c r="B79" s="31" t="s">
        <v>87</v>
      </c>
      <c r="C79" s="32">
        <f>C80</f>
        <v>949.6</v>
      </c>
      <c r="D79" s="32">
        <f>SUM(D80)</f>
        <v>599.68196999999998</v>
      </c>
      <c r="E79" s="34">
        <f t="shared" si="4"/>
        <v>63.151007792754839</v>
      </c>
      <c r="F79" s="34">
        <f t="shared" si="3"/>
        <v>-349.91803000000004</v>
      </c>
    </row>
    <row r="80" spans="1:7" ht="15.75" customHeight="1">
      <c r="A80" s="35" t="s">
        <v>88</v>
      </c>
      <c r="B80" s="39" t="s">
        <v>234</v>
      </c>
      <c r="C80" s="37">
        <v>949.6</v>
      </c>
      <c r="D80" s="37">
        <v>599.68196999999998</v>
      </c>
      <c r="E80" s="38">
        <f t="shared" si="4"/>
        <v>63.151007792754839</v>
      </c>
      <c r="F80" s="38">
        <f t="shared" si="3"/>
        <v>-349.91803000000004</v>
      </c>
    </row>
    <row r="81" spans="1:7" s="6" customFormat="1" ht="0.7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4"/>
        <v>#DIV/0!</v>
      </c>
      <c r="F81" s="34">
        <f t="shared" si="3"/>
        <v>0</v>
      </c>
    </row>
    <row r="82" spans="1:7" ht="0.75" hidden="1" customHeight="1">
      <c r="A82" s="53">
        <v>1001</v>
      </c>
      <c r="B82" s="54" t="s">
        <v>90</v>
      </c>
      <c r="C82" s="37"/>
      <c r="D82" s="37"/>
      <c r="E82" s="38" t="e">
        <f t="shared" si="4"/>
        <v>#DIV/0!</v>
      </c>
      <c r="F82" s="38">
        <f t="shared" si="3"/>
        <v>0</v>
      </c>
    </row>
    <row r="83" spans="1:7" hidden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4"/>
        <v>#DIV/0!</v>
      </c>
      <c r="F83" s="38">
        <f t="shared" si="3"/>
        <v>0</v>
      </c>
    </row>
    <row r="84" spans="1:7" hidden="1">
      <c r="A84" s="53">
        <v>1004</v>
      </c>
      <c r="B84" s="54" t="s">
        <v>92</v>
      </c>
      <c r="C84" s="37"/>
      <c r="D84" s="55"/>
      <c r="E84" s="38" t="e">
        <f t="shared" si="4"/>
        <v>#DIV/0!</v>
      </c>
      <c r="F84" s="38">
        <f t="shared" si="3"/>
        <v>0</v>
      </c>
    </row>
    <row r="85" spans="1:7" hidden="1">
      <c r="A85" s="35" t="s">
        <v>93</v>
      </c>
      <c r="B85" s="39" t="s">
        <v>94</v>
      </c>
      <c r="C85" s="37">
        <v>0</v>
      </c>
      <c r="D85" s="37">
        <v>0</v>
      </c>
      <c r="E85" s="38"/>
      <c r="F85" s="38">
        <f t="shared" si="3"/>
        <v>0</v>
      </c>
    </row>
    <row r="86" spans="1:7">
      <c r="A86" s="30" t="s">
        <v>95</v>
      </c>
      <c r="B86" s="31" t="s">
        <v>96</v>
      </c>
      <c r="C86" s="32">
        <f>C87+C88+C89+C90+C91</f>
        <v>9.64</v>
      </c>
      <c r="D86" s="32">
        <f>D87+D88+D89+D90+D91</f>
        <v>4.6399999999999997</v>
      </c>
      <c r="E86" s="38">
        <f t="shared" si="4"/>
        <v>48.132780082987544</v>
      </c>
      <c r="F86" s="22">
        <f>F87+F88+F89+F90+F91</f>
        <v>-5.0000000000000009</v>
      </c>
    </row>
    <row r="87" spans="1:7" ht="17.25" customHeight="1">
      <c r="A87" s="35" t="s">
        <v>97</v>
      </c>
      <c r="B87" s="39" t="s">
        <v>98</v>
      </c>
      <c r="C87" s="37">
        <v>9.64</v>
      </c>
      <c r="D87" s="37">
        <v>4.6399999999999997</v>
      </c>
      <c r="E87" s="38">
        <f t="shared" si="4"/>
        <v>48.132780082987544</v>
      </c>
      <c r="F87" s="38">
        <f>SUM(D87-C87)</f>
        <v>-5.0000000000000009</v>
      </c>
    </row>
    <row r="88" spans="1:7" ht="15.75" hidden="1" customHeight="1">
      <c r="A88" s="35" t="s">
        <v>99</v>
      </c>
      <c r="B88" s="39" t="s">
        <v>100</v>
      </c>
      <c r="C88" s="37"/>
      <c r="D88" s="37"/>
      <c r="E88" s="38" t="e">
        <f t="shared" si="4"/>
        <v>#DIV/0!</v>
      </c>
      <c r="F88" s="38">
        <f>SUM(D88-C88)</f>
        <v>0</v>
      </c>
    </row>
    <row r="89" spans="1:7" ht="15.75" hidden="1" customHeight="1">
      <c r="A89" s="35" t="s">
        <v>101</v>
      </c>
      <c r="B89" s="39" t="s">
        <v>102</v>
      </c>
      <c r="C89" s="37"/>
      <c r="D89" s="37"/>
      <c r="E89" s="38" t="e">
        <f t="shared" si="4"/>
        <v>#DIV/0!</v>
      </c>
      <c r="F89" s="38"/>
    </row>
    <row r="90" spans="1:7" ht="15.75" hidden="1" customHeight="1">
      <c r="A90" s="35" t="s">
        <v>103</v>
      </c>
      <c r="B90" s="39" t="s">
        <v>104</v>
      </c>
      <c r="C90" s="37"/>
      <c r="D90" s="37"/>
      <c r="E90" s="38" t="e">
        <f t="shared" si="4"/>
        <v>#DIV/0!</v>
      </c>
      <c r="F90" s="38"/>
    </row>
    <row r="91" spans="1:7" ht="15.75" hidden="1" customHeight="1">
      <c r="A91" s="35" t="s">
        <v>105</v>
      </c>
      <c r="B91" s="39" t="s">
        <v>106</v>
      </c>
      <c r="C91" s="37"/>
      <c r="D91" s="37"/>
      <c r="E91" s="38" t="e">
        <f t="shared" si="4"/>
        <v>#DIV/0!</v>
      </c>
      <c r="F91" s="38"/>
    </row>
    <row r="92" spans="1:7" s="6" customFormat="1" ht="15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4"/>
        <v>#DIV/0!</v>
      </c>
      <c r="F92" s="34">
        <f t="shared" si="3"/>
        <v>0</v>
      </c>
    </row>
    <row r="93" spans="1:7" ht="15.75" hidden="1" customHeight="1">
      <c r="A93" s="53">
        <v>1401</v>
      </c>
      <c r="B93" s="54" t="s">
        <v>116</v>
      </c>
      <c r="C93" s="49"/>
      <c r="D93" s="37"/>
      <c r="E93" s="38" t="e">
        <f t="shared" si="4"/>
        <v>#DIV/0!</v>
      </c>
      <c r="F93" s="38">
        <f t="shared" si="3"/>
        <v>0</v>
      </c>
    </row>
    <row r="94" spans="1:7" ht="15.75" hidden="1" customHeight="1">
      <c r="A94" s="53">
        <v>1402</v>
      </c>
      <c r="B94" s="54" t="s">
        <v>117</v>
      </c>
      <c r="C94" s="49"/>
      <c r="D94" s="37"/>
      <c r="E94" s="38" t="e">
        <f t="shared" si="4"/>
        <v>#DIV/0!</v>
      </c>
      <c r="F94" s="38">
        <f t="shared" si="3"/>
        <v>0</v>
      </c>
    </row>
    <row r="95" spans="1:7" ht="15.75" hidden="1" customHeight="1">
      <c r="A95" s="53">
        <v>1403</v>
      </c>
      <c r="B95" s="54" t="s">
        <v>118</v>
      </c>
      <c r="C95" s="49">
        <v>0</v>
      </c>
      <c r="D95" s="37">
        <v>0</v>
      </c>
      <c r="E95" s="38" t="e">
        <f t="shared" si="4"/>
        <v>#DIV/0!</v>
      </c>
      <c r="F95" s="38">
        <f t="shared" si="3"/>
        <v>0</v>
      </c>
    </row>
    <row r="96" spans="1:7" s="6" customFormat="1" ht="15.75" customHeight="1">
      <c r="A96" s="52"/>
      <c r="B96" s="57" t="s">
        <v>119</v>
      </c>
      <c r="C96" s="408">
        <f>C55+C63+C70+C75+C79+C81+C86+C65+C92</f>
        <v>5620.0489200000011</v>
      </c>
      <c r="D96" s="408">
        <f>D55+D63+D70+D75+D79+D81+D86+D65+D92</f>
        <v>3512.6661899999999</v>
      </c>
      <c r="E96" s="34">
        <f t="shared" si="4"/>
        <v>62.502413057287043</v>
      </c>
      <c r="F96" s="34">
        <f t="shared" si="3"/>
        <v>-2107.3827300000012</v>
      </c>
      <c r="G96" s="293"/>
    </row>
    <row r="97" spans="1:5">
      <c r="C97" s="126"/>
      <c r="D97" s="101"/>
    </row>
    <row r="98" spans="1:5" s="65" customFormat="1" ht="16.5" customHeight="1">
      <c r="A98" s="63" t="s">
        <v>120</v>
      </c>
      <c r="B98" s="63"/>
      <c r="C98" s="249"/>
      <c r="D98" s="249"/>
      <c r="E98" s="64"/>
    </row>
    <row r="99" spans="1:5" s="65" customFormat="1" ht="20.25" customHeight="1">
      <c r="A99" s="66" t="s">
        <v>121</v>
      </c>
      <c r="B99" s="66"/>
      <c r="C99" s="65" t="s">
        <v>122</v>
      </c>
    </row>
    <row r="100" spans="1:5" ht="13.5" customHeight="1">
      <c r="C100" s="120"/>
    </row>
    <row r="102" spans="1:5" ht="5.25" customHeight="1"/>
    <row r="141" hidden="1"/>
  </sheetData>
  <customSheetViews>
    <customSheetView guid="{8E17DC23-BE06-48DD-840B-6DD85B9E86D1}" scale="70" showPageBreaks="1" printArea="1" hiddenRows="1" view="pageBreakPreview" topLeftCell="A48">
      <selection activeCell="G51" sqref="G51"/>
      <pageMargins left="0.70866141732283472" right="0.70866141732283472" top="0.74803149606299213" bottom="0.74803149606299213" header="0.31496062992125984" footer="0.31496062992125984"/>
      <pageSetup paperSize="9" scale="60" orientation="portrait" r:id="rId1"/>
    </customSheetView>
    <customSheetView guid="{5BFCA170-DEAE-4D2C-98A0-1E68B427AC01}" showPageBreaks="1" printArea="1" hiddenRows="1" topLeftCell="A37">
      <selection activeCell="B100" sqref="B100"/>
      <pageMargins left="0.7" right="0.7" top="0.75" bottom="0.75" header="0.3" footer="0.3"/>
      <pageSetup paperSize="9" scale="57" orientation="portrait" r:id="rId2"/>
    </customSheetView>
    <customSheetView guid="{3DCB9AAA-F09C-4EA6-B992-F93E466D374A}" hiddenRows="1" topLeftCell="A37">
      <selection activeCell="B100" sqref="B100"/>
      <pageMargins left="0.7" right="0.7" top="0.75" bottom="0.75" header="0.3" footer="0.3"/>
      <pageSetup paperSize="9" scale="57" orientation="portrait" r:id="rId3"/>
    </customSheetView>
    <customSheetView guid="{1718F1EE-9F48-4DBE-9531-3B70F9C4A5DD}" scale="70" showPageBreaks="1" printArea="1" hiddenRows="1" view="pageBreakPreview" topLeftCell="A9">
      <selection activeCell="B93" sqref="B93"/>
      <pageMargins left="0.7" right="0.7" top="0.75" bottom="0.75" header="0.3" footer="0.3"/>
      <pageSetup paperSize="9" scale="43" orientation="portrait" r:id="rId4"/>
    </customSheetView>
    <customSheetView guid="{42584DC0-1D41-4C93-9B38-C388E7B8DAC4}" scale="70" showPageBreaks="1" printArea="1" hiddenRows="1" view="pageBreakPreview">
      <selection sqref="A1:F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 topLeftCell="A28">
      <selection activeCell="E98" sqref="E98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printArea="1" hiddenRows="1" view="pageBreakPreview" topLeftCell="A48">
      <selection activeCell="G51" sqref="G51"/>
      <pageMargins left="0.70866141732283472" right="0.70866141732283472" top="0.74803149606299213" bottom="0.74803149606299213" header="0.31496062992125984" footer="0.31496062992125984"/>
      <pageSetup paperSize="9" scale="60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0" orientation="portrait" r:id="rId8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/>
  <dimension ref="A1:G141"/>
  <sheetViews>
    <sheetView view="pageBreakPreview" topLeftCell="A37" zoomScale="70" zoomScaleNormal="100" zoomScaleSheetLayoutView="70" workbookViewId="0">
      <selection activeCell="D55" sqref="D55"/>
    </sheetView>
  </sheetViews>
  <sheetFormatPr defaultRowHeight="15.75"/>
  <cols>
    <col min="1" max="1" width="14.7109375" style="58" customWidth="1"/>
    <col min="2" max="2" width="57.5703125" style="59" customWidth="1"/>
    <col min="3" max="3" width="17.42578125" style="62" customWidth="1"/>
    <col min="4" max="4" width="15.28515625" style="62" customWidth="1"/>
    <col min="5" max="5" width="13" style="62" customWidth="1"/>
    <col min="6" max="6" width="9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432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1363.54</v>
      </c>
      <c r="D4" s="5">
        <f>D5+D12+D14+D17+D7</f>
        <v>979.68970999999988</v>
      </c>
      <c r="E4" s="5">
        <f>SUM(D4/C4*100)</f>
        <v>71.848989395250598</v>
      </c>
      <c r="F4" s="5">
        <f>SUM(D4-C4)</f>
        <v>-383.85029000000009</v>
      </c>
    </row>
    <row r="5" spans="1:6" s="6" customFormat="1">
      <c r="A5" s="68">
        <v>1010000000</v>
      </c>
      <c r="B5" s="67" t="s">
        <v>6</v>
      </c>
      <c r="C5" s="5">
        <f>C6</f>
        <v>130.19999999999999</v>
      </c>
      <c r="D5" s="5">
        <f>D6</f>
        <v>97.652820000000006</v>
      </c>
      <c r="E5" s="5">
        <f t="shared" ref="E5:E52" si="0">SUM(D5/C5*100)</f>
        <v>75.00216589861752</v>
      </c>
      <c r="F5" s="5">
        <f t="shared" ref="F5:F52" si="1">SUM(D5-C5)</f>
        <v>-32.547179999999983</v>
      </c>
    </row>
    <row r="6" spans="1:6">
      <c r="A6" s="7">
        <v>1010200001</v>
      </c>
      <c r="B6" s="8" t="s">
        <v>229</v>
      </c>
      <c r="C6" s="9">
        <v>130.19999999999999</v>
      </c>
      <c r="D6" s="10">
        <v>97.652820000000006</v>
      </c>
      <c r="E6" s="9">
        <f t="shared" ref="E6:E11" si="2">SUM(D6/C6*100)</f>
        <v>75.00216589861752</v>
      </c>
      <c r="F6" s="9">
        <f t="shared" si="1"/>
        <v>-32.547179999999983</v>
      </c>
    </row>
    <row r="7" spans="1:6" ht="31.5">
      <c r="A7" s="3">
        <v>1030000000</v>
      </c>
      <c r="B7" s="13" t="s">
        <v>281</v>
      </c>
      <c r="C7" s="5">
        <f>C8+C10+C9</f>
        <v>670.33999999999992</v>
      </c>
      <c r="D7" s="5">
        <f>D8+D10+D9+D11</f>
        <v>585.84602999999993</v>
      </c>
      <c r="E7" s="5">
        <f t="shared" si="2"/>
        <v>87.395356087955363</v>
      </c>
      <c r="F7" s="5">
        <f t="shared" si="1"/>
        <v>-84.49396999999999</v>
      </c>
    </row>
    <row r="8" spans="1:6">
      <c r="A8" s="7">
        <v>1030223001</v>
      </c>
      <c r="B8" s="8" t="s">
        <v>283</v>
      </c>
      <c r="C8" s="9">
        <v>250.04</v>
      </c>
      <c r="D8" s="10">
        <v>258.40415000000002</v>
      </c>
      <c r="E8" s="9">
        <f t="shared" si="2"/>
        <v>103.34512478003521</v>
      </c>
      <c r="F8" s="9">
        <f t="shared" si="1"/>
        <v>8.3641500000000235</v>
      </c>
    </row>
    <row r="9" spans="1:6">
      <c r="A9" s="7">
        <v>1030224001</v>
      </c>
      <c r="B9" s="8" t="s">
        <v>289</v>
      </c>
      <c r="C9" s="9">
        <v>2.68</v>
      </c>
      <c r="D9" s="10">
        <v>2.3974899999999999</v>
      </c>
      <c r="E9" s="9">
        <f t="shared" si="2"/>
        <v>89.458582089552223</v>
      </c>
      <c r="F9" s="9">
        <f t="shared" si="1"/>
        <v>-0.28251000000000026</v>
      </c>
    </row>
    <row r="10" spans="1:6">
      <c r="A10" s="7">
        <v>1030225001</v>
      </c>
      <c r="B10" s="8" t="s">
        <v>282</v>
      </c>
      <c r="C10" s="9">
        <v>417.62</v>
      </c>
      <c r="D10" s="10">
        <v>383.41302000000002</v>
      </c>
      <c r="E10" s="9">
        <f t="shared" si="2"/>
        <v>91.809065657775008</v>
      </c>
      <c r="F10" s="9">
        <f t="shared" si="1"/>
        <v>-34.206979999999987</v>
      </c>
    </row>
    <row r="11" spans="1:6">
      <c r="A11" s="7">
        <v>1030226001</v>
      </c>
      <c r="B11" s="8" t="s">
        <v>291</v>
      </c>
      <c r="C11" s="9">
        <v>0</v>
      </c>
      <c r="D11" s="10">
        <v>-58.368630000000003</v>
      </c>
      <c r="E11" s="9" t="e">
        <f t="shared" si="2"/>
        <v>#DIV/0!</v>
      </c>
      <c r="F11" s="9">
        <f t="shared" si="1"/>
        <v>-58.368630000000003</v>
      </c>
    </row>
    <row r="12" spans="1:6" s="6" customFormat="1">
      <c r="A12" s="68">
        <v>1050000000</v>
      </c>
      <c r="B12" s="67" t="s">
        <v>7</v>
      </c>
      <c r="C12" s="5">
        <f>SUM(C13:C13)</f>
        <v>30</v>
      </c>
      <c r="D12" s="5">
        <f>SUM(D13:D13)</f>
        <v>1.6573199999999999</v>
      </c>
      <c r="E12" s="5">
        <f t="shared" si="0"/>
        <v>5.5243999999999991</v>
      </c>
      <c r="F12" s="5">
        <f t="shared" si="1"/>
        <v>-28.342680000000001</v>
      </c>
    </row>
    <row r="13" spans="1:6" ht="15.75" customHeight="1">
      <c r="A13" s="7">
        <v>1050300000</v>
      </c>
      <c r="B13" s="11" t="s">
        <v>230</v>
      </c>
      <c r="C13" s="12">
        <v>30</v>
      </c>
      <c r="D13" s="10">
        <v>1.6573199999999999</v>
      </c>
      <c r="E13" s="9">
        <f t="shared" si="0"/>
        <v>5.5243999999999991</v>
      </c>
      <c r="F13" s="9">
        <f t="shared" si="1"/>
        <v>-28.342680000000001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525</v>
      </c>
      <c r="D14" s="5">
        <f>D15+D16</f>
        <v>289.78354000000002</v>
      </c>
      <c r="E14" s="5">
        <f t="shared" si="0"/>
        <v>55.196864761904763</v>
      </c>
      <c r="F14" s="5">
        <f t="shared" si="1"/>
        <v>-235.21645999999998</v>
      </c>
    </row>
    <row r="15" spans="1:6" s="6" customFormat="1" ht="15.75" customHeight="1">
      <c r="A15" s="7">
        <v>1060100000</v>
      </c>
      <c r="B15" s="11" t="s">
        <v>9</v>
      </c>
      <c r="C15" s="9">
        <v>105</v>
      </c>
      <c r="D15" s="10">
        <v>66.865979999999993</v>
      </c>
      <c r="E15" s="9">
        <f t="shared" si="0"/>
        <v>63.681885714285713</v>
      </c>
      <c r="F15" s="9">
        <f>SUM(D15-C15)</f>
        <v>-38.134020000000007</v>
      </c>
    </row>
    <row r="16" spans="1:6" ht="15.75" customHeight="1">
      <c r="A16" s="7">
        <v>1060600000</v>
      </c>
      <c r="B16" s="11" t="s">
        <v>8</v>
      </c>
      <c r="C16" s="9">
        <v>420</v>
      </c>
      <c r="D16" s="10">
        <v>222.91756000000001</v>
      </c>
      <c r="E16" s="9">
        <f t="shared" si="0"/>
        <v>53.075609523809533</v>
      </c>
      <c r="F16" s="9">
        <f t="shared" si="1"/>
        <v>-197.08243999999999</v>
      </c>
    </row>
    <row r="17" spans="1:6" s="6" customFormat="1">
      <c r="A17" s="3">
        <v>1080000000</v>
      </c>
      <c r="B17" s="4" t="s">
        <v>11</v>
      </c>
      <c r="C17" s="5">
        <f>C18</f>
        <v>8</v>
      </c>
      <c r="D17" s="5">
        <f>D18</f>
        <v>4.75</v>
      </c>
      <c r="E17" s="5">
        <f t="shared" si="0"/>
        <v>59.375</v>
      </c>
      <c r="F17" s="5">
        <f t="shared" si="1"/>
        <v>-3.25</v>
      </c>
    </row>
    <row r="18" spans="1:6" ht="17.25" customHeight="1">
      <c r="A18" s="7">
        <v>1080400001</v>
      </c>
      <c r="B18" s="8" t="s">
        <v>272</v>
      </c>
      <c r="C18" s="9">
        <v>8</v>
      </c>
      <c r="D18" s="10">
        <v>4.75</v>
      </c>
      <c r="E18" s="9">
        <f t="shared" si="0"/>
        <v>59.375</v>
      </c>
      <c r="F18" s="9">
        <f t="shared" si="1"/>
        <v>-3.25</v>
      </c>
    </row>
    <row r="19" spans="1:6" ht="49.5" hidden="1" customHeight="1">
      <c r="A19" s="7">
        <v>1080714001</v>
      </c>
      <c r="B19" s="8" t="s">
        <v>227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1.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23.2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21.7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24.7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25.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360</v>
      </c>
      <c r="D25" s="5">
        <f>D26+D29+D31+D34</f>
        <v>381.10770000000002</v>
      </c>
      <c r="E25" s="5">
        <f t="shared" si="0"/>
        <v>105.86325000000001</v>
      </c>
      <c r="F25" s="5">
        <f t="shared" si="1"/>
        <v>21.107700000000023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60</v>
      </c>
      <c r="D26" s="5">
        <f>D27+D28</f>
        <v>55</v>
      </c>
      <c r="E26" s="5">
        <f t="shared" si="0"/>
        <v>91.666666666666657</v>
      </c>
      <c r="F26" s="5">
        <f t="shared" si="1"/>
        <v>-5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60</v>
      </c>
      <c r="D28" s="10">
        <v>55</v>
      </c>
      <c r="E28" s="9">
        <f t="shared" si="0"/>
        <v>91.666666666666657</v>
      </c>
      <c r="F28" s="9">
        <f t="shared" si="1"/>
        <v>-5</v>
      </c>
    </row>
    <row r="29" spans="1:6" s="15" customFormat="1" ht="27.75" customHeight="1">
      <c r="A29" s="68">
        <v>1130000000</v>
      </c>
      <c r="B29" s="69" t="s">
        <v>131</v>
      </c>
      <c r="C29" s="5">
        <f>C30</f>
        <v>300</v>
      </c>
      <c r="D29" s="5">
        <f>D30</f>
        <v>326.34780000000001</v>
      </c>
      <c r="E29" s="5">
        <f t="shared" si="0"/>
        <v>108.7826</v>
      </c>
      <c r="F29" s="5">
        <f t="shared" si="1"/>
        <v>26.347800000000007</v>
      </c>
    </row>
    <row r="30" spans="1:6" ht="15.75" customHeight="1">
      <c r="A30" s="7">
        <v>1130206005</v>
      </c>
      <c r="B30" s="8" t="s">
        <v>15</v>
      </c>
      <c r="C30" s="9">
        <v>300</v>
      </c>
      <c r="D30" s="10">
        <v>326.34780000000001</v>
      </c>
      <c r="E30" s="9">
        <f t="shared" si="0"/>
        <v>108.7826</v>
      </c>
      <c r="F30" s="9">
        <f t="shared" si="1"/>
        <v>26.347800000000007</v>
      </c>
    </row>
    <row r="31" spans="1:6" ht="20.2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" hidden="1" customHeight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7.2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customHeight="1">
      <c r="A34" s="3">
        <v>1170000000</v>
      </c>
      <c r="B34" s="13" t="s">
        <v>135</v>
      </c>
      <c r="C34" s="5">
        <f>C35+C36</f>
        <v>0</v>
      </c>
      <c r="D34" s="5">
        <f>D35+D36</f>
        <v>-0.24010000000000001</v>
      </c>
      <c r="E34" s="5" t="e">
        <f t="shared" si="0"/>
        <v>#DIV/0!</v>
      </c>
      <c r="F34" s="5">
        <f t="shared" si="1"/>
        <v>-0.24010000000000001</v>
      </c>
    </row>
    <row r="35" spans="1:7" ht="19.5" customHeight="1">
      <c r="A35" s="7">
        <v>1170105010</v>
      </c>
      <c r="B35" s="8" t="s">
        <v>18</v>
      </c>
      <c r="C35" s="9">
        <v>0</v>
      </c>
      <c r="D35" s="9">
        <v>-0.24010000000000001</v>
      </c>
      <c r="E35" s="9" t="e">
        <f t="shared" si="0"/>
        <v>#DIV/0!</v>
      </c>
      <c r="F35" s="9">
        <f t="shared" si="1"/>
        <v>-0.24010000000000001</v>
      </c>
    </row>
    <row r="36" spans="1:7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s="6" customFormat="1" ht="15" customHeight="1">
      <c r="A37" s="3">
        <v>1000000000</v>
      </c>
      <c r="B37" s="4" t="s">
        <v>19</v>
      </c>
      <c r="C37" s="127">
        <f>SUM(C4,C25)</f>
        <v>1723.54</v>
      </c>
      <c r="D37" s="127">
        <f>D4+D25</f>
        <v>1360.7974099999999</v>
      </c>
      <c r="E37" s="5">
        <f t="shared" si="0"/>
        <v>78.953630899195844</v>
      </c>
      <c r="F37" s="5">
        <f t="shared" si="1"/>
        <v>-362.74259000000006</v>
      </c>
    </row>
    <row r="38" spans="1:7" s="6" customFormat="1">
      <c r="A38" s="3">
        <v>2000000000</v>
      </c>
      <c r="B38" s="4" t="s">
        <v>20</v>
      </c>
      <c r="C38" s="5">
        <f>C39+C41+C42+C43+C50+C51</f>
        <v>5053.5021000000006</v>
      </c>
      <c r="D38" s="5">
        <f>D39+D41+D42+D43+D50+D51</f>
        <v>5006.3725999999997</v>
      </c>
      <c r="E38" s="5">
        <f t="shared" si="0"/>
        <v>99.067389325909232</v>
      </c>
      <c r="F38" s="5">
        <f t="shared" si="1"/>
        <v>-47.129500000000917</v>
      </c>
      <c r="G38" s="19"/>
    </row>
    <row r="39" spans="1:7" ht="16.5" customHeight="1">
      <c r="A39" s="16">
        <v>2021000000</v>
      </c>
      <c r="B39" s="17" t="s">
        <v>21</v>
      </c>
      <c r="C39" s="12">
        <v>2768.5630000000001</v>
      </c>
      <c r="D39" s="20">
        <v>2768.5630000000001</v>
      </c>
      <c r="E39" s="9">
        <v>0</v>
      </c>
      <c r="F39" s="9">
        <f t="shared" si="1"/>
        <v>0</v>
      </c>
    </row>
    <row r="40" spans="1:7" ht="14.25" hidden="1" customHeight="1">
      <c r="A40" s="16">
        <v>2020100310</v>
      </c>
      <c r="B40" s="17" t="s">
        <v>232</v>
      </c>
      <c r="C40" s="12">
        <v>0</v>
      </c>
      <c r="D40" s="20">
        <v>0</v>
      </c>
      <c r="E40" s="9" t="e">
        <f t="shared" si="0"/>
        <v>#DIV/0!</v>
      </c>
      <c r="F40" s="9">
        <f t="shared" si="1"/>
        <v>0</v>
      </c>
    </row>
    <row r="41" spans="1:7" ht="17.25" customHeight="1">
      <c r="A41" s="16">
        <v>2021500200</v>
      </c>
      <c r="B41" s="17" t="s">
        <v>232</v>
      </c>
      <c r="C41" s="12">
        <v>546.88009999999997</v>
      </c>
      <c r="D41" s="20">
        <v>546.88009999999997</v>
      </c>
      <c r="E41" s="9">
        <f t="shared" si="0"/>
        <v>100</v>
      </c>
      <c r="F41" s="9">
        <f t="shared" si="1"/>
        <v>0</v>
      </c>
    </row>
    <row r="42" spans="1:7">
      <c r="A42" s="16">
        <v>2022000000</v>
      </c>
      <c r="B42" s="17" t="s">
        <v>22</v>
      </c>
      <c r="C42" s="12">
        <v>1502.36</v>
      </c>
      <c r="D42" s="10">
        <v>1460.22</v>
      </c>
      <c r="E42" s="9">
        <f t="shared" si="0"/>
        <v>97.195079741207181</v>
      </c>
      <c r="F42" s="9">
        <f t="shared" si="1"/>
        <v>-42.139999999999873</v>
      </c>
    </row>
    <row r="43" spans="1:7" ht="17.25" customHeight="1">
      <c r="A43" s="16">
        <v>2023000000</v>
      </c>
      <c r="B43" s="17" t="s">
        <v>23</v>
      </c>
      <c r="C43" s="12">
        <v>157.59899999999999</v>
      </c>
      <c r="D43" s="251">
        <v>152.6095</v>
      </c>
      <c r="E43" s="9">
        <f t="shared" si="0"/>
        <v>96.834053515568002</v>
      </c>
      <c r="F43" s="9">
        <f t="shared" si="1"/>
        <v>-4.9894999999999925</v>
      </c>
    </row>
    <row r="44" spans="1:7" ht="18" hidden="1" customHeight="1">
      <c r="A44" s="16">
        <v>2020400000</v>
      </c>
      <c r="B44" s="17" t="s">
        <v>24</v>
      </c>
      <c r="C44" s="12"/>
      <c r="D44" s="252"/>
      <c r="E44" s="9" t="e">
        <f t="shared" si="0"/>
        <v>#DIV/0!</v>
      </c>
      <c r="F44" s="9">
        <f t="shared" si="1"/>
        <v>0</v>
      </c>
    </row>
    <row r="45" spans="1:7" ht="14.25" hidden="1" customHeight="1">
      <c r="A45" s="16">
        <v>2020900000</v>
      </c>
      <c r="B45" s="18" t="s">
        <v>25</v>
      </c>
      <c r="C45" s="12"/>
      <c r="D45" s="252"/>
      <c r="E45" s="9" t="e">
        <f t="shared" si="0"/>
        <v>#DIV/0!</v>
      </c>
      <c r="F45" s="9">
        <f t="shared" si="1"/>
        <v>0</v>
      </c>
    </row>
    <row r="46" spans="1:7" ht="16.5" hidden="1" customHeight="1">
      <c r="A46" s="124">
        <v>2180000000</v>
      </c>
      <c r="B46" s="125" t="s">
        <v>302</v>
      </c>
      <c r="C46" s="277">
        <f>C47</f>
        <v>0</v>
      </c>
      <c r="D46" s="351">
        <f>D47</f>
        <v>0</v>
      </c>
      <c r="E46" s="9" t="e">
        <f t="shared" si="0"/>
        <v>#DIV/0!</v>
      </c>
      <c r="F46" s="9">
        <f t="shared" si="1"/>
        <v>0</v>
      </c>
    </row>
    <row r="47" spans="1:7" ht="18" hidden="1" customHeight="1">
      <c r="A47" s="16">
        <v>2180501010</v>
      </c>
      <c r="B47" s="18" t="s">
        <v>301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7.25" hidden="1" customHeight="1">
      <c r="A48" s="7">
        <v>2190500005</v>
      </c>
      <c r="B48" s="11" t="s">
        <v>26</v>
      </c>
      <c r="C48" s="14"/>
      <c r="D48" s="14"/>
      <c r="E48" s="9" t="e">
        <f t="shared" si="0"/>
        <v>#DIV/0!</v>
      </c>
      <c r="F48" s="9">
        <f t="shared" si="1"/>
        <v>0</v>
      </c>
    </row>
    <row r="49" spans="1:7" s="6" customFormat="1" ht="15.75" hidden="1" customHeight="1">
      <c r="A49" s="3">
        <v>3000000000</v>
      </c>
      <c r="B49" s="13" t="s">
        <v>27</v>
      </c>
      <c r="C49" s="122">
        <v>0</v>
      </c>
      <c r="D49" s="14">
        <v>0</v>
      </c>
      <c r="E49" s="9" t="e">
        <f t="shared" si="0"/>
        <v>#DIV/0!</v>
      </c>
      <c r="F49" s="9">
        <f t="shared" si="1"/>
        <v>0</v>
      </c>
    </row>
    <row r="50" spans="1:7" s="6" customFormat="1" ht="15" hidden="1" customHeight="1">
      <c r="A50" s="7">
        <v>2020400000</v>
      </c>
      <c r="B50" s="8" t="s">
        <v>24</v>
      </c>
      <c r="C50" s="12">
        <v>0</v>
      </c>
      <c r="D50" s="10">
        <v>0</v>
      </c>
      <c r="E50" s="9" t="e">
        <f t="shared" si="0"/>
        <v>#DIV/0!</v>
      </c>
      <c r="F50" s="9">
        <f t="shared" si="1"/>
        <v>0</v>
      </c>
    </row>
    <row r="51" spans="1:7" s="6" customFormat="1" ht="15" customHeight="1">
      <c r="A51" s="7">
        <v>2070500010</v>
      </c>
      <c r="B51" s="11" t="s">
        <v>303</v>
      </c>
      <c r="C51" s="12">
        <v>78.099999999999994</v>
      </c>
      <c r="D51" s="10">
        <v>78.099999999999994</v>
      </c>
      <c r="E51" s="9">
        <f>SUM(D51/C51*100)</f>
        <v>100</v>
      </c>
      <c r="F51" s="9">
        <f>SUM(D51-C51)</f>
        <v>0</v>
      </c>
    </row>
    <row r="52" spans="1:7" s="6" customFormat="1" ht="18" customHeight="1">
      <c r="A52" s="3"/>
      <c r="B52" s="4" t="s">
        <v>28</v>
      </c>
      <c r="C52" s="5">
        <f>C37+C38</f>
        <v>6777.0421000000006</v>
      </c>
      <c r="D52" s="5">
        <f>D37+D38</f>
        <v>6367.1700099999998</v>
      </c>
      <c r="E52" s="5">
        <f t="shared" si="0"/>
        <v>93.952050408540316</v>
      </c>
      <c r="F52" s="5">
        <f t="shared" si="1"/>
        <v>-409.87209000000075</v>
      </c>
      <c r="G52" s="94"/>
    </row>
    <row r="53" spans="1:7" s="6" customFormat="1">
      <c r="A53" s="3"/>
      <c r="B53" s="21" t="s">
        <v>321</v>
      </c>
      <c r="C53" s="5">
        <f>C52-C98</f>
        <v>-699.8163799999993</v>
      </c>
      <c r="D53" s="5">
        <f>D52-D98</f>
        <v>76.194910000000164</v>
      </c>
      <c r="E53" s="22"/>
      <c r="F53" s="22"/>
    </row>
    <row r="54" spans="1:7">
      <c r="A54" s="23"/>
      <c r="B54" s="24"/>
      <c r="C54" s="115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431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5" customHeight="1">
      <c r="A57" s="30" t="s">
        <v>30</v>
      </c>
      <c r="B57" s="31" t="s">
        <v>31</v>
      </c>
      <c r="C57" s="32">
        <f>C58+C59+C60+C61+C62+C64+C63</f>
        <v>1272.5335</v>
      </c>
      <c r="D57" s="33">
        <f>D58+D59+D60+D61+D62+D64+D63</f>
        <v>1046.3231899999998</v>
      </c>
      <c r="E57" s="34">
        <f>SUM(D57/C57*100)</f>
        <v>82.223626332823443</v>
      </c>
      <c r="F57" s="34">
        <f>SUM(D57-C57)</f>
        <v>-226.21031000000016</v>
      </c>
    </row>
    <row r="58" spans="1:7" s="6" customFormat="1" ht="15" hidden="1" customHeight="1">
      <c r="A58" s="35" t="s">
        <v>32</v>
      </c>
      <c r="B58" s="36" t="s">
        <v>33</v>
      </c>
      <c r="C58" s="37"/>
      <c r="D58" s="37"/>
      <c r="E58" s="38"/>
      <c r="F58" s="38"/>
    </row>
    <row r="59" spans="1:7" ht="15" customHeight="1">
      <c r="A59" s="35" t="s">
        <v>34</v>
      </c>
      <c r="B59" s="39" t="s">
        <v>35</v>
      </c>
      <c r="C59" s="37">
        <v>1247.5630000000001</v>
      </c>
      <c r="D59" s="37">
        <v>1026.3526899999999</v>
      </c>
      <c r="E59" s="38">
        <f t="shared" ref="E59:E98" si="3">SUM(D59/C59*100)</f>
        <v>82.268606074402641</v>
      </c>
      <c r="F59" s="38">
        <f t="shared" ref="F59:F98" si="4">SUM(D59-C59)</f>
        <v>-221.21031000000016</v>
      </c>
    </row>
    <row r="60" spans="1:7" ht="1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1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7.25" customHeight="1">
      <c r="A62" s="35" t="s">
        <v>40</v>
      </c>
      <c r="B62" s="39" t="s">
        <v>41</v>
      </c>
      <c r="C62" s="37">
        <v>15.714</v>
      </c>
      <c r="D62" s="37">
        <v>15.714</v>
      </c>
      <c r="E62" s="38">
        <f t="shared" si="3"/>
        <v>100</v>
      </c>
      <c r="F62" s="38">
        <f t="shared" si="4"/>
        <v>0</v>
      </c>
    </row>
    <row r="63" spans="1:7" ht="16.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8" customHeight="1">
      <c r="A64" s="35" t="s">
        <v>44</v>
      </c>
      <c r="B64" s="39" t="s">
        <v>45</v>
      </c>
      <c r="C64" s="37">
        <v>4.2565</v>
      </c>
      <c r="D64" s="37">
        <v>4.2565</v>
      </c>
      <c r="E64" s="38">
        <f t="shared" si="3"/>
        <v>100</v>
      </c>
      <c r="F64" s="38">
        <f t="shared" si="4"/>
        <v>0</v>
      </c>
    </row>
    <row r="65" spans="1:7" s="6" customFormat="1" ht="15" customHeight="1">
      <c r="A65" s="41" t="s">
        <v>46</v>
      </c>
      <c r="B65" s="42" t="s">
        <v>47</v>
      </c>
      <c r="C65" s="32">
        <f>C66</f>
        <v>150.881</v>
      </c>
      <c r="D65" s="32">
        <f>D66</f>
        <v>126.04170999999999</v>
      </c>
      <c r="E65" s="34">
        <f t="shared" si="3"/>
        <v>83.537165050602795</v>
      </c>
      <c r="F65" s="34">
        <f t="shared" si="4"/>
        <v>-24.839290000000005</v>
      </c>
    </row>
    <row r="66" spans="1:7">
      <c r="A66" s="43" t="s">
        <v>48</v>
      </c>
      <c r="B66" s="44" t="s">
        <v>49</v>
      </c>
      <c r="C66" s="37">
        <v>150.881</v>
      </c>
      <c r="D66" s="37">
        <v>126.04170999999999</v>
      </c>
      <c r="E66" s="38">
        <f t="shared" si="3"/>
        <v>83.537165050602795</v>
      </c>
      <c r="F66" s="38">
        <f t="shared" si="4"/>
        <v>-24.839290000000005</v>
      </c>
    </row>
    <row r="67" spans="1:7" s="6" customFormat="1" ht="16.5" customHeight="1">
      <c r="A67" s="30" t="s">
        <v>50</v>
      </c>
      <c r="B67" s="31" t="s">
        <v>51</v>
      </c>
      <c r="C67" s="32">
        <f>C70+C71</f>
        <v>3</v>
      </c>
      <c r="D67" s="32">
        <f>SUM(D68:D71)</f>
        <v>0</v>
      </c>
      <c r="E67" s="34">
        <f t="shared" si="3"/>
        <v>0</v>
      </c>
      <c r="F67" s="34">
        <f t="shared" si="4"/>
        <v>-3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1</v>
      </c>
      <c r="D71" s="37">
        <v>0</v>
      </c>
      <c r="E71" s="34">
        <f t="shared" si="3"/>
        <v>0</v>
      </c>
      <c r="F71" s="34">
        <f t="shared" si="4"/>
        <v>-1</v>
      </c>
    </row>
    <row r="72" spans="1:7" s="6" customFormat="1" ht="15" customHeight="1">
      <c r="A72" s="30" t="s">
        <v>58</v>
      </c>
      <c r="B72" s="31" t="s">
        <v>59</v>
      </c>
      <c r="C72" s="48">
        <f>SUM(C73:C76)</f>
        <v>1575.7813799999999</v>
      </c>
      <c r="D72" s="48">
        <f>SUM(D73:D76)</f>
        <v>1308.21623</v>
      </c>
      <c r="E72" s="34">
        <f t="shared" si="3"/>
        <v>83.02016044890695</v>
      </c>
      <c r="F72" s="34">
        <f t="shared" si="4"/>
        <v>-267.5651499999999</v>
      </c>
    </row>
    <row r="73" spans="1:7" ht="17.25" customHeight="1">
      <c r="A73" s="35" t="s">
        <v>60</v>
      </c>
      <c r="B73" s="39" t="s">
        <v>61</v>
      </c>
      <c r="C73" s="49">
        <v>17.5</v>
      </c>
      <c r="D73" s="37">
        <v>6.25</v>
      </c>
      <c r="E73" s="38">
        <f t="shared" si="3"/>
        <v>35.714285714285715</v>
      </c>
      <c r="F73" s="38">
        <f t="shared" si="4"/>
        <v>-11.25</v>
      </c>
    </row>
    <row r="74" spans="1:7" s="6" customFormat="1" ht="19.5" customHeight="1">
      <c r="A74" s="35" t="s">
        <v>62</v>
      </c>
      <c r="B74" s="39" t="s">
        <v>63</v>
      </c>
      <c r="C74" s="49">
        <v>350</v>
      </c>
      <c r="D74" s="37">
        <v>191.68485000000001</v>
      </c>
      <c r="E74" s="38">
        <f t="shared" si="3"/>
        <v>54.767099999999999</v>
      </c>
      <c r="F74" s="38">
        <f t="shared" si="4"/>
        <v>-158.31514999999999</v>
      </c>
      <c r="G74" s="50"/>
    </row>
    <row r="75" spans="1:7">
      <c r="A75" s="35" t="s">
        <v>64</v>
      </c>
      <c r="B75" s="39" t="s">
        <v>65</v>
      </c>
      <c r="C75" s="49">
        <f>1208.28138</f>
        <v>1208.2813799999999</v>
      </c>
      <c r="D75" s="37">
        <v>1110.2813799999999</v>
      </c>
      <c r="E75" s="38">
        <f t="shared" si="3"/>
        <v>91.88930644615246</v>
      </c>
      <c r="F75" s="38">
        <f t="shared" si="4"/>
        <v>-98</v>
      </c>
    </row>
    <row r="76" spans="1:7">
      <c r="A76" s="35" t="s">
        <v>66</v>
      </c>
      <c r="B76" s="39" t="s">
        <v>67</v>
      </c>
      <c r="C76" s="49">
        <v>0</v>
      </c>
      <c r="D76" s="37">
        <v>0</v>
      </c>
      <c r="E76" s="38" t="e">
        <f t="shared" si="3"/>
        <v>#DIV/0!</v>
      </c>
      <c r="F76" s="38">
        <f t="shared" si="4"/>
        <v>0</v>
      </c>
    </row>
    <row r="77" spans="1:7" s="6" customFormat="1" ht="14.25" customHeight="1">
      <c r="A77" s="30" t="s">
        <v>68</v>
      </c>
      <c r="B77" s="31" t="s">
        <v>69</v>
      </c>
      <c r="C77" s="32">
        <f>SUM(C78:C80)</f>
        <v>756.24</v>
      </c>
      <c r="D77" s="32">
        <f>SUM(D78:D80)</f>
        <v>634.94888000000003</v>
      </c>
      <c r="E77" s="34">
        <f t="shared" si="3"/>
        <v>83.961292711308573</v>
      </c>
      <c r="F77" s="34">
        <f t="shared" si="4"/>
        <v>-121.29111999999998</v>
      </c>
    </row>
    <row r="78" spans="1:7" hidden="1">
      <c r="A78" s="35" t="s">
        <v>70</v>
      </c>
      <c r="B78" s="51" t="s">
        <v>71</v>
      </c>
      <c r="C78" s="37"/>
      <c r="D78" s="37"/>
      <c r="E78" s="38" t="e">
        <f t="shared" si="3"/>
        <v>#DIV/0!</v>
      </c>
      <c r="F78" s="38">
        <f t="shared" si="4"/>
        <v>0</v>
      </c>
    </row>
    <row r="79" spans="1:7" hidden="1">
      <c r="A79" s="35" t="s">
        <v>72</v>
      </c>
      <c r="B79" s="51" t="s">
        <v>73</v>
      </c>
      <c r="C79" s="37"/>
      <c r="D79" s="37"/>
      <c r="E79" s="38" t="e">
        <f t="shared" si="3"/>
        <v>#DIV/0!</v>
      </c>
      <c r="F79" s="38">
        <f t="shared" si="4"/>
        <v>0</v>
      </c>
    </row>
    <row r="80" spans="1:7">
      <c r="A80" s="35" t="s">
        <v>74</v>
      </c>
      <c r="B80" s="39" t="s">
        <v>75</v>
      </c>
      <c r="C80" s="37">
        <v>756.24</v>
      </c>
      <c r="D80" s="37">
        <v>634.94888000000003</v>
      </c>
      <c r="E80" s="38">
        <f t="shared" si="3"/>
        <v>83.961292711308573</v>
      </c>
      <c r="F80" s="38">
        <f t="shared" si="4"/>
        <v>-121.29111999999998</v>
      </c>
    </row>
    <row r="81" spans="1:6" s="6" customFormat="1">
      <c r="A81" s="30" t="s">
        <v>86</v>
      </c>
      <c r="B81" s="31" t="s">
        <v>87</v>
      </c>
      <c r="C81" s="32">
        <f>C82</f>
        <v>3714.4225999999999</v>
      </c>
      <c r="D81" s="32">
        <f>SUM(D82)</f>
        <v>3175.4450900000002</v>
      </c>
      <c r="E81" s="34">
        <f t="shared" si="3"/>
        <v>85.489601802444355</v>
      </c>
      <c r="F81" s="34">
        <f t="shared" si="4"/>
        <v>-538.97750999999971</v>
      </c>
    </row>
    <row r="82" spans="1:6" ht="15" customHeight="1">
      <c r="A82" s="35" t="s">
        <v>88</v>
      </c>
      <c r="B82" s="39" t="s">
        <v>234</v>
      </c>
      <c r="C82" s="37">
        <v>3714.4225999999999</v>
      </c>
      <c r="D82" s="37">
        <v>3175.4450900000002</v>
      </c>
      <c r="E82" s="38">
        <f t="shared" si="3"/>
        <v>85.489601802444355</v>
      </c>
      <c r="F82" s="38">
        <f t="shared" si="4"/>
        <v>-538.97750999999971</v>
      </c>
    </row>
    <row r="83" spans="1:6" s="6" customFormat="1" ht="15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5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96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1004</v>
      </c>
      <c r="B86" s="54" t="s">
        <v>92</v>
      </c>
      <c r="C86" s="37"/>
      <c r="D86" s="55"/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5.75" customHeight="1">
      <c r="A88" s="30" t="s">
        <v>95</v>
      </c>
      <c r="B88" s="31" t="s">
        <v>96</v>
      </c>
      <c r="C88" s="32">
        <f>C89</f>
        <v>4</v>
      </c>
      <c r="D88" s="32">
        <f>D89+D90+D91+D92+D93</f>
        <v>0</v>
      </c>
      <c r="E88" s="38"/>
      <c r="F88" s="22">
        <f>F89+F90+F91+F92+F93</f>
        <v>-4</v>
      </c>
    </row>
    <row r="89" spans="1:6" ht="16.5" customHeight="1">
      <c r="A89" s="35" t="s">
        <v>97</v>
      </c>
      <c r="B89" s="39" t="s">
        <v>98</v>
      </c>
      <c r="C89" s="37">
        <v>4</v>
      </c>
      <c r="D89" s="37">
        <v>0</v>
      </c>
      <c r="E89" s="38"/>
      <c r="F89" s="38">
        <f>SUM(D89-C89)</f>
        <v>-4</v>
      </c>
    </row>
    <row r="90" spans="1:6" ht="1.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21.7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4.2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9.5" hidden="1" customHeight="1">
      <c r="A94" s="52">
        <v>1400</v>
      </c>
      <c r="B94" s="56" t="s">
        <v>115</v>
      </c>
      <c r="C94" s="48">
        <f>C95+C96+C97</f>
        <v>0</v>
      </c>
      <c r="D94" s="241">
        <f>SUM(D95:D97)</f>
        <v>0</v>
      </c>
      <c r="E94" s="34" t="e">
        <f t="shared" si="3"/>
        <v>#DIV/0!</v>
      </c>
      <c r="F94" s="34">
        <f t="shared" si="4"/>
        <v>0</v>
      </c>
    </row>
    <row r="95" spans="1:6" ht="15" hidden="1" customHeight="1">
      <c r="A95" s="53">
        <v>1401</v>
      </c>
      <c r="B95" s="54" t="s">
        <v>116</v>
      </c>
      <c r="C95" s="49"/>
      <c r="D95" s="37"/>
      <c r="E95" s="38" t="e">
        <f t="shared" si="3"/>
        <v>#DIV/0!</v>
      </c>
      <c r="F95" s="38">
        <f t="shared" si="4"/>
        <v>0</v>
      </c>
    </row>
    <row r="96" spans="1:6" ht="16.5" hidden="1" customHeight="1">
      <c r="A96" s="53">
        <v>1402</v>
      </c>
      <c r="B96" s="54" t="s">
        <v>117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6" ht="20.25" hidden="1" customHeight="1">
      <c r="A97" s="53">
        <v>1403</v>
      </c>
      <c r="B97" s="54" t="s">
        <v>118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6" s="6" customFormat="1" ht="21" customHeight="1">
      <c r="A98" s="52"/>
      <c r="B98" s="57" t="s">
        <v>119</v>
      </c>
      <c r="C98" s="102">
        <f>C57+C65+C67+C72+C77+C81+C88+C83</f>
        <v>7476.8584799999999</v>
      </c>
      <c r="D98" s="102">
        <f>D57+D65+D67+D72+D77+D81+D88+D83</f>
        <v>6290.9750999999997</v>
      </c>
      <c r="E98" s="34">
        <f t="shared" si="3"/>
        <v>84.139282786050543</v>
      </c>
      <c r="F98" s="34">
        <f t="shared" si="4"/>
        <v>-1185.8833800000002</v>
      </c>
    </row>
    <row r="99" spans="1:6">
      <c r="D99" s="245"/>
    </row>
    <row r="100" spans="1:6" s="65" customFormat="1" ht="18" customHeight="1">
      <c r="A100" s="63" t="s">
        <v>120</v>
      </c>
      <c r="B100" s="63"/>
      <c r="C100" s="131"/>
      <c r="D100" s="64"/>
      <c r="E100" s="64"/>
    </row>
    <row r="101" spans="1:6" s="65" customFormat="1" ht="12.75">
      <c r="A101" s="66" t="s">
        <v>121</v>
      </c>
      <c r="B101" s="66"/>
      <c r="C101" s="65" t="s">
        <v>122</v>
      </c>
    </row>
    <row r="102" spans="1:6">
      <c r="C102" s="120"/>
    </row>
    <row r="141" hidden="1"/>
  </sheetData>
  <customSheetViews>
    <customSheetView guid="{8E17DC23-BE06-48DD-840B-6DD85B9E86D1}" scale="70" showPageBreaks="1" hiddenRows="1" view="pageBreakPreview" topLeftCell="A37">
      <selection activeCell="D55" sqref="D55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 topLeftCell="A32">
      <selection activeCell="J56" sqref="J56"/>
      <pageMargins left="0.7" right="0.7" top="0.75" bottom="0.75" header="0.3" footer="0.3"/>
      <pageSetup paperSize="9" scale="52" orientation="portrait" r:id="rId2"/>
    </customSheetView>
    <customSheetView guid="{3DCB9AAA-F09C-4EA6-B992-F93E466D374A}" hiddenRows="1" topLeftCell="A38">
      <selection activeCell="J56" sqref="J56"/>
      <pageMargins left="0.7" right="0.7" top="0.75" bottom="0.75" header="0.3" footer="0.3"/>
      <pageSetup paperSize="9" scale="52" orientation="portrait" r:id="rId3"/>
    </customSheetView>
    <customSheetView guid="{1718F1EE-9F48-4DBE-9531-3B70F9C4A5DD}" scale="70" showPageBreaks="1" hiddenRows="1" view="pageBreakPreview" topLeftCell="A37">
      <selection activeCell="D52" sqref="D52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hiddenRows="1" view="pageBreakPreview" topLeftCell="A56">
      <selection activeCell="D55" sqref="D55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hiddenRows="1" view="pageBreakPreview" topLeftCell="A25">
      <selection activeCell="E100" sqref="E100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37">
      <selection activeCell="D55" sqref="D55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/>
  <dimension ref="A1:H143"/>
  <sheetViews>
    <sheetView view="pageBreakPreview" topLeftCell="A66" zoomScale="70" zoomScaleNormal="100" zoomScaleSheetLayoutView="70" workbookViewId="0">
      <selection activeCell="C99" activeCellId="2" sqref="C52:D53 C41:D41 C99:D9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6" style="62" customWidth="1"/>
    <col min="5" max="5" width="10.85546875" style="62" customWidth="1"/>
    <col min="6" max="6" width="9.28515625" style="62" customWidth="1"/>
    <col min="7" max="7" width="15.42578125" style="1" bestFit="1" customWidth="1"/>
    <col min="8" max="8" width="12.85546875" style="1" bestFit="1" customWidth="1"/>
    <col min="9" max="9" width="12.42578125" style="1" customWidth="1"/>
    <col min="10" max="10" width="9.140625" style="1" customWidth="1"/>
    <col min="11" max="16384" width="9.140625" style="1"/>
  </cols>
  <sheetData>
    <row r="1" spans="1:6">
      <c r="A1" s="459" t="s">
        <v>433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2545.75</v>
      </c>
      <c r="D4" s="5">
        <f>D5+D12+D14+D17+D7</f>
        <v>1644.6323200000002</v>
      </c>
      <c r="E4" s="5">
        <f>SUM(D4/C4*100)</f>
        <v>64.603056859471678</v>
      </c>
      <c r="F4" s="5">
        <f>SUM(D4-C4)</f>
        <v>-901.11767999999984</v>
      </c>
    </row>
    <row r="5" spans="1:6" s="6" customFormat="1">
      <c r="A5" s="68">
        <v>1010000000</v>
      </c>
      <c r="B5" s="67" t="s">
        <v>6</v>
      </c>
      <c r="C5" s="5">
        <f>C6</f>
        <v>121.5</v>
      </c>
      <c r="D5" s="5">
        <f>D6</f>
        <v>96.578519999999997</v>
      </c>
      <c r="E5" s="5">
        <f t="shared" ref="E5:E52" si="0">SUM(D5/C5*100)</f>
        <v>79.488493827160482</v>
      </c>
      <c r="F5" s="5">
        <f t="shared" ref="F5:F52" si="1">SUM(D5-C5)</f>
        <v>-24.921480000000003</v>
      </c>
    </row>
    <row r="6" spans="1:6">
      <c r="A6" s="7">
        <v>1010200001</v>
      </c>
      <c r="B6" s="8" t="s">
        <v>229</v>
      </c>
      <c r="C6" s="9">
        <v>121.5</v>
      </c>
      <c r="D6" s="10">
        <v>96.578519999999997</v>
      </c>
      <c r="E6" s="9">
        <f t="shared" ref="E6:E11" si="2">SUM(D6/C6*100)</f>
        <v>79.488493827160482</v>
      </c>
      <c r="F6" s="9">
        <f t="shared" si="1"/>
        <v>-24.921480000000003</v>
      </c>
    </row>
    <row r="7" spans="1:6" ht="31.5">
      <c r="A7" s="3">
        <v>1030000000</v>
      </c>
      <c r="B7" s="13" t="s">
        <v>281</v>
      </c>
      <c r="C7" s="5">
        <f>C8+C10+C9</f>
        <v>732.24999999999989</v>
      </c>
      <c r="D7" s="5">
        <f>D8+D10+D9+D11</f>
        <v>639.95275000000004</v>
      </c>
      <c r="E7" s="5">
        <f t="shared" si="2"/>
        <v>87.3953909184022</v>
      </c>
      <c r="F7" s="5">
        <f t="shared" si="1"/>
        <v>-92.297249999999849</v>
      </c>
    </row>
    <row r="8" spans="1:6">
      <c r="A8" s="7">
        <v>1030223001</v>
      </c>
      <c r="B8" s="8" t="s">
        <v>283</v>
      </c>
      <c r="C8" s="9">
        <v>273.13</v>
      </c>
      <c r="D8" s="10">
        <v>282.26952999999997</v>
      </c>
      <c r="E8" s="9">
        <f t="shared" si="2"/>
        <v>103.34621974883756</v>
      </c>
      <c r="F8" s="9">
        <f t="shared" si="1"/>
        <v>9.1395299999999793</v>
      </c>
    </row>
    <row r="9" spans="1:6">
      <c r="A9" s="7">
        <v>1030224001</v>
      </c>
      <c r="B9" s="8" t="s">
        <v>289</v>
      </c>
      <c r="C9" s="9">
        <v>2.93</v>
      </c>
      <c r="D9" s="10">
        <v>2.6189300000000002</v>
      </c>
      <c r="E9" s="9">
        <f t="shared" si="2"/>
        <v>89.383276450511957</v>
      </c>
      <c r="F9" s="9">
        <f t="shared" si="1"/>
        <v>-0.31106999999999996</v>
      </c>
    </row>
    <row r="10" spans="1:6">
      <c r="A10" s="7">
        <v>1030225001</v>
      </c>
      <c r="B10" s="8" t="s">
        <v>282</v>
      </c>
      <c r="C10" s="9">
        <v>456.19</v>
      </c>
      <c r="D10" s="10">
        <v>418.82375999999999</v>
      </c>
      <c r="E10" s="9">
        <f t="shared" si="2"/>
        <v>91.809062013634673</v>
      </c>
      <c r="F10" s="9">
        <f>SUM(D10-C10)</f>
        <v>-37.366240000000005</v>
      </c>
    </row>
    <row r="11" spans="1:6">
      <c r="A11" s="7">
        <v>1030226001</v>
      </c>
      <c r="B11" s="8" t="s">
        <v>291</v>
      </c>
      <c r="C11" s="9">
        <v>0</v>
      </c>
      <c r="D11" s="10">
        <v>-63.75947</v>
      </c>
      <c r="E11" s="9" t="e">
        <f t="shared" si="2"/>
        <v>#DIV/0!</v>
      </c>
      <c r="F11" s="9">
        <f>SUM(D11-C11)</f>
        <v>-63.75947</v>
      </c>
    </row>
    <row r="12" spans="1:6" s="6" customFormat="1">
      <c r="A12" s="68">
        <v>1050000000</v>
      </c>
      <c r="B12" s="67" t="s">
        <v>7</v>
      </c>
      <c r="C12" s="5">
        <f>SUM(C13:C13)</f>
        <v>25</v>
      </c>
      <c r="D12" s="5">
        <f>SUM(D13:D13)</f>
        <v>21.4968</v>
      </c>
      <c r="E12" s="5">
        <f t="shared" si="0"/>
        <v>85.987200000000001</v>
      </c>
      <c r="F12" s="5">
        <f t="shared" si="1"/>
        <v>-3.5031999999999996</v>
      </c>
    </row>
    <row r="13" spans="1:6" ht="15.75" customHeight="1">
      <c r="A13" s="7">
        <v>1050300000</v>
      </c>
      <c r="B13" s="11" t="s">
        <v>230</v>
      </c>
      <c r="C13" s="12">
        <v>25</v>
      </c>
      <c r="D13" s="10">
        <v>21.4968</v>
      </c>
      <c r="E13" s="9">
        <f t="shared" si="0"/>
        <v>85.987200000000001</v>
      </c>
      <c r="F13" s="9">
        <f t="shared" si="1"/>
        <v>-3.5031999999999996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1655</v>
      </c>
      <c r="D14" s="5">
        <f>D15+D16</f>
        <v>872.96704</v>
      </c>
      <c r="E14" s="5">
        <f t="shared" si="0"/>
        <v>52.747253172205433</v>
      </c>
      <c r="F14" s="5">
        <f t="shared" si="1"/>
        <v>-782.03296</v>
      </c>
    </row>
    <row r="15" spans="1:6" s="6" customFormat="1" ht="15.75" customHeight="1">
      <c r="A15" s="7">
        <v>1060100000</v>
      </c>
      <c r="B15" s="11" t="s">
        <v>9</v>
      </c>
      <c r="C15" s="9">
        <v>155</v>
      </c>
      <c r="D15" s="10">
        <v>87.259159999999994</v>
      </c>
      <c r="E15" s="9">
        <f t="shared" si="0"/>
        <v>56.296232258064514</v>
      </c>
      <c r="F15" s="9">
        <f>SUM(D15-C15)</f>
        <v>-67.740840000000006</v>
      </c>
    </row>
    <row r="16" spans="1:6" ht="15.75" customHeight="1">
      <c r="A16" s="7">
        <v>1060600000</v>
      </c>
      <c r="B16" s="11" t="s">
        <v>8</v>
      </c>
      <c r="C16" s="9">
        <v>1500</v>
      </c>
      <c r="D16" s="10">
        <v>785.70788000000005</v>
      </c>
      <c r="E16" s="9">
        <f t="shared" si="0"/>
        <v>52.380525333333338</v>
      </c>
      <c r="F16" s="9">
        <f t="shared" si="1"/>
        <v>-714.29211999999995</v>
      </c>
    </row>
    <row r="17" spans="1:6" s="6" customFormat="1">
      <c r="A17" s="3">
        <v>1080000000</v>
      </c>
      <c r="B17" s="4" t="s">
        <v>11</v>
      </c>
      <c r="C17" s="5">
        <f>C18</f>
        <v>12</v>
      </c>
      <c r="D17" s="5">
        <f>D18</f>
        <v>13.63721</v>
      </c>
      <c r="E17" s="5">
        <f t="shared" si="0"/>
        <v>113.64341666666667</v>
      </c>
      <c r="F17" s="5">
        <f t="shared" si="1"/>
        <v>1.6372099999999996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13.63721</v>
      </c>
      <c r="E18" s="9">
        <f t="shared" si="0"/>
        <v>113.64341666666667</v>
      </c>
      <c r="F18" s="9">
        <f t="shared" si="1"/>
        <v>1.6372099999999996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C26+C30+C32+C37+C35</f>
        <v>115</v>
      </c>
      <c r="D25" s="5">
        <f>D30+D37+D26+D35</f>
        <v>107.13999</v>
      </c>
      <c r="E25" s="5">
        <f t="shared" si="0"/>
        <v>93.165208695652169</v>
      </c>
      <c r="F25" s="5">
        <f t="shared" si="1"/>
        <v>-7.8600100000000026</v>
      </c>
    </row>
    <row r="26" spans="1:6" s="6" customFormat="1" ht="30.75" customHeight="1">
      <c r="A26" s="68">
        <v>1110000000</v>
      </c>
      <c r="B26" s="69" t="s">
        <v>129</v>
      </c>
      <c r="C26" s="5">
        <f>C27+C28</f>
        <v>85</v>
      </c>
      <c r="D26" s="5">
        <f>D27+D28</f>
        <v>61.579819999999998</v>
      </c>
      <c r="E26" s="5">
        <f t="shared" si="0"/>
        <v>72.446847058823522</v>
      </c>
      <c r="F26" s="5">
        <f t="shared" si="1"/>
        <v>-23.420180000000002</v>
      </c>
    </row>
    <row r="27" spans="1:6" ht="15.75" customHeight="1">
      <c r="A27" s="16">
        <v>1110502510</v>
      </c>
      <c r="B27" s="17" t="s">
        <v>226</v>
      </c>
      <c r="C27" s="12">
        <v>30</v>
      </c>
      <c r="D27" s="10">
        <v>8.5763599999999993</v>
      </c>
      <c r="E27" s="9">
        <f t="shared" si="0"/>
        <v>28.587866666666667</v>
      </c>
      <c r="F27" s="9">
        <f t="shared" si="1"/>
        <v>-21.423639999999999</v>
      </c>
    </row>
    <row r="28" spans="1:6" ht="15.75" customHeight="1">
      <c r="A28" s="7">
        <v>1110503510</v>
      </c>
      <c r="B28" s="11" t="s">
        <v>225</v>
      </c>
      <c r="C28" s="12">
        <v>55</v>
      </c>
      <c r="D28" s="10">
        <v>53.003459999999997</v>
      </c>
      <c r="E28" s="9">
        <f t="shared" si="0"/>
        <v>96.369927272727267</v>
      </c>
      <c r="F28" s="9">
        <f t="shared" si="1"/>
        <v>-1.9965400000000031</v>
      </c>
    </row>
    <row r="29" spans="1:6" ht="15.75" customHeight="1">
      <c r="A29" s="7">
        <v>1110532510</v>
      </c>
      <c r="B29" s="11" t="s">
        <v>362</v>
      </c>
      <c r="C29" s="12">
        <v>0</v>
      </c>
      <c r="D29" s="245">
        <v>0</v>
      </c>
      <c r="E29" s="9" t="e">
        <f>SUM(D28/C29*100)</f>
        <v>#DIV/0!</v>
      </c>
      <c r="F29" s="9">
        <f>SUM(D28-C29)</f>
        <v>53.003459999999997</v>
      </c>
    </row>
    <row r="30" spans="1:6" s="15" customFormat="1" ht="29.25">
      <c r="A30" s="68">
        <v>1130000000</v>
      </c>
      <c r="B30" s="69" t="s">
        <v>131</v>
      </c>
      <c r="C30" s="5">
        <f>C31</f>
        <v>30</v>
      </c>
      <c r="D30" s="5">
        <f>D31</f>
        <v>31.73629</v>
      </c>
      <c r="E30" s="5">
        <f t="shared" si="0"/>
        <v>105.78763333333335</v>
      </c>
      <c r="F30" s="5">
        <f t="shared" si="1"/>
        <v>1.7362900000000003</v>
      </c>
    </row>
    <row r="31" spans="1:6" ht="17.25" customHeight="1">
      <c r="A31" s="7">
        <v>1130206005</v>
      </c>
      <c r="B31" s="8" t="s">
        <v>224</v>
      </c>
      <c r="C31" s="9">
        <v>30</v>
      </c>
      <c r="D31" s="10">
        <v>31.73629</v>
      </c>
      <c r="E31" s="9">
        <f t="shared" si="0"/>
        <v>105.78763333333335</v>
      </c>
      <c r="F31" s="9">
        <f t="shared" si="1"/>
        <v>1.7362900000000003</v>
      </c>
    </row>
    <row r="32" spans="1:6" hidden="1">
      <c r="A32" s="70">
        <v>1140000000</v>
      </c>
      <c r="B32" s="71" t="s">
        <v>132</v>
      </c>
      <c r="C32" s="5">
        <f>C33+C34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222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>
      <c r="A35" s="3">
        <v>1160000000</v>
      </c>
      <c r="B35" s="13" t="s">
        <v>252</v>
      </c>
      <c r="C35" s="5">
        <f>C36</f>
        <v>0</v>
      </c>
      <c r="D35" s="14">
        <f>D36</f>
        <v>12.99113</v>
      </c>
      <c r="E35" s="5" t="e">
        <f>SUM(D35/C35*100)</f>
        <v>#DIV/0!</v>
      </c>
      <c r="F35" s="5">
        <f>SUM(D35-C35)</f>
        <v>12.99113</v>
      </c>
    </row>
    <row r="36" spans="1:7" ht="47.25">
      <c r="A36" s="7">
        <v>1163305010</v>
      </c>
      <c r="B36" s="8" t="s">
        <v>268</v>
      </c>
      <c r="C36" s="9">
        <v>0</v>
      </c>
      <c r="D36" s="10">
        <v>12.99113</v>
      </c>
      <c r="E36" s="9" t="e">
        <f>SUM(D36/C36*100)</f>
        <v>#DIV/0!</v>
      </c>
      <c r="F36" s="9">
        <f>SUM(D36-C36)</f>
        <v>12.99113</v>
      </c>
    </row>
    <row r="37" spans="1:7">
      <c r="A37" s="3">
        <v>1170000000</v>
      </c>
      <c r="B37" s="13" t="s">
        <v>135</v>
      </c>
      <c r="C37" s="5">
        <f>C38+C39</f>
        <v>0</v>
      </c>
      <c r="D37" s="5">
        <f>D38+D39</f>
        <v>0.83274999999999999</v>
      </c>
      <c r="E37" s="5" t="e">
        <f t="shared" si="0"/>
        <v>#DIV/0!</v>
      </c>
      <c r="F37" s="5">
        <f t="shared" si="1"/>
        <v>0.83274999999999999</v>
      </c>
    </row>
    <row r="38" spans="1:7">
      <c r="A38" s="7">
        <v>1170105010</v>
      </c>
      <c r="B38" s="8" t="s">
        <v>18</v>
      </c>
      <c r="C38" s="9">
        <v>0</v>
      </c>
      <c r="D38" s="9">
        <v>0.83274999999999999</v>
      </c>
      <c r="E38" s="9" t="e">
        <f t="shared" si="0"/>
        <v>#DIV/0!</v>
      </c>
      <c r="F38" s="9">
        <f t="shared" si="1"/>
        <v>0.83274999999999999</v>
      </c>
    </row>
    <row r="39" spans="1:7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8" customHeight="1">
      <c r="A40" s="3">
        <v>1000000000</v>
      </c>
      <c r="B40" s="4" t="s">
        <v>19</v>
      </c>
      <c r="C40" s="127">
        <f>SUM(C4,C25)</f>
        <v>2660.75</v>
      </c>
      <c r="D40" s="127">
        <f>D4+D25</f>
        <v>1751.7723100000001</v>
      </c>
      <c r="E40" s="5">
        <f t="shared" si="0"/>
        <v>65.83753866391055</v>
      </c>
      <c r="F40" s="5">
        <f t="shared" si="1"/>
        <v>-908.97768999999994</v>
      </c>
    </row>
    <row r="41" spans="1:7" s="6" customFormat="1">
      <c r="A41" s="3">
        <v>2000000000</v>
      </c>
      <c r="B41" s="4" t="s">
        <v>20</v>
      </c>
      <c r="C41" s="93">
        <f>C42+C44+C45+C47+C48+C49+C43+C51</f>
        <v>6034.7284900000004</v>
      </c>
      <c r="D41" s="93">
        <f>D42+D44+D45+D47+D48+D49+D43+D51</f>
        <v>4660.5329300000003</v>
      </c>
      <c r="E41" s="5">
        <f t="shared" si="0"/>
        <v>77.228543715311375</v>
      </c>
      <c r="F41" s="5">
        <f t="shared" si="1"/>
        <v>-1374.1955600000001</v>
      </c>
      <c r="G41" s="19"/>
    </row>
    <row r="42" spans="1:7" ht="17.25" customHeight="1">
      <c r="A42" s="16">
        <v>2021000000</v>
      </c>
      <c r="B42" s="17" t="s">
        <v>21</v>
      </c>
      <c r="C42" s="12">
        <f>1767.2+53.973</f>
        <v>1821.173</v>
      </c>
      <c r="D42" s="20">
        <v>1545.145</v>
      </c>
      <c r="E42" s="9">
        <f t="shared" si="0"/>
        <v>84.84339488889853</v>
      </c>
      <c r="F42" s="9">
        <f t="shared" si="1"/>
        <v>-276.02800000000002</v>
      </c>
    </row>
    <row r="43" spans="1:7" ht="17.25" customHeight="1">
      <c r="A43" s="16">
        <v>2021500200</v>
      </c>
      <c r="B43" s="17" t="s">
        <v>232</v>
      </c>
      <c r="C43" s="12">
        <v>154.66300000000001</v>
      </c>
      <c r="D43" s="20">
        <v>0</v>
      </c>
      <c r="E43" s="9">
        <f t="shared" si="0"/>
        <v>0</v>
      </c>
      <c r="F43" s="9">
        <f t="shared" si="1"/>
        <v>-154.66300000000001</v>
      </c>
    </row>
    <row r="44" spans="1:7">
      <c r="A44" s="16">
        <v>2022000000</v>
      </c>
      <c r="B44" s="17" t="s">
        <v>22</v>
      </c>
      <c r="C44" s="12">
        <v>3239.2814899999998</v>
      </c>
      <c r="D44" s="10">
        <v>2299.77783</v>
      </c>
      <c r="E44" s="9">
        <f t="shared" si="0"/>
        <v>70.996541581818505</v>
      </c>
      <c r="F44" s="9">
        <f t="shared" si="1"/>
        <v>-939.50365999999985</v>
      </c>
    </row>
    <row r="45" spans="1:7" ht="15.75" customHeight="1">
      <c r="A45" s="16">
        <v>2023000000</v>
      </c>
      <c r="B45" s="17" t="s">
        <v>23</v>
      </c>
      <c r="C45" s="12">
        <v>155.91800000000001</v>
      </c>
      <c r="D45" s="251">
        <v>151.9171</v>
      </c>
      <c r="E45" s="9">
        <f t="shared" si="0"/>
        <v>97.43397170307469</v>
      </c>
      <c r="F45" s="9">
        <f t="shared" si="1"/>
        <v>-4.0009000000000015</v>
      </c>
    </row>
    <row r="46" spans="1:7" ht="15" hidden="1" customHeight="1">
      <c r="A46" s="16">
        <v>2070503010</v>
      </c>
      <c r="B46" s="17" t="s">
        <v>271</v>
      </c>
      <c r="C46" s="12">
        <v>0</v>
      </c>
      <c r="D46" s="251">
        <v>0</v>
      </c>
      <c r="E46" s="9" t="e">
        <f t="shared" si="0"/>
        <v>#DIV/0!</v>
      </c>
      <c r="F46" s="9">
        <f t="shared" si="1"/>
        <v>0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31.5" hidden="1">
      <c r="A48" s="16">
        <v>2020900000</v>
      </c>
      <c r="B48" s="18" t="s">
        <v>25</v>
      </c>
      <c r="C48" s="12"/>
      <c r="D48" s="252"/>
      <c r="E48" s="9" t="e">
        <f t="shared" si="0"/>
        <v>#DIV/0!</v>
      </c>
      <c r="F48" s="9">
        <f t="shared" si="1"/>
        <v>0</v>
      </c>
    </row>
    <row r="49" spans="1:7" hidden="1">
      <c r="A49" s="7">
        <v>2190500005</v>
      </c>
      <c r="B49" s="11" t="s">
        <v>26</v>
      </c>
      <c r="C49" s="14"/>
      <c r="D49" s="14"/>
      <c r="E49" s="5"/>
      <c r="F49" s="5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7" s="6" customFormat="1">
      <c r="A51" s="7">
        <v>2070502010</v>
      </c>
      <c r="B51" s="8" t="s">
        <v>303</v>
      </c>
      <c r="C51" s="327">
        <v>663.69299999999998</v>
      </c>
      <c r="D51" s="328">
        <v>663.69299999999998</v>
      </c>
      <c r="E51" s="9">
        <f t="shared" si="0"/>
        <v>100</v>
      </c>
      <c r="F51" s="9">
        <f t="shared" si="1"/>
        <v>0</v>
      </c>
    </row>
    <row r="52" spans="1:7" s="6" customFormat="1">
      <c r="A52" s="3"/>
      <c r="B52" s="4" t="s">
        <v>28</v>
      </c>
      <c r="C52" s="93">
        <f>SUM(C40,C41,C50)</f>
        <v>8695.4784900000013</v>
      </c>
      <c r="D52" s="407">
        <f>D40+D41</f>
        <v>6412.3052400000006</v>
      </c>
      <c r="E52" s="5">
        <f t="shared" si="0"/>
        <v>73.742983176535915</v>
      </c>
      <c r="F52" s="5">
        <f t="shared" si="1"/>
        <v>-2283.1732500000007</v>
      </c>
      <c r="G52" s="94"/>
    </row>
    <row r="53" spans="1:7" s="6" customFormat="1">
      <c r="A53" s="3"/>
      <c r="B53" s="21" t="s">
        <v>321</v>
      </c>
      <c r="C53" s="412">
        <f>C52-C99</f>
        <v>-2198.5853299999981</v>
      </c>
      <c r="D53" s="412">
        <f>D52-D99</f>
        <v>-1413.9770099999996</v>
      </c>
      <c r="E53" s="22"/>
      <c r="F53" s="22"/>
    </row>
    <row r="54" spans="1:7" ht="32.25" customHeight="1">
      <c r="A54" s="23"/>
      <c r="B54" s="24"/>
      <c r="C54" s="247"/>
      <c r="D54" s="25"/>
      <c r="E54" s="26"/>
      <c r="F54" s="27"/>
    </row>
    <row r="55" spans="1:7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7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7" s="6" customFormat="1" ht="16.5" customHeight="1">
      <c r="A57" s="30" t="s">
        <v>30</v>
      </c>
      <c r="B57" s="31" t="s">
        <v>31</v>
      </c>
      <c r="C57" s="32">
        <f>C58+C59+C60+C61+C62+C64+C63</f>
        <v>1309.998</v>
      </c>
      <c r="D57" s="33">
        <f>D58+D59+D60+D61+D62+D64+D63</f>
        <v>909.51863000000003</v>
      </c>
      <c r="E57" s="34">
        <f>SUM(D57/C57*100)</f>
        <v>69.429009051922222</v>
      </c>
      <c r="F57" s="34">
        <f>SUM(D57-C57)</f>
        <v>-400.47937000000002</v>
      </c>
    </row>
    <row r="58" spans="1:7" s="6" customFormat="1" ht="31.5" hidden="1">
      <c r="A58" s="35" t="s">
        <v>32</v>
      </c>
      <c r="B58" s="36" t="s">
        <v>33</v>
      </c>
      <c r="C58" s="37"/>
      <c r="D58" s="37"/>
      <c r="E58" s="38"/>
      <c r="F58" s="38"/>
    </row>
    <row r="59" spans="1:7" ht="18.75" customHeight="1">
      <c r="A59" s="35" t="s">
        <v>34</v>
      </c>
      <c r="B59" s="39" t="s">
        <v>35</v>
      </c>
      <c r="C59" s="37">
        <v>1283.673</v>
      </c>
      <c r="D59" s="37">
        <v>889.21163000000001</v>
      </c>
      <c r="E59" s="38">
        <f t="shared" ref="E59:E99" si="3">SUM(D59/C59*100)</f>
        <v>69.270883628463011</v>
      </c>
      <c r="F59" s="38">
        <f t="shared" ref="F59:F99" si="4">SUM(D59-C59)</f>
        <v>-394.46136999999999</v>
      </c>
    </row>
    <row r="60" spans="1:7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7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7" ht="1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7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7" ht="15" customHeight="1">
      <c r="A64" s="35" t="s">
        <v>44</v>
      </c>
      <c r="B64" s="39" t="s">
        <v>45</v>
      </c>
      <c r="C64" s="37">
        <v>21.324999999999999</v>
      </c>
      <c r="D64" s="37">
        <v>20.306999999999999</v>
      </c>
      <c r="E64" s="38">
        <f t="shared" si="3"/>
        <v>95.226260257913239</v>
      </c>
      <c r="F64" s="38">
        <f t="shared" si="4"/>
        <v>-1.0180000000000007</v>
      </c>
    </row>
    <row r="65" spans="1:7" s="6" customFormat="1">
      <c r="A65" s="41" t="s">
        <v>46</v>
      </c>
      <c r="B65" s="42" t="s">
        <v>47</v>
      </c>
      <c r="C65" s="32">
        <f>C66</f>
        <v>150.88</v>
      </c>
      <c r="D65" s="32">
        <f>D66</f>
        <v>127.58141999999999</v>
      </c>
      <c r="E65" s="34">
        <f t="shared" si="3"/>
        <v>84.558205196182385</v>
      </c>
      <c r="F65" s="34">
        <f t="shared" si="4"/>
        <v>-23.298580000000001</v>
      </c>
    </row>
    <row r="66" spans="1:7">
      <c r="A66" s="43" t="s">
        <v>48</v>
      </c>
      <c r="B66" s="44" t="s">
        <v>49</v>
      </c>
      <c r="C66" s="37">
        <v>150.88</v>
      </c>
      <c r="D66" s="37">
        <v>127.58141999999999</v>
      </c>
      <c r="E66" s="38">
        <f t="shared" si="3"/>
        <v>84.558205196182385</v>
      </c>
      <c r="F66" s="38">
        <f t="shared" si="4"/>
        <v>-23.298580000000001</v>
      </c>
    </row>
    <row r="67" spans="1:7" s="6" customFormat="1" ht="16.5" customHeight="1">
      <c r="A67" s="30" t="s">
        <v>50</v>
      </c>
      <c r="B67" s="31" t="s">
        <v>51</v>
      </c>
      <c r="C67" s="32">
        <f>C71+C70+C72</f>
        <v>43.72813</v>
      </c>
      <c r="D67" s="32">
        <f>D71+D70+D72</f>
        <v>39.530230000000003</v>
      </c>
      <c r="E67" s="34">
        <f t="shared" si="3"/>
        <v>90.400001097691586</v>
      </c>
      <c r="F67" s="34">
        <f t="shared" si="4"/>
        <v>-4.1978999999999971</v>
      </c>
    </row>
    <row r="68" spans="1:7" hidden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idden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96">
        <v>2</v>
      </c>
      <c r="D70" s="37">
        <v>0</v>
      </c>
      <c r="E70" s="34">
        <f t="shared" si="3"/>
        <v>0</v>
      </c>
      <c r="F70" s="34">
        <f t="shared" si="4"/>
        <v>-2</v>
      </c>
    </row>
    <row r="71" spans="1:7" ht="15.75" customHeight="1">
      <c r="A71" s="46" t="s">
        <v>219</v>
      </c>
      <c r="B71" s="47" t="s">
        <v>220</v>
      </c>
      <c r="C71" s="37">
        <v>8</v>
      </c>
      <c r="D71" s="37">
        <v>8</v>
      </c>
      <c r="E71" s="34">
        <f t="shared" si="3"/>
        <v>100</v>
      </c>
      <c r="F71" s="34">
        <f t="shared" si="4"/>
        <v>0</v>
      </c>
    </row>
    <row r="72" spans="1:7" ht="15.75" customHeight="1">
      <c r="A72" s="46" t="s">
        <v>360</v>
      </c>
      <c r="B72" s="47" t="s">
        <v>363</v>
      </c>
      <c r="C72" s="37">
        <v>33.72813</v>
      </c>
      <c r="D72" s="37">
        <v>31.53023</v>
      </c>
      <c r="E72" s="34">
        <f>SUM(D72/C72*100)</f>
        <v>93.483480999391304</v>
      </c>
      <c r="F72" s="34">
        <f>SUM(D72-C72)</f>
        <v>-2.1979000000000006</v>
      </c>
    </row>
    <row r="73" spans="1:7" s="6" customFormat="1" ht="24" customHeight="1">
      <c r="A73" s="30" t="s">
        <v>58</v>
      </c>
      <c r="B73" s="31" t="s">
        <v>59</v>
      </c>
      <c r="C73" s="48">
        <f>C74+C75+C76+C77</f>
        <v>5740.15769</v>
      </c>
      <c r="D73" s="48">
        <f>SUM(D74:D77)</f>
        <v>4042.50162</v>
      </c>
      <c r="E73" s="34">
        <f t="shared" si="3"/>
        <v>70.424922768977112</v>
      </c>
      <c r="F73" s="34">
        <f t="shared" si="4"/>
        <v>-1697.65607</v>
      </c>
    </row>
    <row r="74" spans="1:7" ht="16.5" customHeight="1">
      <c r="A74" s="35" t="s">
        <v>60</v>
      </c>
      <c r="B74" s="39" t="s">
        <v>61</v>
      </c>
      <c r="C74" s="49">
        <v>12.5</v>
      </c>
      <c r="D74" s="37">
        <v>3.75</v>
      </c>
      <c r="E74" s="38">
        <f t="shared" si="3"/>
        <v>30</v>
      </c>
      <c r="F74" s="38">
        <f t="shared" si="4"/>
        <v>-8.75</v>
      </c>
    </row>
    <row r="75" spans="1:7" s="6" customFormat="1" ht="17.25" customHeight="1">
      <c r="A75" s="35" t="s">
        <v>62</v>
      </c>
      <c r="B75" s="39" t="s">
        <v>63</v>
      </c>
      <c r="C75" s="49">
        <v>425.35199999999998</v>
      </c>
      <c r="D75" s="37">
        <v>125</v>
      </c>
      <c r="E75" s="38">
        <f t="shared" si="3"/>
        <v>29.387425003291394</v>
      </c>
      <c r="F75" s="38">
        <f t="shared" si="4"/>
        <v>-300.35199999999998</v>
      </c>
      <c r="G75" s="50"/>
    </row>
    <row r="76" spans="1:7" ht="18" customHeight="1">
      <c r="A76" s="35" t="s">
        <v>64</v>
      </c>
      <c r="B76" s="39" t="s">
        <v>65</v>
      </c>
      <c r="C76" s="49">
        <v>5051.3646900000003</v>
      </c>
      <c r="D76" s="37">
        <v>3745.38103</v>
      </c>
      <c r="E76" s="38">
        <f t="shared" si="3"/>
        <v>74.145924118577142</v>
      </c>
      <c r="F76" s="38">
        <f t="shared" si="4"/>
        <v>-1305.9836600000003</v>
      </c>
    </row>
    <row r="77" spans="1:7">
      <c r="A77" s="35" t="s">
        <v>66</v>
      </c>
      <c r="B77" s="39" t="s">
        <v>67</v>
      </c>
      <c r="C77" s="49">
        <v>250.941</v>
      </c>
      <c r="D77" s="37">
        <v>168.37058999999999</v>
      </c>
      <c r="E77" s="38">
        <f t="shared" si="3"/>
        <v>67.095687831004085</v>
      </c>
      <c r="F77" s="38">
        <f t="shared" si="4"/>
        <v>-82.57041000000001</v>
      </c>
    </row>
    <row r="78" spans="1:7" s="6" customFormat="1" ht="15.75" customHeight="1">
      <c r="A78" s="30" t="s">
        <v>68</v>
      </c>
      <c r="B78" s="31" t="s">
        <v>69</v>
      </c>
      <c r="C78" s="32">
        <f>SUM(C79:C81)</f>
        <v>513.27499999999998</v>
      </c>
      <c r="D78" s="32">
        <f>SUM(D79:D81)</f>
        <v>328.38184000000001</v>
      </c>
      <c r="E78" s="34">
        <f t="shared" si="3"/>
        <v>63.97775851151917</v>
      </c>
      <c r="F78" s="34">
        <f t="shared" si="4"/>
        <v>-184.89315999999997</v>
      </c>
    </row>
    <row r="79" spans="1:7" hidden="1">
      <c r="A79" s="35" t="s">
        <v>70</v>
      </c>
      <c r="B79" s="51" t="s">
        <v>71</v>
      </c>
      <c r="C79" s="37">
        <v>0</v>
      </c>
      <c r="D79" s="37">
        <v>0</v>
      </c>
      <c r="E79" s="38" t="e">
        <f t="shared" si="3"/>
        <v>#DIV/0!</v>
      </c>
      <c r="F79" s="38">
        <f t="shared" si="4"/>
        <v>0</v>
      </c>
    </row>
    <row r="80" spans="1:7" ht="18" hidden="1" customHeight="1">
      <c r="A80" s="35" t="s">
        <v>72</v>
      </c>
      <c r="B80" s="51" t="s">
        <v>73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>
      <c r="A81" s="35" t="s">
        <v>74</v>
      </c>
      <c r="B81" s="39" t="s">
        <v>75</v>
      </c>
      <c r="C81" s="37">
        <v>513.27499999999998</v>
      </c>
      <c r="D81" s="37">
        <v>328.38184000000001</v>
      </c>
      <c r="E81" s="38">
        <f>SUM(D81/C81*100)</f>
        <v>63.97775851151917</v>
      </c>
      <c r="F81" s="38">
        <f t="shared" si="4"/>
        <v>-184.89315999999997</v>
      </c>
    </row>
    <row r="82" spans="1:6" s="6" customFormat="1">
      <c r="A82" s="30" t="s">
        <v>86</v>
      </c>
      <c r="B82" s="31" t="s">
        <v>87</v>
      </c>
      <c r="C82" s="32">
        <f>C83</f>
        <v>3080.5250000000001</v>
      </c>
      <c r="D82" s="32">
        <f>D83</f>
        <v>2336.4465100000002</v>
      </c>
      <c r="E82" s="34">
        <f t="shared" si="3"/>
        <v>75.845724673554031</v>
      </c>
      <c r="F82" s="34">
        <f t="shared" si="4"/>
        <v>-744.07848999999987</v>
      </c>
    </row>
    <row r="83" spans="1:6" ht="18.75" customHeight="1">
      <c r="A83" s="35" t="s">
        <v>88</v>
      </c>
      <c r="B83" s="39" t="s">
        <v>234</v>
      </c>
      <c r="C83" s="37">
        <v>3080.5250000000001</v>
      </c>
      <c r="D83" s="37">
        <v>2336.4465100000002</v>
      </c>
      <c r="E83" s="38">
        <f t="shared" si="3"/>
        <v>75.845724673554031</v>
      </c>
      <c r="F83" s="38">
        <f t="shared" si="4"/>
        <v>-744.07848999999987</v>
      </c>
    </row>
    <row r="84" spans="1:6" s="6" customFormat="1" ht="0.75" hidden="1" customHeight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4" t="e">
        <f t="shared" si="3"/>
        <v>#DIV/0!</v>
      </c>
      <c r="F84" s="34">
        <f t="shared" si="4"/>
        <v>0</v>
      </c>
    </row>
    <row r="85" spans="1:6" ht="15" hidden="1" customHeight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5.7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.75" hidden="1" customHeight="1">
      <c r="A87" s="53">
        <v>1004</v>
      </c>
      <c r="B87" s="54" t="s">
        <v>92</v>
      </c>
      <c r="C87" s="37"/>
      <c r="D87" s="55"/>
      <c r="E87" s="38" t="e">
        <f t="shared" si="3"/>
        <v>#DIV/0!</v>
      </c>
      <c r="F87" s="38">
        <f t="shared" si="4"/>
        <v>0</v>
      </c>
    </row>
    <row r="88" spans="1:6" ht="5.25" hidden="1" customHeight="1">
      <c r="A88" s="35" t="s">
        <v>93</v>
      </c>
      <c r="B88" s="39" t="s">
        <v>94</v>
      </c>
      <c r="C88" s="37"/>
      <c r="D88" s="37"/>
      <c r="E88" s="38"/>
      <c r="F88" s="38">
        <f t="shared" si="4"/>
        <v>0</v>
      </c>
    </row>
    <row r="89" spans="1:6">
      <c r="A89" s="30" t="s">
        <v>95</v>
      </c>
      <c r="B89" s="31" t="s">
        <v>96</v>
      </c>
      <c r="C89" s="32">
        <f>C90+C91+C92+C93+C94</f>
        <v>55.5</v>
      </c>
      <c r="D89" s="32">
        <f>D90+D91+D92+D93+D94</f>
        <v>42.322000000000003</v>
      </c>
      <c r="E89" s="38">
        <f t="shared" si="3"/>
        <v>76.255855855855856</v>
      </c>
      <c r="F89" s="22">
        <f>F90+F91+F92+F93+F94</f>
        <v>-13.177999999999997</v>
      </c>
    </row>
    <row r="90" spans="1:6" ht="17.25" customHeight="1">
      <c r="A90" s="35" t="s">
        <v>97</v>
      </c>
      <c r="B90" s="39" t="s">
        <v>98</v>
      </c>
      <c r="C90" s="37">
        <v>55.5</v>
      </c>
      <c r="D90" s="37">
        <v>42.322000000000003</v>
      </c>
      <c r="E90" s="38">
        <f t="shared" si="3"/>
        <v>76.255855855855856</v>
      </c>
      <c r="F90" s="38">
        <f>SUM(D90-C90)</f>
        <v>-13.177999999999997</v>
      </c>
    </row>
    <row r="91" spans="1:6" ht="15.75" hidden="1" customHeight="1">
      <c r="A91" s="35" t="s">
        <v>99</v>
      </c>
      <c r="B91" s="39" t="s">
        <v>100</v>
      </c>
      <c r="C91" s="37"/>
      <c r="D91" s="136"/>
      <c r="E91" s="38" t="e">
        <f t="shared" si="3"/>
        <v>#DIV/0!</v>
      </c>
      <c r="F91" s="38">
        <f>SUM(D91-C91)</f>
        <v>0</v>
      </c>
    </row>
    <row r="92" spans="1:6" ht="15.75" hidden="1" customHeight="1">
      <c r="A92" s="35" t="s">
        <v>101</v>
      </c>
      <c r="B92" s="39" t="s">
        <v>102</v>
      </c>
      <c r="C92" s="37"/>
      <c r="D92" s="136"/>
      <c r="E92" s="38" t="e">
        <f t="shared" si="3"/>
        <v>#DIV/0!</v>
      </c>
      <c r="F92" s="38"/>
    </row>
    <row r="93" spans="1:6" ht="15.75" hidden="1" customHeight="1">
      <c r="A93" s="35" t="s">
        <v>103</v>
      </c>
      <c r="B93" s="39" t="s">
        <v>104</v>
      </c>
      <c r="C93" s="37"/>
      <c r="D93" s="136"/>
      <c r="E93" s="38" t="e">
        <f t="shared" si="3"/>
        <v>#DIV/0!</v>
      </c>
      <c r="F93" s="38"/>
    </row>
    <row r="94" spans="1:6" ht="15.75" hidden="1" customHeight="1">
      <c r="A94" s="35" t="s">
        <v>105</v>
      </c>
      <c r="B94" s="39" t="s">
        <v>106</v>
      </c>
      <c r="C94" s="37"/>
      <c r="D94" s="136"/>
      <c r="E94" s="38" t="e">
        <f t="shared" si="3"/>
        <v>#DIV/0!</v>
      </c>
      <c r="F94" s="38"/>
    </row>
    <row r="95" spans="1:6" s="6" customFormat="1" ht="15.75" hidden="1" customHeight="1">
      <c r="A95" s="52">
        <v>1400</v>
      </c>
      <c r="B95" s="56" t="s">
        <v>115</v>
      </c>
      <c r="C95" s="48">
        <f>C96+C97+C98</f>
        <v>0</v>
      </c>
      <c r="D95" s="224">
        <f>SUM(D96:D98)</f>
        <v>0</v>
      </c>
      <c r="E95" s="34" t="e">
        <f t="shared" si="3"/>
        <v>#DIV/0!</v>
      </c>
      <c r="F95" s="34">
        <f t="shared" si="4"/>
        <v>0</v>
      </c>
    </row>
    <row r="96" spans="1:6" hidden="1">
      <c r="A96" s="53">
        <v>1401</v>
      </c>
      <c r="B96" s="54" t="s">
        <v>116</v>
      </c>
      <c r="C96" s="49"/>
      <c r="D96" s="240"/>
      <c r="E96" s="38" t="e">
        <f t="shared" si="3"/>
        <v>#DIV/0!</v>
      </c>
      <c r="F96" s="38">
        <f t="shared" si="4"/>
        <v>0</v>
      </c>
    </row>
    <row r="97" spans="1:8" hidden="1">
      <c r="A97" s="53">
        <v>1402</v>
      </c>
      <c r="B97" s="54" t="s">
        <v>117</v>
      </c>
      <c r="C97" s="49"/>
      <c r="D97" s="37"/>
      <c r="E97" s="38" t="e">
        <f t="shared" si="3"/>
        <v>#DIV/0!</v>
      </c>
      <c r="F97" s="38">
        <f t="shared" si="4"/>
        <v>0</v>
      </c>
    </row>
    <row r="98" spans="1:8" ht="16.5" hidden="1" customHeight="1">
      <c r="A98" s="53">
        <v>1403</v>
      </c>
      <c r="B98" s="54" t="s">
        <v>118</v>
      </c>
      <c r="C98" s="49">
        <v>0</v>
      </c>
      <c r="D98" s="37">
        <v>0</v>
      </c>
      <c r="E98" s="38" t="e">
        <f t="shared" si="3"/>
        <v>#DIV/0!</v>
      </c>
      <c r="F98" s="38">
        <f t="shared" si="4"/>
        <v>0</v>
      </c>
    </row>
    <row r="99" spans="1:8" s="6" customFormat="1" ht="20.25" customHeight="1">
      <c r="A99" s="52"/>
      <c r="B99" s="57" t="s">
        <v>119</v>
      </c>
      <c r="C99" s="408">
        <f>C57+C65+C67+C73+C78+C82+C84+C89+C95</f>
        <v>10894.063819999999</v>
      </c>
      <c r="D99" s="408">
        <f>D57+D65+D67+D73+D78+D82+D84+D89+D95</f>
        <v>7826.2822500000002</v>
      </c>
      <c r="E99" s="34">
        <f t="shared" si="3"/>
        <v>71.839878848809619</v>
      </c>
      <c r="F99" s="34">
        <f t="shared" si="4"/>
        <v>-3067.7815699999992</v>
      </c>
      <c r="G99" s="293"/>
      <c r="H99" s="151"/>
    </row>
    <row r="100" spans="1:8" ht="13.5" customHeight="1">
      <c r="C100" s="117"/>
      <c r="D100" s="61"/>
    </row>
    <row r="101" spans="1:8" s="65" customFormat="1" ht="12.75">
      <c r="A101" s="63" t="s">
        <v>120</v>
      </c>
      <c r="B101" s="63"/>
      <c r="C101" s="134"/>
      <c r="D101" s="134"/>
    </row>
    <row r="102" spans="1:8" s="65" customFormat="1" ht="12.75">
      <c r="A102" s="66" t="s">
        <v>121</v>
      </c>
      <c r="B102" s="66"/>
      <c r="C102" s="119" t="s">
        <v>122</v>
      </c>
    </row>
    <row r="104" spans="1:8" ht="5.25" customHeight="1"/>
    <row r="143" hidden="1"/>
  </sheetData>
  <customSheetViews>
    <customSheetView guid="{8E17DC23-BE06-48DD-840B-6DD85B9E86D1}" scale="70" showPageBreaks="1" printArea="1" hiddenRows="1" view="pageBreakPreview" topLeftCell="A66">
      <selection activeCell="C99" activeCellId="2" sqref="C52:D53 C41:D41 C99:D99"/>
      <pageMargins left="0.70866141732283472" right="0.70866141732283472" top="0.74803149606299213" bottom="0.74803149606299213" header="0.31496062992125984" footer="0.31496062992125984"/>
      <pageSetup paperSize="9" scale="59" orientation="portrait" r:id="rId1"/>
    </customSheetView>
    <customSheetView guid="{5BFCA170-DEAE-4D2C-98A0-1E68B427AC01}" showPageBreaks="1" printArea="1" hiddenRows="1" topLeftCell="A51">
      <selection activeCell="B100" sqref="B100"/>
      <pageMargins left="0.7" right="0.7" top="0.75" bottom="0.75" header="0.3" footer="0.3"/>
      <pageSetup paperSize="9" scale="54" orientation="portrait" r:id="rId2"/>
    </customSheetView>
    <customSheetView guid="{3DCB9AAA-F09C-4EA6-B992-F93E466D374A}" hiddenRows="1" topLeftCell="A51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printArea="1" hiddenRows="1" view="pageBreakPreview" topLeftCell="A13">
      <selection activeCell="C52" sqref="C52:D52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printArea="1" hiddenRows="1" view="pageBreakPreview">
      <selection activeCell="G7" sqref="G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 topLeftCell="A31">
      <selection activeCell="D77" sqref="D77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printArea="1" hiddenRows="1" view="pageBreakPreview" topLeftCell="A66">
      <selection activeCell="C99" activeCellId="2" sqref="C52:D53 C41:D41 C99:D99"/>
      <pageMargins left="0.70866141732283472" right="0.70866141732283472" top="0.74803149606299213" bottom="0.74803149606299213" header="0.31496062992125984" footer="0.31496062992125984"/>
      <pageSetup paperSize="9" scale="59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59" orientation="portrait" r:id="rId8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99"/>
  <sheetViews>
    <sheetView tabSelected="1" view="pageBreakPreview" topLeftCell="A12" zoomScale="70" zoomScaleNormal="100" zoomScaleSheetLayoutView="70" workbookViewId="0">
      <selection activeCell="C48" activeCellId="1" sqref="C94:D94 C48:D49"/>
    </sheetView>
  </sheetViews>
  <sheetFormatPr defaultRowHeight="15.75"/>
  <cols>
    <col min="1" max="1" width="14.7109375" style="58" customWidth="1"/>
    <col min="2" max="2" width="58.85546875" style="59" customWidth="1"/>
    <col min="3" max="3" width="19.42578125" style="62" customWidth="1"/>
    <col min="4" max="4" width="17" style="62" customWidth="1"/>
    <col min="5" max="5" width="10.85546875" style="62" customWidth="1"/>
    <col min="6" max="6" width="13.7109375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 ht="19.5" customHeight="1">
      <c r="A1" s="459" t="s">
        <v>434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4.5" customHeight="1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 ht="17.25" customHeight="1">
      <c r="A4" s="3"/>
      <c r="B4" s="4" t="s">
        <v>5</v>
      </c>
      <c r="C4" s="5">
        <f>C5+C12+C14+C17+C7</f>
        <v>1770.1619999999998</v>
      </c>
      <c r="D4" s="5">
        <f>D5+D12+D14+D17+D7</f>
        <v>1143.3701599999999</v>
      </c>
      <c r="E4" s="5">
        <f>SUM(D4/C4*100)</f>
        <v>64.59127243721197</v>
      </c>
      <c r="F4" s="5">
        <f>SUM(D4-C4)</f>
        <v>-626.79183999999987</v>
      </c>
    </row>
    <row r="5" spans="1:6" s="6" customFormat="1">
      <c r="A5" s="3">
        <v>1010000000</v>
      </c>
      <c r="B5" s="4" t="s">
        <v>6</v>
      </c>
      <c r="C5" s="5">
        <f>C6</f>
        <v>101.6</v>
      </c>
      <c r="D5" s="5">
        <f>D6</f>
        <v>81.015739999999994</v>
      </c>
      <c r="E5" s="5">
        <f t="shared" ref="E5:E48" si="0">SUM(D5/C5*100)</f>
        <v>79.739901574803156</v>
      </c>
      <c r="F5" s="5">
        <f t="shared" ref="F5:F48" si="1">SUM(D5-C5)</f>
        <v>-20.58426</v>
      </c>
    </row>
    <row r="6" spans="1:6">
      <c r="A6" s="7">
        <v>1010200001</v>
      </c>
      <c r="B6" s="8" t="s">
        <v>229</v>
      </c>
      <c r="C6" s="9">
        <v>101.6</v>
      </c>
      <c r="D6" s="10">
        <v>81.015739999999994</v>
      </c>
      <c r="E6" s="9">
        <f t="shared" ref="E6:E11" si="2">SUM(D6/C6*100)</f>
        <v>79.739901574803156</v>
      </c>
      <c r="F6" s="9">
        <f t="shared" si="1"/>
        <v>-20.58426</v>
      </c>
    </row>
    <row r="7" spans="1:6" ht="31.5">
      <c r="A7" s="3">
        <v>1030000000</v>
      </c>
      <c r="B7" s="13" t="s">
        <v>281</v>
      </c>
      <c r="C7" s="5">
        <f>C8+C10+C9</f>
        <v>420.56</v>
      </c>
      <c r="D7" s="5">
        <f>D8+D10+D9+D11</f>
        <v>367.55306999999999</v>
      </c>
      <c r="E7" s="5">
        <f t="shared" si="2"/>
        <v>87.396107570857907</v>
      </c>
      <c r="F7" s="5">
        <f t="shared" si="1"/>
        <v>-53.006930000000011</v>
      </c>
    </row>
    <row r="8" spans="1:6">
      <c r="A8" s="7">
        <v>1030223001</v>
      </c>
      <c r="B8" s="8" t="s">
        <v>283</v>
      </c>
      <c r="C8" s="9">
        <v>156.87</v>
      </c>
      <c r="D8" s="10">
        <v>162.11981</v>
      </c>
      <c r="E8" s="9">
        <f t="shared" si="2"/>
        <v>103.34659909479187</v>
      </c>
      <c r="F8" s="9">
        <f t="shared" si="1"/>
        <v>5.2498099999999965</v>
      </c>
    </row>
    <row r="9" spans="1:6">
      <c r="A9" s="7">
        <v>1030224001</v>
      </c>
      <c r="B9" s="8" t="s">
        <v>289</v>
      </c>
      <c r="C9" s="9">
        <v>1.68</v>
      </c>
      <c r="D9" s="10">
        <v>1.50421</v>
      </c>
      <c r="E9" s="9">
        <f t="shared" si="2"/>
        <v>89.536309523809535</v>
      </c>
      <c r="F9" s="9">
        <f t="shared" si="1"/>
        <v>-0.17578999999999989</v>
      </c>
    </row>
    <row r="10" spans="1:6">
      <c r="A10" s="7">
        <v>1030225001</v>
      </c>
      <c r="B10" s="8" t="s">
        <v>282</v>
      </c>
      <c r="C10" s="9">
        <v>262.01</v>
      </c>
      <c r="D10" s="10">
        <v>240.54893000000001</v>
      </c>
      <c r="E10" s="9">
        <f t="shared" si="2"/>
        <v>91.809064539521401</v>
      </c>
      <c r="F10" s="9">
        <f t="shared" si="1"/>
        <v>-21.461069999999978</v>
      </c>
    </row>
    <row r="11" spans="1:6">
      <c r="A11" s="7">
        <v>1030226001</v>
      </c>
      <c r="B11" s="8" t="s">
        <v>291</v>
      </c>
      <c r="C11" s="9">
        <v>0</v>
      </c>
      <c r="D11" s="10">
        <v>-36.619880000000002</v>
      </c>
      <c r="E11" s="9" t="e">
        <f t="shared" si="2"/>
        <v>#DIV/0!</v>
      </c>
      <c r="F11" s="9">
        <f t="shared" si="1"/>
        <v>-36.619880000000002</v>
      </c>
    </row>
    <row r="12" spans="1:6" s="6" customFormat="1">
      <c r="A12" s="3">
        <v>1050000000</v>
      </c>
      <c r="B12" s="4" t="s">
        <v>7</v>
      </c>
      <c r="C12" s="5">
        <f>SUM(C13:C13)</f>
        <v>5</v>
      </c>
      <c r="D12" s="5">
        <f>SUM(D13:D13)</f>
        <v>0.1038</v>
      </c>
      <c r="E12" s="5">
        <f t="shared" si="0"/>
        <v>2.0760000000000001</v>
      </c>
      <c r="F12" s="5">
        <f t="shared" si="1"/>
        <v>-4.8962000000000003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0.1038</v>
      </c>
      <c r="E13" s="9">
        <f t="shared" si="0"/>
        <v>2.0760000000000001</v>
      </c>
      <c r="F13" s="9">
        <f t="shared" si="1"/>
        <v>-4.8962000000000003</v>
      </c>
    </row>
    <row r="14" spans="1:6" s="6" customFormat="1" ht="15.75" customHeight="1">
      <c r="A14" s="3">
        <v>1060000000</v>
      </c>
      <c r="B14" s="4" t="s">
        <v>136</v>
      </c>
      <c r="C14" s="5">
        <f>C15+C16</f>
        <v>1235</v>
      </c>
      <c r="D14" s="5">
        <f>D15+D16</f>
        <v>691.06655000000001</v>
      </c>
      <c r="E14" s="5">
        <f t="shared" si="0"/>
        <v>55.956805668016194</v>
      </c>
      <c r="F14" s="5">
        <f t="shared" si="1"/>
        <v>-543.93344999999999</v>
      </c>
    </row>
    <row r="15" spans="1:6" s="6" customFormat="1" ht="15.75" customHeight="1">
      <c r="A15" s="7">
        <v>1060100000</v>
      </c>
      <c r="B15" s="11" t="s">
        <v>9</v>
      </c>
      <c r="C15" s="9">
        <v>235</v>
      </c>
      <c r="D15" s="10">
        <v>52.647179999999999</v>
      </c>
      <c r="E15" s="9">
        <f t="shared" si="0"/>
        <v>22.403055319148933</v>
      </c>
      <c r="F15" s="9">
        <f>SUM(D15-C15)</f>
        <v>-182.35282000000001</v>
      </c>
    </row>
    <row r="16" spans="1:6" ht="15.75" customHeight="1">
      <c r="A16" s="7">
        <v>1060600000</v>
      </c>
      <c r="B16" s="11" t="s">
        <v>8</v>
      </c>
      <c r="C16" s="9">
        <v>1000</v>
      </c>
      <c r="D16" s="10">
        <v>638.41936999999996</v>
      </c>
      <c r="E16" s="9">
        <f t="shared" si="0"/>
        <v>63.841936999999994</v>
      </c>
      <c r="F16" s="9">
        <f t="shared" si="1"/>
        <v>-361.58063000000004</v>
      </c>
    </row>
    <row r="17" spans="1:6" s="6" customFormat="1">
      <c r="A17" s="3">
        <v>1080000000</v>
      </c>
      <c r="B17" s="4" t="s">
        <v>11</v>
      </c>
      <c r="C17" s="5">
        <f>C18</f>
        <v>8.0020000000000007</v>
      </c>
      <c r="D17" s="5">
        <f>D18</f>
        <v>3.6309999999999998</v>
      </c>
      <c r="E17" s="5">
        <f t="shared" si="0"/>
        <v>45.376155961009736</v>
      </c>
      <c r="F17" s="5">
        <f t="shared" si="1"/>
        <v>-4.3710000000000004</v>
      </c>
    </row>
    <row r="18" spans="1:6">
      <c r="A18" s="7">
        <v>1080400001</v>
      </c>
      <c r="B18" s="8" t="s">
        <v>228</v>
      </c>
      <c r="C18" s="9">
        <v>8.0020000000000007</v>
      </c>
      <c r="D18" s="10">
        <v>3.6309999999999998</v>
      </c>
      <c r="E18" s="9">
        <f t="shared" si="0"/>
        <v>45.376155961009736</v>
      </c>
      <c r="F18" s="9">
        <f t="shared" si="1"/>
        <v>-4.3710000000000004</v>
      </c>
    </row>
    <row r="19" spans="1:6" ht="47.2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31.5" hidden="1">
      <c r="A20" s="3">
        <v>1090000000</v>
      </c>
      <c r="B20" s="13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233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C26+C29+C31+C34</f>
        <v>100</v>
      </c>
      <c r="D25" s="5">
        <f>D26+D29+D31+D34</f>
        <v>105.14712</v>
      </c>
      <c r="E25" s="5">
        <f t="shared" si="0"/>
        <v>105.14712</v>
      </c>
      <c r="F25" s="5">
        <f t="shared" si="1"/>
        <v>5.147120000000001</v>
      </c>
    </row>
    <row r="26" spans="1:6" s="6" customFormat="1" ht="32.25" customHeight="1">
      <c r="A26" s="3">
        <v>1110000000</v>
      </c>
      <c r="B26" s="13" t="s">
        <v>129</v>
      </c>
      <c r="C26" s="5">
        <f>C27+C28</f>
        <v>100</v>
      </c>
      <c r="D26" s="5">
        <f>D27+D28+D30</f>
        <v>105.14712</v>
      </c>
      <c r="E26" s="5">
        <f t="shared" si="0"/>
        <v>105.14712</v>
      </c>
      <c r="F26" s="5">
        <f t="shared" si="1"/>
        <v>5.147120000000001</v>
      </c>
    </row>
    <row r="27" spans="1:6" ht="15" customHeight="1">
      <c r="A27" s="16">
        <v>1110502510</v>
      </c>
      <c r="B27" s="17" t="s">
        <v>226</v>
      </c>
      <c r="C27" s="12">
        <v>100</v>
      </c>
      <c r="D27" s="10">
        <v>105.14712</v>
      </c>
      <c r="E27" s="5">
        <f t="shared" si="0"/>
        <v>105.14712</v>
      </c>
      <c r="F27" s="9">
        <f t="shared" si="1"/>
        <v>5.147120000000001</v>
      </c>
    </row>
    <row r="28" spans="1:6" ht="19.5" hidden="1" customHeight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41.25" hidden="1" customHeight="1">
      <c r="A29" s="3">
        <v>1130000000</v>
      </c>
      <c r="B29" s="13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24" hidden="1" customHeight="1">
      <c r="A30" s="7">
        <v>1130305005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0.75" hidden="1" customHeight="1">
      <c r="A31" s="109">
        <v>1140000000</v>
      </c>
      <c r="B31" s="110" t="s">
        <v>132</v>
      </c>
      <c r="C31" s="5">
        <f>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18.75" hidden="1" customHeight="1">
      <c r="A32" s="16">
        <v>1140200000</v>
      </c>
      <c r="B32" s="18" t="s">
        <v>222</v>
      </c>
      <c r="C32" s="9"/>
      <c r="D32" s="10">
        <v>0</v>
      </c>
      <c r="E32" s="9" t="e">
        <f t="shared" si="0"/>
        <v>#DIV/0!</v>
      </c>
      <c r="F32" s="9">
        <f t="shared" si="1"/>
        <v>0</v>
      </c>
    </row>
    <row r="33" spans="1:8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8" hidden="1">
      <c r="A34" s="3">
        <v>1170000000</v>
      </c>
      <c r="B34" s="13" t="s">
        <v>135</v>
      </c>
      <c r="C34" s="5">
        <f>C35+C36</f>
        <v>0</v>
      </c>
      <c r="D34" s="5">
        <f>D35+D36</f>
        <v>0</v>
      </c>
      <c r="E34" s="5" t="e">
        <f t="shared" si="0"/>
        <v>#DIV/0!</v>
      </c>
      <c r="F34" s="5">
        <f t="shared" si="1"/>
        <v>0</v>
      </c>
    </row>
    <row r="35" spans="1:8" hidden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8" hidden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8" s="6" customFormat="1" ht="15" customHeight="1">
      <c r="A37" s="3">
        <v>1000000000</v>
      </c>
      <c r="B37" s="4" t="s">
        <v>19</v>
      </c>
      <c r="C37" s="127">
        <f>SUM(C4,C25)</f>
        <v>1870.1619999999998</v>
      </c>
      <c r="D37" s="127">
        <f>D4+D25</f>
        <v>1248.51728</v>
      </c>
      <c r="E37" s="5">
        <f t="shared" si="0"/>
        <v>66.759846473193235</v>
      </c>
      <c r="F37" s="5">
        <f t="shared" si="1"/>
        <v>-621.64471999999978</v>
      </c>
    </row>
    <row r="38" spans="1:8" s="6" customFormat="1">
      <c r="A38" s="3">
        <v>2000000000</v>
      </c>
      <c r="B38" s="4" t="s">
        <v>20</v>
      </c>
      <c r="C38" s="5">
        <f>C39+C41+C42+C44+C45+C46+C40</f>
        <v>7391.1859999999988</v>
      </c>
      <c r="D38" s="5">
        <f>D39+D41+D42+D44+D45+D46+D40</f>
        <v>6243.1542299999992</v>
      </c>
      <c r="E38" s="5">
        <f t="shared" si="0"/>
        <v>84.467556762879468</v>
      </c>
      <c r="F38" s="5">
        <f t="shared" si="1"/>
        <v>-1148.0317699999996</v>
      </c>
      <c r="G38" s="19"/>
    </row>
    <row r="39" spans="1:8">
      <c r="A39" s="16">
        <v>2021000000</v>
      </c>
      <c r="B39" s="17" t="s">
        <v>21</v>
      </c>
      <c r="C39" s="12">
        <f>940.2+34.871</f>
        <v>975.07100000000003</v>
      </c>
      <c r="D39" s="20">
        <v>860.26199999999994</v>
      </c>
      <c r="E39" s="9">
        <f t="shared" si="0"/>
        <v>88.225575368357781</v>
      </c>
      <c r="F39" s="9">
        <f t="shared" si="1"/>
        <v>-114.80900000000008</v>
      </c>
    </row>
    <row r="40" spans="1:8" ht="15.75" customHeight="1">
      <c r="A40" s="16">
        <v>2021500200</v>
      </c>
      <c r="B40" s="17" t="s">
        <v>232</v>
      </c>
      <c r="C40" s="12">
        <v>584</v>
      </c>
      <c r="D40" s="20">
        <v>584</v>
      </c>
      <c r="E40" s="9">
        <f t="shared" si="0"/>
        <v>100</v>
      </c>
      <c r="F40" s="9">
        <f t="shared" si="1"/>
        <v>0</v>
      </c>
    </row>
    <row r="41" spans="1:8">
      <c r="A41" s="16">
        <v>2022000000</v>
      </c>
      <c r="B41" s="17" t="s">
        <v>22</v>
      </c>
      <c r="C41" s="12">
        <v>5457.0300900000002</v>
      </c>
      <c r="D41" s="10">
        <v>4478.3000300000003</v>
      </c>
      <c r="E41" s="9">
        <f t="shared" si="0"/>
        <v>82.064785352869478</v>
      </c>
      <c r="F41" s="9">
        <f t="shared" si="1"/>
        <v>-978.73005999999987</v>
      </c>
    </row>
    <row r="42" spans="1:8" ht="13.5" customHeight="1">
      <c r="A42" s="16">
        <v>2023000000</v>
      </c>
      <c r="B42" s="17" t="s">
        <v>23</v>
      </c>
      <c r="C42" s="12">
        <v>74.096000000000004</v>
      </c>
      <c r="D42" s="251">
        <v>72.670199999999994</v>
      </c>
      <c r="E42" s="9">
        <f t="shared" si="0"/>
        <v>98.075739581083994</v>
      </c>
      <c r="F42" s="9">
        <f t="shared" si="1"/>
        <v>-1.4258000000000095</v>
      </c>
    </row>
    <row r="43" spans="1:8" hidden="1">
      <c r="A43" s="16">
        <v>2070503010</v>
      </c>
      <c r="B43" s="17" t="s">
        <v>271</v>
      </c>
      <c r="C43" s="12">
        <v>0</v>
      </c>
      <c r="D43" s="251">
        <v>0</v>
      </c>
      <c r="E43" s="9" t="e">
        <f t="shared" si="0"/>
        <v>#DIV/0!</v>
      </c>
      <c r="F43" s="9">
        <f t="shared" si="1"/>
        <v>0</v>
      </c>
    </row>
    <row r="44" spans="1:8">
      <c r="A44" s="16">
        <v>2020400000</v>
      </c>
      <c r="B44" s="17" t="s">
        <v>24</v>
      </c>
      <c r="C44" s="12">
        <v>46.06691</v>
      </c>
      <c r="D44" s="252">
        <v>0</v>
      </c>
      <c r="E44" s="9">
        <f t="shared" si="0"/>
        <v>0</v>
      </c>
      <c r="F44" s="9">
        <f t="shared" si="1"/>
        <v>-46.06691</v>
      </c>
    </row>
    <row r="45" spans="1:8" ht="19.5" customHeight="1">
      <c r="A45" s="16">
        <v>2070000000</v>
      </c>
      <c r="B45" s="18" t="s">
        <v>298</v>
      </c>
      <c r="C45" s="12">
        <v>254.922</v>
      </c>
      <c r="D45" s="252">
        <v>247.922</v>
      </c>
      <c r="E45" s="9">
        <v>922</v>
      </c>
      <c r="F45" s="9">
        <f t="shared" si="1"/>
        <v>-7</v>
      </c>
      <c r="G45" s="356"/>
      <c r="H45" s="356"/>
    </row>
    <row r="46" spans="1:8" hidden="1">
      <c r="A46" s="7">
        <v>2190500005</v>
      </c>
      <c r="B46" s="11" t="s">
        <v>26</v>
      </c>
      <c r="C46" s="14"/>
      <c r="D46" s="14"/>
      <c r="E46" s="5"/>
      <c r="F46" s="5">
        <f>SUM(D46-C46)</f>
        <v>0</v>
      </c>
    </row>
    <row r="47" spans="1:8" s="6" customFormat="1" ht="31.5">
      <c r="A47" s="3">
        <v>3000000000</v>
      </c>
      <c r="B47" s="13" t="s">
        <v>27</v>
      </c>
      <c r="C47" s="277">
        <v>0</v>
      </c>
      <c r="D47" s="14">
        <v>0</v>
      </c>
      <c r="E47" s="5" t="e">
        <f t="shared" si="0"/>
        <v>#DIV/0!</v>
      </c>
      <c r="F47" s="5">
        <f t="shared" si="1"/>
        <v>0</v>
      </c>
    </row>
    <row r="48" spans="1:8" s="6" customFormat="1" ht="15" customHeight="1">
      <c r="A48" s="3"/>
      <c r="B48" s="4" t="s">
        <v>28</v>
      </c>
      <c r="C48" s="414">
        <f>SUM(C37,C38,C47)</f>
        <v>9261.3479999999981</v>
      </c>
      <c r="D48" s="413">
        <f>D37+D38</f>
        <v>7491.6715099999992</v>
      </c>
      <c r="E48" s="5">
        <f t="shared" si="0"/>
        <v>80.891804411193718</v>
      </c>
      <c r="F48" s="5">
        <f t="shared" si="1"/>
        <v>-1769.6764899999989</v>
      </c>
      <c r="G48" s="293"/>
    </row>
    <row r="49" spans="1:6" s="6" customFormat="1">
      <c r="A49" s="3"/>
      <c r="B49" s="21" t="s">
        <v>321</v>
      </c>
      <c r="C49" s="93">
        <f>C48-C94</f>
        <v>-53.65987000000132</v>
      </c>
      <c r="D49" s="93">
        <f>D48-D94</f>
        <v>4163.0090599999994</v>
      </c>
      <c r="E49" s="22"/>
      <c r="F49" s="22"/>
    </row>
    <row r="50" spans="1:6" ht="23.25" customHeight="1">
      <c r="A50" s="23"/>
      <c r="B50" s="24"/>
      <c r="C50" s="326"/>
      <c r="D50" s="326"/>
      <c r="E50" s="26"/>
      <c r="F50" s="27"/>
    </row>
    <row r="51" spans="1:6" ht="63">
      <c r="A51" s="28" t="s">
        <v>1</v>
      </c>
      <c r="B51" s="28" t="s">
        <v>29</v>
      </c>
      <c r="C51" s="72" t="s">
        <v>346</v>
      </c>
      <c r="D51" s="73" t="s">
        <v>412</v>
      </c>
      <c r="E51" s="72" t="s">
        <v>3</v>
      </c>
      <c r="F51" s="74" t="s">
        <v>4</v>
      </c>
    </row>
    <row r="52" spans="1:6" ht="18" customHeight="1">
      <c r="A52" s="29">
        <v>1</v>
      </c>
      <c r="B52" s="28">
        <v>2</v>
      </c>
      <c r="C52" s="87">
        <v>3</v>
      </c>
      <c r="D52" s="87">
        <v>4</v>
      </c>
      <c r="E52" s="87">
        <v>5</v>
      </c>
      <c r="F52" s="87">
        <v>6</v>
      </c>
    </row>
    <row r="53" spans="1:6" s="6" customFormat="1">
      <c r="A53" s="30" t="s">
        <v>30</v>
      </c>
      <c r="B53" s="31" t="s">
        <v>31</v>
      </c>
      <c r="C53" s="32">
        <f>C54+C55+C56+C57+C58+C60+C59</f>
        <v>1308.865</v>
      </c>
      <c r="D53" s="32">
        <f>D54+D55+D56+D57+D58+D60+D59</f>
        <v>1030.0139299999998</v>
      </c>
      <c r="E53" s="34">
        <f>SUM(D53/C53*100)</f>
        <v>78.695200039729059</v>
      </c>
      <c r="F53" s="34">
        <f>SUM(D53-C53)</f>
        <v>-278.85107000000016</v>
      </c>
    </row>
    <row r="54" spans="1:6" s="6" customFormat="1" ht="31.5" hidden="1">
      <c r="A54" s="35" t="s">
        <v>32</v>
      </c>
      <c r="B54" s="36" t="s">
        <v>33</v>
      </c>
      <c r="C54" s="37"/>
      <c r="D54" s="37"/>
      <c r="E54" s="38"/>
      <c r="F54" s="38"/>
    </row>
    <row r="55" spans="1:6" ht="20.25" customHeight="1">
      <c r="A55" s="35" t="s">
        <v>34</v>
      </c>
      <c r="B55" s="39" t="s">
        <v>35</v>
      </c>
      <c r="C55" s="37">
        <v>1295.6110000000001</v>
      </c>
      <c r="D55" s="37">
        <v>1026.7999299999999</v>
      </c>
      <c r="E55" s="38">
        <f t="shared" ref="E55:E94" si="3">SUM(D55/C55*100)</f>
        <v>79.252177544031326</v>
      </c>
      <c r="F55" s="38">
        <f t="shared" ref="F55:F94" si="4">SUM(D55-C55)</f>
        <v>-268.8110700000002</v>
      </c>
    </row>
    <row r="56" spans="1:6" ht="16.5" hidden="1" customHeight="1">
      <c r="A56" s="35" t="s">
        <v>36</v>
      </c>
      <c r="B56" s="39" t="s">
        <v>37</v>
      </c>
      <c r="C56" s="37"/>
      <c r="D56" s="37"/>
      <c r="E56" s="38"/>
      <c r="F56" s="38">
        <f t="shared" si="4"/>
        <v>0</v>
      </c>
    </row>
    <row r="57" spans="1:6" ht="31.5" hidden="1" customHeight="1">
      <c r="A57" s="35" t="s">
        <v>38</v>
      </c>
      <c r="B57" s="39" t="s">
        <v>39</v>
      </c>
      <c r="C57" s="37"/>
      <c r="D57" s="37"/>
      <c r="E57" s="38" t="e">
        <f t="shared" si="3"/>
        <v>#DIV/0!</v>
      </c>
      <c r="F57" s="38">
        <f t="shared" si="4"/>
        <v>0</v>
      </c>
    </row>
    <row r="58" spans="1:6" ht="0.75" hidden="1" customHeight="1">
      <c r="A58" s="35" t="s">
        <v>40</v>
      </c>
      <c r="B58" s="39" t="s">
        <v>41</v>
      </c>
      <c r="C58" s="37">
        <v>0</v>
      </c>
      <c r="D58" s="37">
        <v>0</v>
      </c>
      <c r="E58" s="38" t="e">
        <f t="shared" si="3"/>
        <v>#DIV/0!</v>
      </c>
      <c r="F58" s="38">
        <f t="shared" si="4"/>
        <v>0</v>
      </c>
    </row>
    <row r="59" spans="1:6" ht="18" customHeight="1">
      <c r="A59" s="35" t="s">
        <v>42</v>
      </c>
      <c r="B59" s="39" t="s">
        <v>43</v>
      </c>
      <c r="C59" s="40">
        <v>5</v>
      </c>
      <c r="D59" s="40">
        <v>0</v>
      </c>
      <c r="E59" s="38">
        <f t="shared" si="3"/>
        <v>0</v>
      </c>
      <c r="F59" s="38">
        <f t="shared" si="4"/>
        <v>-5</v>
      </c>
    </row>
    <row r="60" spans="1:6" ht="15.75" customHeight="1">
      <c r="A60" s="35" t="s">
        <v>44</v>
      </c>
      <c r="B60" s="39" t="s">
        <v>45</v>
      </c>
      <c r="C60" s="37">
        <v>8.2539999999999996</v>
      </c>
      <c r="D60" s="37">
        <v>3.214</v>
      </c>
      <c r="E60" s="38">
        <f t="shared" si="3"/>
        <v>38.938696389629271</v>
      </c>
      <c r="F60" s="38">
        <f t="shared" si="4"/>
        <v>-5.0399999999999991</v>
      </c>
    </row>
    <row r="61" spans="1:6" s="6" customFormat="1">
      <c r="A61" s="41" t="s">
        <v>46</v>
      </c>
      <c r="B61" s="42" t="s">
        <v>47</v>
      </c>
      <c r="C61" s="32">
        <f>C62</f>
        <v>70.596000000000004</v>
      </c>
      <c r="D61" s="32">
        <f>D62</f>
        <v>62.032769999999999</v>
      </c>
      <c r="E61" s="34">
        <f t="shared" si="3"/>
        <v>87.8700917899031</v>
      </c>
      <c r="F61" s="34">
        <f t="shared" si="4"/>
        <v>-8.5632300000000043</v>
      </c>
    </row>
    <row r="62" spans="1:6">
      <c r="A62" s="43" t="s">
        <v>48</v>
      </c>
      <c r="B62" s="44" t="s">
        <v>49</v>
      </c>
      <c r="C62" s="37">
        <v>70.596000000000004</v>
      </c>
      <c r="D62" s="37">
        <v>62.032769999999999</v>
      </c>
      <c r="E62" s="38">
        <f t="shared" si="3"/>
        <v>87.8700917899031</v>
      </c>
      <c r="F62" s="38">
        <f t="shared" si="4"/>
        <v>-8.5632300000000043</v>
      </c>
    </row>
    <row r="63" spans="1:6" s="6" customFormat="1" ht="16.5" customHeight="1">
      <c r="A63" s="30" t="s">
        <v>50</v>
      </c>
      <c r="B63" s="31" t="s">
        <v>51</v>
      </c>
      <c r="C63" s="32">
        <f>C67+C66</f>
        <v>30.7</v>
      </c>
      <c r="D63" s="32">
        <f>D67+D66</f>
        <v>14.436</v>
      </c>
      <c r="E63" s="34">
        <f t="shared" si="3"/>
        <v>47.022801302931597</v>
      </c>
      <c r="F63" s="34">
        <f t="shared" si="4"/>
        <v>-16.263999999999999</v>
      </c>
    </row>
    <row r="64" spans="1:6" hidden="1">
      <c r="A64" s="35" t="s">
        <v>52</v>
      </c>
      <c r="B64" s="39" t="s">
        <v>53</v>
      </c>
      <c r="C64" s="37"/>
      <c r="D64" s="37"/>
      <c r="E64" s="34" t="e">
        <f t="shared" si="3"/>
        <v>#DIV/0!</v>
      </c>
      <c r="F64" s="34">
        <f t="shared" si="4"/>
        <v>0</v>
      </c>
    </row>
    <row r="65" spans="1:7" hidden="1">
      <c r="A65" s="45" t="s">
        <v>54</v>
      </c>
      <c r="B65" s="39" t="s">
        <v>55</v>
      </c>
      <c r="C65" s="37"/>
      <c r="D65" s="37"/>
      <c r="E65" s="34" t="e">
        <f t="shared" si="3"/>
        <v>#DIV/0!</v>
      </c>
      <c r="F65" s="34">
        <f t="shared" si="4"/>
        <v>0</v>
      </c>
    </row>
    <row r="66" spans="1:7" ht="18" customHeight="1">
      <c r="A66" s="46" t="s">
        <v>56</v>
      </c>
      <c r="B66" s="47" t="s">
        <v>57</v>
      </c>
      <c r="C66" s="96">
        <v>15</v>
      </c>
      <c r="D66" s="37">
        <v>0</v>
      </c>
      <c r="E66" s="34">
        <f t="shared" si="3"/>
        <v>0</v>
      </c>
      <c r="F66" s="34">
        <f t="shared" si="4"/>
        <v>-15</v>
      </c>
    </row>
    <row r="67" spans="1:7" ht="15.75" customHeight="1">
      <c r="A67" s="46" t="s">
        <v>219</v>
      </c>
      <c r="B67" s="47" t="s">
        <v>220</v>
      </c>
      <c r="C67" s="37">
        <v>15.7</v>
      </c>
      <c r="D67" s="37">
        <v>14.436</v>
      </c>
      <c r="E67" s="34">
        <f t="shared" si="3"/>
        <v>91.949044585987266</v>
      </c>
      <c r="F67" s="34">
        <f t="shared" si="4"/>
        <v>-1.2639999999999993</v>
      </c>
    </row>
    <row r="68" spans="1:7" s="6" customFormat="1">
      <c r="A68" s="30" t="s">
        <v>58</v>
      </c>
      <c r="B68" s="31" t="s">
        <v>59</v>
      </c>
      <c r="C68" s="48">
        <f>SUM(C69:C72)</f>
        <v>2092.9008699999999</v>
      </c>
      <c r="D68" s="48">
        <f>SUM(D69:D72)</f>
        <v>1381.2946299999999</v>
      </c>
      <c r="E68" s="34">
        <f t="shared" si="3"/>
        <v>65.999047054722666</v>
      </c>
      <c r="F68" s="34">
        <f t="shared" si="4"/>
        <v>-711.60624000000007</v>
      </c>
    </row>
    <row r="69" spans="1:7" ht="15" customHeight="1">
      <c r="A69" s="35" t="s">
        <v>60</v>
      </c>
      <c r="B69" s="39" t="s">
        <v>61</v>
      </c>
      <c r="C69" s="49">
        <v>11.25</v>
      </c>
      <c r="D69" s="37">
        <v>7.5</v>
      </c>
      <c r="E69" s="38">
        <f t="shared" si="3"/>
        <v>66.666666666666657</v>
      </c>
      <c r="F69" s="38">
        <f t="shared" si="4"/>
        <v>-3.75</v>
      </c>
    </row>
    <row r="70" spans="1:7" s="6" customFormat="1" ht="18" customHeight="1">
      <c r="A70" s="35" t="s">
        <v>62</v>
      </c>
      <c r="B70" s="39" t="s">
        <v>63</v>
      </c>
      <c r="C70" s="49">
        <v>75.102000000000004</v>
      </c>
      <c r="D70" s="37">
        <v>75.101420000000005</v>
      </c>
      <c r="E70" s="38">
        <f t="shared" si="3"/>
        <v>99.999227716971589</v>
      </c>
      <c r="F70" s="38">
        <f t="shared" si="4"/>
        <v>-5.7999999999935881E-4</v>
      </c>
      <c r="G70" s="50"/>
    </row>
    <row r="71" spans="1:7">
      <c r="A71" s="35" t="s">
        <v>64</v>
      </c>
      <c r="B71" s="39" t="s">
        <v>65</v>
      </c>
      <c r="C71" s="49">
        <v>1972.7388699999999</v>
      </c>
      <c r="D71" s="37">
        <v>1264.88321</v>
      </c>
      <c r="E71" s="38">
        <f t="shared" si="3"/>
        <v>64.118126794956893</v>
      </c>
      <c r="F71" s="38">
        <f t="shared" si="4"/>
        <v>-707.85565999999994</v>
      </c>
    </row>
    <row r="72" spans="1:7">
      <c r="A72" s="35" t="s">
        <v>66</v>
      </c>
      <c r="B72" s="39" t="s">
        <v>67</v>
      </c>
      <c r="C72" s="49">
        <v>33.81</v>
      </c>
      <c r="D72" s="37">
        <v>33.81</v>
      </c>
      <c r="E72" s="38">
        <f t="shared" si="3"/>
        <v>100</v>
      </c>
      <c r="F72" s="38">
        <f t="shared" si="4"/>
        <v>0</v>
      </c>
    </row>
    <row r="73" spans="1:7" s="6" customFormat="1" ht="16.5" customHeight="1">
      <c r="A73" s="30" t="s">
        <v>68</v>
      </c>
      <c r="B73" s="31" t="s">
        <v>69</v>
      </c>
      <c r="C73" s="32">
        <f>SUM(C74:C76)</f>
        <v>462.44600000000003</v>
      </c>
      <c r="D73" s="32">
        <f>SUM(D75:D76)</f>
        <v>316.79912000000002</v>
      </c>
      <c r="E73" s="34">
        <f t="shared" si="3"/>
        <v>68.505105460961929</v>
      </c>
      <c r="F73" s="34">
        <f t="shared" si="4"/>
        <v>-145.64688000000001</v>
      </c>
    </row>
    <row r="74" spans="1:7" hidden="1">
      <c r="A74" s="35" t="s">
        <v>70</v>
      </c>
      <c r="B74" s="51" t="s">
        <v>71</v>
      </c>
      <c r="C74" s="37">
        <v>0</v>
      </c>
      <c r="D74" s="37">
        <v>0</v>
      </c>
      <c r="E74" s="38" t="e">
        <f t="shared" si="3"/>
        <v>#DIV/0!</v>
      </c>
      <c r="F74" s="38">
        <f t="shared" si="4"/>
        <v>0</v>
      </c>
    </row>
    <row r="75" spans="1:7" ht="17.25" customHeight="1">
      <c r="A75" s="35" t="s">
        <v>72</v>
      </c>
      <c r="B75" s="51" t="s">
        <v>73</v>
      </c>
      <c r="C75" s="37">
        <v>198</v>
      </c>
      <c r="D75" s="37">
        <v>198</v>
      </c>
      <c r="E75" s="38">
        <f t="shared" si="3"/>
        <v>100</v>
      </c>
      <c r="F75" s="38">
        <f t="shared" si="4"/>
        <v>0</v>
      </c>
    </row>
    <row r="76" spans="1:7">
      <c r="A76" s="35" t="s">
        <v>74</v>
      </c>
      <c r="B76" s="39" t="s">
        <v>75</v>
      </c>
      <c r="C76" s="37">
        <v>264.44600000000003</v>
      </c>
      <c r="D76" s="37">
        <v>118.79912</v>
      </c>
      <c r="E76" s="38">
        <f>SUM(D76/C76*100)</f>
        <v>44.923772717303336</v>
      </c>
      <c r="F76" s="38">
        <f t="shared" si="4"/>
        <v>-145.64688000000001</v>
      </c>
    </row>
    <row r="77" spans="1:7" s="6" customFormat="1">
      <c r="A77" s="30" t="s">
        <v>86</v>
      </c>
      <c r="B77" s="31" t="s">
        <v>87</v>
      </c>
      <c r="C77" s="32">
        <f>C78</f>
        <v>5344.5</v>
      </c>
      <c r="D77" s="32">
        <f>SUM(D78)</f>
        <v>522.07100000000003</v>
      </c>
      <c r="E77" s="34">
        <f t="shared" si="3"/>
        <v>9.7683787070820465</v>
      </c>
      <c r="F77" s="34">
        <f t="shared" si="4"/>
        <v>-4822.4290000000001</v>
      </c>
    </row>
    <row r="78" spans="1:7" ht="17.25" customHeight="1">
      <c r="A78" s="35" t="s">
        <v>88</v>
      </c>
      <c r="B78" s="39" t="s">
        <v>234</v>
      </c>
      <c r="C78" s="37">
        <f>1044.5+500+3800</f>
        <v>5344.5</v>
      </c>
      <c r="D78" s="37">
        <v>522.07100000000003</v>
      </c>
      <c r="E78" s="38">
        <f t="shared" si="3"/>
        <v>9.7683787070820465</v>
      </c>
      <c r="F78" s="38">
        <f t="shared" si="4"/>
        <v>-4822.4290000000001</v>
      </c>
    </row>
    <row r="79" spans="1:7" s="6" customFormat="1" ht="35.25" hidden="1" customHeight="1">
      <c r="A79" s="52">
        <v>1000</v>
      </c>
      <c r="B79" s="31" t="s">
        <v>89</v>
      </c>
      <c r="C79" s="32">
        <f>SUM(C80:C83)</f>
        <v>0</v>
      </c>
      <c r="D79" s="32">
        <f>SUM(D80:D83)</f>
        <v>0</v>
      </c>
      <c r="E79" s="34" t="e">
        <f t="shared" si="3"/>
        <v>#DIV/0!</v>
      </c>
      <c r="F79" s="34">
        <f t="shared" si="4"/>
        <v>0</v>
      </c>
    </row>
    <row r="80" spans="1:7" ht="24.75" hidden="1" customHeight="1">
      <c r="A80" s="53">
        <v>1001</v>
      </c>
      <c r="B80" s="54" t="s">
        <v>90</v>
      </c>
      <c r="C80" s="37"/>
      <c r="D80" s="37"/>
      <c r="E80" s="38" t="e">
        <f t="shared" si="3"/>
        <v>#DIV/0!</v>
      </c>
      <c r="F80" s="38">
        <f t="shared" si="4"/>
        <v>0</v>
      </c>
    </row>
    <row r="81" spans="1:6" ht="18.75" hidden="1" customHeight="1">
      <c r="A81" s="53">
        <v>1003</v>
      </c>
      <c r="B81" s="54" t="s">
        <v>91</v>
      </c>
      <c r="C81" s="37">
        <v>0</v>
      </c>
      <c r="D81" s="37">
        <v>0</v>
      </c>
      <c r="E81" s="38" t="e">
        <f t="shared" si="3"/>
        <v>#DIV/0!</v>
      </c>
      <c r="F81" s="38">
        <f t="shared" si="4"/>
        <v>0</v>
      </c>
    </row>
    <row r="82" spans="1:6" ht="18.75" hidden="1" customHeight="1">
      <c r="A82" s="53">
        <v>1004</v>
      </c>
      <c r="B82" s="54" t="s">
        <v>92</v>
      </c>
      <c r="C82" s="37"/>
      <c r="D82" s="55"/>
      <c r="E82" s="38" t="e">
        <f t="shared" si="3"/>
        <v>#DIV/0!</v>
      </c>
      <c r="F82" s="38">
        <f t="shared" si="4"/>
        <v>0</v>
      </c>
    </row>
    <row r="83" spans="1:6" ht="21" hidden="1" customHeight="1">
      <c r="A83" s="35" t="s">
        <v>93</v>
      </c>
      <c r="B83" s="39" t="s">
        <v>94</v>
      </c>
      <c r="C83" s="37">
        <v>0</v>
      </c>
      <c r="D83" s="37">
        <v>0</v>
      </c>
      <c r="E83" s="38"/>
      <c r="F83" s="38">
        <f t="shared" si="4"/>
        <v>0</v>
      </c>
    </row>
    <row r="84" spans="1:6" ht="17.25" customHeight="1">
      <c r="A84" s="30" t="s">
        <v>95</v>
      </c>
      <c r="B84" s="31" t="s">
        <v>96</v>
      </c>
      <c r="C84" s="32">
        <f>C85+C86+C87+C88+C89</f>
        <v>5</v>
      </c>
      <c r="D84" s="32">
        <f>D85+D86+D87+D88+D89</f>
        <v>2.0150000000000001</v>
      </c>
      <c r="E84" s="38">
        <f t="shared" si="3"/>
        <v>40.300000000000004</v>
      </c>
      <c r="F84" s="22">
        <f>F85+F86+F87+F88+F89</f>
        <v>-2.9849999999999999</v>
      </c>
    </row>
    <row r="85" spans="1:6" ht="15" customHeight="1">
      <c r="A85" s="35" t="s">
        <v>97</v>
      </c>
      <c r="B85" s="39" t="s">
        <v>98</v>
      </c>
      <c r="C85" s="345">
        <v>5</v>
      </c>
      <c r="D85" s="345">
        <v>2.0150000000000001</v>
      </c>
      <c r="E85" s="38">
        <f t="shared" si="3"/>
        <v>40.300000000000004</v>
      </c>
      <c r="F85" s="38">
        <f>SUM(D85-C85)</f>
        <v>-2.9849999999999999</v>
      </c>
    </row>
    <row r="86" spans="1:6" ht="15.75" hidden="1" customHeight="1">
      <c r="A86" s="35" t="s">
        <v>99</v>
      </c>
      <c r="B86" s="39" t="s">
        <v>100</v>
      </c>
      <c r="C86" s="345"/>
      <c r="D86" s="345"/>
      <c r="E86" s="38" t="e">
        <f t="shared" si="3"/>
        <v>#DIV/0!</v>
      </c>
      <c r="F86" s="38">
        <f>SUM(D86-C86)</f>
        <v>0</v>
      </c>
    </row>
    <row r="87" spans="1:6" ht="15.75" hidden="1" customHeight="1">
      <c r="A87" s="35" t="s">
        <v>101</v>
      </c>
      <c r="B87" s="39" t="s">
        <v>102</v>
      </c>
      <c r="C87" s="345"/>
      <c r="D87" s="345"/>
      <c r="E87" s="38" t="e">
        <f t="shared" si="3"/>
        <v>#DIV/0!</v>
      </c>
      <c r="F87" s="38"/>
    </row>
    <row r="88" spans="1:6" ht="15.75" hidden="1" customHeight="1">
      <c r="A88" s="35" t="s">
        <v>103</v>
      </c>
      <c r="B88" s="39" t="s">
        <v>104</v>
      </c>
      <c r="C88" s="345"/>
      <c r="D88" s="345"/>
      <c r="E88" s="38" t="e">
        <f t="shared" si="3"/>
        <v>#DIV/0!</v>
      </c>
      <c r="F88" s="38"/>
    </row>
    <row r="89" spans="1:6" ht="15.75" hidden="1" customHeight="1">
      <c r="A89" s="35" t="s">
        <v>105</v>
      </c>
      <c r="B89" s="39" t="s">
        <v>106</v>
      </c>
      <c r="C89" s="345"/>
      <c r="D89" s="345"/>
      <c r="E89" s="38" t="e">
        <f t="shared" si="3"/>
        <v>#DIV/0!</v>
      </c>
      <c r="F89" s="38"/>
    </row>
    <row r="90" spans="1:6" s="6" customFormat="1" ht="15.75" hidden="1" customHeight="1">
      <c r="A90" s="52">
        <v>1400</v>
      </c>
      <c r="B90" s="56" t="s">
        <v>115</v>
      </c>
      <c r="C90" s="346">
        <f>C91+C92+C93</f>
        <v>0</v>
      </c>
      <c r="D90" s="346">
        <f>SUM(D91:D93)</f>
        <v>0</v>
      </c>
      <c r="E90" s="34" t="e">
        <f t="shared" si="3"/>
        <v>#DIV/0!</v>
      </c>
      <c r="F90" s="34">
        <f t="shared" si="4"/>
        <v>0</v>
      </c>
    </row>
    <row r="91" spans="1:6" ht="15.75" hidden="1" customHeight="1">
      <c r="A91" s="53">
        <v>1401</v>
      </c>
      <c r="B91" s="54" t="s">
        <v>116</v>
      </c>
      <c r="C91" s="347"/>
      <c r="D91" s="345"/>
      <c r="E91" s="38" t="e">
        <f t="shared" si="3"/>
        <v>#DIV/0!</v>
      </c>
      <c r="F91" s="38">
        <f t="shared" si="4"/>
        <v>0</v>
      </c>
    </row>
    <row r="92" spans="1:6" ht="15.75" hidden="1" customHeight="1">
      <c r="A92" s="53">
        <v>1402</v>
      </c>
      <c r="B92" s="54" t="s">
        <v>117</v>
      </c>
      <c r="C92" s="347"/>
      <c r="D92" s="345"/>
      <c r="E92" s="38" t="e">
        <f t="shared" si="3"/>
        <v>#DIV/0!</v>
      </c>
      <c r="F92" s="38">
        <f t="shared" si="4"/>
        <v>0</v>
      </c>
    </row>
    <row r="93" spans="1:6" ht="57.75" hidden="1" customHeight="1">
      <c r="A93" s="53">
        <v>1403</v>
      </c>
      <c r="B93" s="54" t="s">
        <v>118</v>
      </c>
      <c r="C93" s="348">
        <v>0</v>
      </c>
      <c r="D93" s="349">
        <v>0</v>
      </c>
      <c r="E93" s="38" t="e">
        <f t="shared" si="3"/>
        <v>#DIV/0!</v>
      </c>
      <c r="F93" s="38">
        <f t="shared" si="4"/>
        <v>0</v>
      </c>
    </row>
    <row r="94" spans="1:6" s="6" customFormat="1" ht="15.75" customHeight="1">
      <c r="A94" s="52"/>
      <c r="B94" s="57" t="s">
        <v>119</v>
      </c>
      <c r="C94" s="413">
        <f>C53+C61+C63+C68+C73+C77+C79+C84+C90</f>
        <v>9315.0078699999995</v>
      </c>
      <c r="D94" s="413">
        <f>D53+D61+D63+D68+D73+D77+D79+D84+D90</f>
        <v>3328.6624499999998</v>
      </c>
      <c r="E94" s="34">
        <f t="shared" si="3"/>
        <v>35.734402981239775</v>
      </c>
      <c r="F94" s="34">
        <f t="shared" si="4"/>
        <v>-5986.3454199999996</v>
      </c>
    </row>
    <row r="95" spans="1:6" ht="16.5" customHeight="1">
      <c r="C95" s="126"/>
      <c r="D95" s="101"/>
    </row>
    <row r="96" spans="1:6" s="113" customFormat="1" ht="20.25" customHeight="1">
      <c r="A96" s="111" t="s">
        <v>120</v>
      </c>
      <c r="B96" s="111"/>
      <c r="C96" s="129"/>
      <c r="D96" s="112"/>
    </row>
    <row r="97" spans="1:3" s="113" customFormat="1" ht="13.5" customHeight="1">
      <c r="A97" s="114" t="s">
        <v>121</v>
      </c>
      <c r="B97" s="114"/>
      <c r="C97" s="118" t="s">
        <v>122</v>
      </c>
    </row>
    <row r="99" spans="1:3" ht="5.25" customHeight="1"/>
  </sheetData>
  <customSheetViews>
    <customSheetView guid="{8E17DC23-BE06-48DD-840B-6DD85B9E86D1}" scale="70" showPageBreaks="1" hiddenRows="1" view="pageBreakPreview" topLeftCell="A12">
      <selection activeCell="C48" activeCellId="1" sqref="C94:D94 C48:D49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 topLeftCell="A6">
      <selection activeCell="D28" sqref="D28"/>
      <pageMargins left="0.7" right="0.7" top="0.75" bottom="0.75" header="0.3" footer="0.3"/>
      <pageSetup paperSize="9" scale="62" orientation="portrait" r:id="rId2"/>
    </customSheetView>
    <customSheetView guid="{3DCB9AAA-F09C-4EA6-B992-F93E466D374A}" hiddenRows="1" topLeftCell="A6">
      <selection activeCell="D28" sqref="D28"/>
      <pageMargins left="0.7" right="0.7" top="0.75" bottom="0.75" header="0.3" footer="0.3"/>
      <pageSetup paperSize="9" scale="62" orientation="portrait" r:id="rId3"/>
    </customSheetView>
    <customSheetView guid="{1718F1EE-9F48-4DBE-9531-3B70F9C4A5DD}" scale="70" showPageBreaks="1" hiddenRows="1" view="pageBreakPreview" topLeftCell="A6">
      <selection activeCell="C27" sqref="C27"/>
      <pageMargins left="0.7" right="0.7" top="0.75" bottom="0.75" header="0.3" footer="0.3"/>
      <pageSetup paperSize="9" scale="64" orientation="portrait" r:id="rId4"/>
    </customSheetView>
    <customSheetView guid="{42584DC0-1D41-4C93-9B38-C388E7B8DAC4}" scale="70" showPageBreaks="1" hiddenRows="1" view="pageBreakPreview">
      <selection activeCell="A2" sqref="A2:F2"/>
      <pageMargins left="0.7" right="0.7" top="0.75" bottom="0.75" header="0.3" footer="0.3"/>
      <pageSetup paperSize="9" scale="64" orientation="portrait" r:id="rId5"/>
    </customSheetView>
    <customSheetView guid="{B30CE22D-C12F-4E12-8BB9-3AAE0A6991CC}" scale="70" showPageBreaks="1" hiddenRows="1" view="pageBreakPreview" topLeftCell="A12">
      <selection activeCell="D50" sqref="D50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12">
      <selection activeCell="C48" activeCellId="1" sqref="C94:D94 C48:D49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N36"/>
  <sheetViews>
    <sheetView view="pageBreakPreview" topLeftCell="A10" zoomScale="75" zoomScaleSheetLayoutView="75" workbookViewId="0">
      <pane xSplit="2" ySplit="4" topLeftCell="C14" activePane="bottomRight" state="frozen"/>
      <selection activeCell="A10" sqref="A10"/>
      <selection pane="topRight" activeCell="C10" sqref="C10"/>
      <selection pane="bottomLeft" activeCell="A14" sqref="A14"/>
      <selection pane="bottomRight" activeCell="AT14" sqref="AT14:AT29"/>
    </sheetView>
  </sheetViews>
  <sheetFormatPr defaultRowHeight="15"/>
  <cols>
    <col min="1" max="1" width="6.140625" style="153" customWidth="1"/>
    <col min="2" max="2" width="26.42578125" style="153" customWidth="1"/>
    <col min="3" max="3" width="18.7109375" style="153" bestFit="1" customWidth="1"/>
    <col min="4" max="4" width="20.28515625" style="154" bestFit="1" customWidth="1"/>
    <col min="5" max="5" width="13.28515625" style="153" bestFit="1" customWidth="1"/>
    <col min="6" max="6" width="17.42578125" style="153" customWidth="1"/>
    <col min="7" max="7" width="16.85546875" style="153" customWidth="1"/>
    <col min="8" max="8" width="13" style="153" bestFit="1" customWidth="1"/>
    <col min="9" max="9" width="15.5703125" style="153" customWidth="1"/>
    <col min="10" max="10" width="15.28515625" style="153" customWidth="1"/>
    <col min="11" max="11" width="13" style="153" bestFit="1" customWidth="1"/>
    <col min="12" max="12" width="15.140625" style="153" customWidth="1"/>
    <col min="13" max="13" width="17.28515625" style="153" bestFit="1" customWidth="1"/>
    <col min="14" max="14" width="13" style="153" bestFit="1" customWidth="1"/>
    <col min="15" max="15" width="14" style="153" bestFit="1" customWidth="1"/>
    <col min="16" max="16" width="15.7109375" style="153" customWidth="1"/>
    <col min="17" max="17" width="13" style="153" bestFit="1" customWidth="1"/>
    <col min="18" max="18" width="16.7109375" style="153" bestFit="1" customWidth="1"/>
    <col min="19" max="19" width="17.28515625" style="153" bestFit="1" customWidth="1"/>
    <col min="20" max="20" width="13" style="153" bestFit="1" customWidth="1"/>
    <col min="21" max="21" width="14" style="153" bestFit="1" customWidth="1"/>
    <col min="22" max="22" width="14.7109375" style="153" customWidth="1"/>
    <col min="23" max="23" width="12.28515625" style="153" customWidth="1"/>
    <col min="24" max="24" width="15.140625" style="153" customWidth="1"/>
    <col min="25" max="25" width="15.42578125" style="153" bestFit="1" customWidth="1"/>
    <col min="26" max="26" width="12.5703125" style="153" customWidth="1"/>
    <col min="27" max="27" width="17.5703125" style="153" customWidth="1"/>
    <col min="28" max="28" width="14.85546875" style="153" customWidth="1"/>
    <col min="29" max="29" width="15.5703125" style="153" customWidth="1"/>
    <col min="30" max="30" width="19.7109375" style="153" bestFit="1" customWidth="1"/>
    <col min="31" max="31" width="15.7109375" style="153" customWidth="1"/>
    <col min="32" max="32" width="10" style="153" customWidth="1"/>
    <col min="33" max="33" width="13.85546875" style="153" customWidth="1"/>
    <col min="34" max="34" width="15.28515625" style="153" customWidth="1"/>
    <col min="35" max="35" width="10" style="153" customWidth="1"/>
    <col min="36" max="36" width="14.7109375" style="153" customWidth="1"/>
    <col min="37" max="37" width="14.5703125" style="153" customWidth="1"/>
    <col min="38" max="38" width="10" style="153" customWidth="1"/>
    <col min="39" max="39" width="15.42578125" style="153" customWidth="1"/>
    <col min="40" max="40" width="16" style="153" customWidth="1"/>
    <col min="41" max="41" width="16.28515625" style="153" customWidth="1"/>
    <col min="42" max="43" width="17.28515625" style="153" bestFit="1" customWidth="1"/>
    <col min="44" max="44" width="13.85546875" style="153" customWidth="1"/>
    <col min="45" max="45" width="16" style="153" customWidth="1"/>
    <col min="46" max="46" width="17.5703125" style="153" customWidth="1"/>
    <col min="47" max="47" width="10.140625" style="153" customWidth="1"/>
    <col min="48" max="48" width="9.42578125" style="153" hidden="1" customWidth="1"/>
    <col min="49" max="49" width="9.7109375" style="153" hidden="1" customWidth="1"/>
    <col min="50" max="50" width="11.85546875" style="153" hidden="1" customWidth="1"/>
    <col min="51" max="51" width="15.7109375" style="153" customWidth="1"/>
    <col min="52" max="52" width="16.140625" style="153" customWidth="1"/>
    <col min="53" max="53" width="9.85546875" style="153" customWidth="1"/>
    <col min="54" max="56" width="9.85546875" style="153" hidden="1" customWidth="1"/>
    <col min="57" max="57" width="17" style="153" customWidth="1"/>
    <col min="58" max="58" width="15" style="153" customWidth="1"/>
    <col min="59" max="59" width="12" style="153" customWidth="1"/>
    <col min="60" max="61" width="9.7109375" style="153" hidden="1" customWidth="1"/>
    <col min="62" max="62" width="12.85546875" style="153" hidden="1" customWidth="1"/>
    <col min="63" max="63" width="13" style="153" hidden="1" customWidth="1"/>
    <col min="64" max="64" width="12.85546875" style="153" hidden="1" customWidth="1"/>
    <col min="65" max="65" width="12.5703125" style="153" hidden="1" customWidth="1"/>
    <col min="66" max="66" width="11" style="153" hidden="1" customWidth="1"/>
    <col min="67" max="67" width="13.28515625" style="153" hidden="1" customWidth="1"/>
    <col min="68" max="68" width="10.7109375" style="153" hidden="1" customWidth="1"/>
    <col min="69" max="69" width="15.28515625" style="153" customWidth="1"/>
    <col min="70" max="70" width="15" style="153" customWidth="1"/>
    <col min="71" max="71" width="10" style="153" customWidth="1"/>
    <col min="72" max="73" width="9.7109375" style="153" hidden="1" customWidth="1"/>
    <col min="74" max="74" width="9.5703125" style="153" hidden="1" customWidth="1"/>
    <col min="75" max="75" width="9.42578125" style="153" hidden="1" customWidth="1"/>
    <col min="76" max="76" width="9.7109375" style="153" hidden="1" customWidth="1"/>
    <col min="77" max="77" width="10.140625" style="153" hidden="1" customWidth="1"/>
    <col min="78" max="78" width="18.140625" style="153" customWidth="1"/>
    <col min="79" max="79" width="20.140625" style="153" customWidth="1"/>
    <col min="80" max="80" width="10" style="153" customWidth="1"/>
    <col min="81" max="81" width="16.42578125" style="153" customWidth="1"/>
    <col min="82" max="82" width="15.7109375" style="153" customWidth="1"/>
    <col min="83" max="83" width="10" style="153" customWidth="1"/>
    <col min="84" max="84" width="14.140625" style="153" customWidth="1"/>
    <col min="85" max="85" width="15.28515625" style="153" customWidth="1"/>
    <col min="86" max="86" width="10" style="153" customWidth="1"/>
    <col min="87" max="87" width="17.42578125" style="153" customWidth="1"/>
    <col min="88" max="88" width="16.5703125" style="153" customWidth="1"/>
    <col min="89" max="89" width="10" style="153" customWidth="1"/>
    <col min="90" max="90" width="19.85546875" style="153" customWidth="1"/>
    <col min="91" max="91" width="18" style="153" customWidth="1"/>
    <col min="92" max="92" width="13.28515625" style="153" customWidth="1"/>
    <col min="93" max="93" width="16.85546875" style="153" customWidth="1"/>
    <col min="94" max="95" width="14.85546875" style="153" customWidth="1"/>
    <col min="96" max="96" width="16.7109375" style="153" customWidth="1"/>
    <col min="97" max="97" width="16.85546875" style="153" customWidth="1"/>
    <col min="98" max="98" width="14.42578125" style="153" bestFit="1" customWidth="1"/>
    <col min="99" max="99" width="9.85546875" style="153" bestFit="1" customWidth="1"/>
    <col min="100" max="100" width="14.42578125" style="153" customWidth="1"/>
    <col min="101" max="101" width="14.28515625" style="153" customWidth="1"/>
    <col min="102" max="103" width="9.85546875" style="153" hidden="1" customWidth="1"/>
    <col min="104" max="104" width="14.42578125" style="153" hidden="1" customWidth="1"/>
    <col min="105" max="106" width="9.85546875" style="153" hidden="1" customWidth="1"/>
    <col min="107" max="107" width="14.42578125" style="153" hidden="1" customWidth="1"/>
    <col min="108" max="109" width="9.85546875" style="153" hidden="1" customWidth="1"/>
    <col min="110" max="110" width="14.42578125" style="153" hidden="1" customWidth="1"/>
    <col min="111" max="111" width="21.28515625" style="153" customWidth="1"/>
    <col min="112" max="112" width="20.28515625" style="153" customWidth="1"/>
    <col min="113" max="113" width="13" style="153" bestFit="1" customWidth="1"/>
    <col min="114" max="114" width="18" style="153" bestFit="1" customWidth="1"/>
    <col min="115" max="115" width="20.5703125" style="153" customWidth="1"/>
    <col min="116" max="116" width="13.28515625" style="153" customWidth="1"/>
    <col min="117" max="117" width="16.7109375" style="153" customWidth="1"/>
    <col min="118" max="118" width="16.85546875" style="153" customWidth="1"/>
    <col min="119" max="119" width="12.28515625" style="153" customWidth="1"/>
    <col min="120" max="120" width="15.28515625" style="153" customWidth="1"/>
    <col min="121" max="121" width="14.28515625" style="153" customWidth="1"/>
    <col min="122" max="122" width="13.85546875" style="153" customWidth="1"/>
    <col min="123" max="123" width="15.42578125" style="153" customWidth="1"/>
    <col min="124" max="124" width="13.7109375" style="153" customWidth="1"/>
    <col min="125" max="125" width="10.140625" style="153" customWidth="1"/>
    <col min="126" max="126" width="16" style="153" customWidth="1"/>
    <col min="127" max="127" width="11.5703125" style="153" customWidth="1"/>
    <col min="128" max="128" width="10.140625" style="153" customWidth="1"/>
    <col min="129" max="129" width="15.140625" style="153" customWidth="1"/>
    <col min="130" max="130" width="18.5703125" style="153" customWidth="1"/>
    <col min="131" max="131" width="10.140625" style="153" customWidth="1"/>
    <col min="132" max="132" width="15.28515625" style="153" customWidth="1"/>
    <col min="133" max="133" width="14" style="153" bestFit="1" customWidth="1"/>
    <col min="134" max="134" width="10.140625" style="153" customWidth="1"/>
    <col min="135" max="135" width="15.42578125" style="153" customWidth="1"/>
    <col min="136" max="136" width="17.28515625" style="153" customWidth="1"/>
    <col min="137" max="137" width="12.42578125" style="153" customWidth="1"/>
    <col min="138" max="138" width="19.42578125" style="153" bestFit="1" customWidth="1"/>
    <col min="139" max="139" width="15.140625" style="153" customWidth="1"/>
    <col min="140" max="140" width="10.140625" style="153" customWidth="1"/>
    <col min="141" max="142" width="15.7109375" style="153" customWidth="1"/>
    <col min="143" max="143" width="10.140625" style="153" customWidth="1"/>
    <col min="144" max="144" width="13.42578125" style="153" customWidth="1"/>
    <col min="145" max="145" width="10.85546875" style="153" customWidth="1"/>
    <col min="146" max="146" width="10.140625" style="153" customWidth="1"/>
    <col min="147" max="147" width="14.42578125" style="153" customWidth="1"/>
    <col min="148" max="148" width="14.7109375" style="153" customWidth="1"/>
    <col min="149" max="149" width="10" style="153" customWidth="1"/>
    <col min="150" max="150" width="14.140625" style="153" customWidth="1"/>
    <col min="151" max="151" width="14.28515625" style="153" customWidth="1"/>
    <col min="152" max="152" width="9.85546875" style="153" customWidth="1"/>
    <col min="153" max="153" width="15.42578125" style="153" customWidth="1"/>
    <col min="154" max="154" width="16" style="153" customWidth="1"/>
    <col min="155" max="155" width="12.42578125" style="153" customWidth="1"/>
    <col min="156" max="156" width="14.85546875" style="153" customWidth="1"/>
    <col min="157" max="16384" width="9.140625" style="153"/>
  </cols>
  <sheetData>
    <row r="1" spans="1:159" ht="18" customHeight="1">
      <c r="X1" s="451" t="s">
        <v>137</v>
      </c>
      <c r="Y1" s="451"/>
      <c r="Z1" s="451"/>
      <c r="AA1" s="156"/>
      <c r="AB1" s="156"/>
      <c r="AC1" s="156"/>
      <c r="AD1" s="446"/>
      <c r="AE1" s="446"/>
      <c r="AF1" s="446"/>
      <c r="AG1" s="157"/>
      <c r="AH1" s="157"/>
      <c r="AI1" s="157"/>
      <c r="AJ1" s="157"/>
      <c r="AK1" s="157"/>
      <c r="AL1" s="157"/>
    </row>
    <row r="2" spans="1:159" ht="19.5" customHeight="1">
      <c r="X2" s="157" t="s">
        <v>138</v>
      </c>
      <c r="Y2" s="157"/>
      <c r="Z2" s="157"/>
      <c r="AA2" s="155"/>
      <c r="AB2" s="155"/>
      <c r="AC2" s="155"/>
      <c r="AD2" s="446"/>
      <c r="AE2" s="446"/>
      <c r="AF2" s="446"/>
      <c r="AG2" s="157"/>
      <c r="AH2" s="157"/>
      <c r="AI2" s="157"/>
      <c r="AJ2" s="157"/>
      <c r="AK2" s="157"/>
      <c r="AL2" s="157"/>
    </row>
    <row r="3" spans="1:159" ht="30.75" customHeight="1">
      <c r="A3" s="158"/>
      <c r="B3" s="158"/>
      <c r="C3" s="158"/>
      <c r="D3" s="159"/>
      <c r="E3" s="158"/>
      <c r="F3" s="158"/>
      <c r="G3" s="158"/>
      <c r="H3" s="158"/>
      <c r="I3" s="158"/>
      <c r="X3" s="450" t="s">
        <v>139</v>
      </c>
      <c r="Y3" s="450"/>
      <c r="Z3" s="450"/>
      <c r="AA3" s="158"/>
      <c r="AB3" s="158"/>
      <c r="AC3" s="158"/>
      <c r="AD3" s="450"/>
      <c r="AE3" s="450"/>
      <c r="AF3" s="450"/>
      <c r="AG3" s="160"/>
      <c r="AH3" s="160"/>
      <c r="AI3" s="160"/>
      <c r="AJ3" s="160"/>
      <c r="AK3" s="160"/>
      <c r="AL3" s="160"/>
      <c r="AM3" s="158"/>
      <c r="AN3" s="158"/>
      <c r="AO3" s="158"/>
      <c r="AP3" s="158"/>
      <c r="AQ3" s="158"/>
      <c r="AR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</row>
    <row r="4" spans="1:159" ht="24" customHeight="1">
      <c r="B4" s="454" t="s">
        <v>140</v>
      </c>
      <c r="C4" s="454"/>
      <c r="D4" s="454"/>
      <c r="E4" s="454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454"/>
      <c r="Z4" s="454"/>
      <c r="AA4" s="161"/>
      <c r="AB4" s="161"/>
      <c r="AC4" s="161"/>
      <c r="AD4" s="161"/>
      <c r="AE4" s="161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8"/>
      <c r="CW4" s="158"/>
      <c r="CX4" s="158"/>
      <c r="CY4" s="158"/>
      <c r="CZ4" s="158"/>
      <c r="DA4" s="158"/>
      <c r="DB4" s="158"/>
      <c r="DC4" s="158"/>
      <c r="DD4" s="158"/>
      <c r="DE4" s="158"/>
      <c r="DF4" s="158"/>
      <c r="DG4" s="158"/>
      <c r="DH4" s="158"/>
      <c r="DI4" s="158"/>
      <c r="DJ4" s="158"/>
      <c r="DK4" s="158"/>
      <c r="DL4" s="158"/>
      <c r="DM4" s="158"/>
      <c r="DN4" s="158"/>
      <c r="DO4" s="158"/>
      <c r="DP4" s="158"/>
      <c r="DQ4" s="158"/>
      <c r="DR4" s="158"/>
      <c r="DS4" s="158"/>
      <c r="DT4" s="158"/>
      <c r="DU4" s="158"/>
      <c r="DV4" s="158"/>
      <c r="DW4" s="158"/>
      <c r="DX4" s="158"/>
      <c r="DY4" s="158"/>
      <c r="DZ4" s="158"/>
      <c r="EA4" s="158"/>
      <c r="EB4" s="158"/>
      <c r="EC4" s="158"/>
      <c r="ED4" s="158"/>
      <c r="EE4" s="158"/>
      <c r="EF4" s="158"/>
      <c r="EG4" s="158"/>
      <c r="EH4" s="158"/>
      <c r="EI4" s="158"/>
      <c r="EJ4" s="158"/>
      <c r="EK4" s="158"/>
      <c r="EL4" s="158"/>
      <c r="EM4" s="158"/>
    </row>
    <row r="5" spans="1:159" ht="15" customHeight="1">
      <c r="B5" s="452" t="s">
        <v>413</v>
      </c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2"/>
      <c r="Z5" s="452"/>
      <c r="AA5" s="162"/>
      <c r="AB5" s="162"/>
      <c r="AC5" s="162"/>
      <c r="AD5" s="162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8"/>
      <c r="CW5" s="158"/>
      <c r="CX5" s="158"/>
      <c r="CY5" s="158"/>
      <c r="CZ5" s="158"/>
      <c r="DA5" s="158"/>
      <c r="DB5" s="158"/>
      <c r="DC5" s="158"/>
      <c r="DD5" s="158"/>
      <c r="DE5" s="158"/>
      <c r="DF5" s="158"/>
      <c r="DG5" s="158"/>
      <c r="DH5" s="158"/>
      <c r="DI5" s="158"/>
      <c r="DJ5" s="158"/>
      <c r="DK5" s="158"/>
      <c r="DL5" s="158"/>
      <c r="DM5" s="158"/>
      <c r="DN5" s="158"/>
      <c r="DO5" s="158"/>
      <c r="DP5" s="158"/>
      <c r="DQ5" s="158"/>
      <c r="DR5" s="158"/>
      <c r="DS5" s="158"/>
      <c r="DT5" s="158"/>
      <c r="DU5" s="158"/>
      <c r="DV5" s="158"/>
      <c r="DW5" s="158"/>
      <c r="DX5" s="158"/>
      <c r="DY5" s="158"/>
      <c r="DZ5" s="158"/>
      <c r="EA5" s="158"/>
      <c r="EB5" s="158"/>
      <c r="EC5" s="158"/>
      <c r="ED5" s="158"/>
      <c r="EE5" s="158"/>
      <c r="EF5" s="158"/>
      <c r="EG5" s="158"/>
      <c r="EH5" s="158"/>
      <c r="EI5" s="158"/>
      <c r="EJ5" s="158"/>
      <c r="EK5" s="158"/>
      <c r="EL5" s="158"/>
      <c r="EM5" s="158"/>
    </row>
    <row r="6" spans="1:159" ht="15" customHeight="1">
      <c r="A6" s="158"/>
      <c r="B6" s="158"/>
      <c r="C6" s="163"/>
      <c r="D6" s="164"/>
      <c r="E6" s="158"/>
      <c r="F6" s="158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3"/>
      <c r="X6" s="453"/>
      <c r="Y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W6" s="158"/>
      <c r="EX6" s="158"/>
      <c r="EY6" s="158"/>
    </row>
    <row r="7" spans="1:159" s="169" customFormat="1" ht="15" customHeight="1">
      <c r="A7" s="431" t="s">
        <v>141</v>
      </c>
      <c r="B7" s="431" t="s">
        <v>142</v>
      </c>
      <c r="C7" s="422" t="s">
        <v>143</v>
      </c>
      <c r="D7" s="423"/>
      <c r="E7" s="424"/>
      <c r="F7" s="166" t="s">
        <v>144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  <c r="AS7" s="167"/>
      <c r="AT7" s="167"/>
      <c r="AU7" s="167"/>
      <c r="AV7" s="167"/>
      <c r="AW7" s="167"/>
      <c r="AX7" s="167"/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7"/>
      <c r="CK7" s="167"/>
      <c r="CL7" s="167"/>
      <c r="CM7" s="167"/>
      <c r="CN7" s="167"/>
      <c r="CO7" s="167"/>
      <c r="CP7" s="167"/>
      <c r="CQ7" s="167"/>
      <c r="CR7" s="167"/>
      <c r="CS7" s="167"/>
      <c r="CT7" s="167"/>
      <c r="CU7" s="167"/>
      <c r="CV7" s="167"/>
      <c r="CW7" s="167"/>
      <c r="CX7" s="167"/>
      <c r="CY7" s="167"/>
      <c r="CZ7" s="167"/>
      <c r="DA7" s="167"/>
      <c r="DB7" s="167"/>
      <c r="DC7" s="168"/>
      <c r="DD7" s="167"/>
      <c r="DE7" s="167"/>
      <c r="DF7" s="168"/>
      <c r="DG7" s="422" t="s">
        <v>145</v>
      </c>
      <c r="DH7" s="423"/>
      <c r="DI7" s="424"/>
      <c r="DJ7" s="422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3"/>
      <c r="DV7" s="423"/>
      <c r="DW7" s="423"/>
      <c r="DX7" s="423"/>
      <c r="DY7" s="423"/>
      <c r="DZ7" s="423"/>
      <c r="EA7" s="423"/>
      <c r="EB7" s="423"/>
      <c r="EC7" s="423"/>
      <c r="ED7" s="423"/>
      <c r="EE7" s="423"/>
      <c r="EF7" s="423"/>
      <c r="EG7" s="423"/>
      <c r="EH7" s="423"/>
      <c r="EI7" s="423"/>
      <c r="EJ7" s="423"/>
      <c r="EK7" s="423"/>
      <c r="EL7" s="423"/>
      <c r="EM7" s="423"/>
      <c r="EN7" s="423"/>
      <c r="EO7" s="423"/>
      <c r="EP7" s="423"/>
      <c r="EQ7" s="423"/>
      <c r="ER7" s="423"/>
      <c r="ES7" s="423"/>
      <c r="ET7" s="423"/>
      <c r="EU7" s="423"/>
      <c r="EV7" s="424"/>
      <c r="EW7" s="422" t="s">
        <v>146</v>
      </c>
      <c r="EX7" s="423"/>
      <c r="EY7" s="424"/>
    </row>
    <row r="8" spans="1:159" s="169" customFormat="1" ht="15" customHeight="1">
      <c r="A8" s="431"/>
      <c r="B8" s="431"/>
      <c r="C8" s="425"/>
      <c r="D8" s="426"/>
      <c r="E8" s="427"/>
      <c r="F8" s="425" t="s">
        <v>147</v>
      </c>
      <c r="G8" s="426"/>
      <c r="H8" s="427"/>
      <c r="I8" s="447" t="s">
        <v>148</v>
      </c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8"/>
      <c r="X8" s="448"/>
      <c r="Y8" s="448"/>
      <c r="Z8" s="448"/>
      <c r="AA8" s="448"/>
      <c r="AB8" s="448"/>
      <c r="AC8" s="448"/>
      <c r="AD8" s="448"/>
      <c r="AE8" s="448"/>
      <c r="AF8" s="448"/>
      <c r="AG8" s="448"/>
      <c r="AH8" s="448"/>
      <c r="AI8" s="448"/>
      <c r="AJ8" s="448"/>
      <c r="AK8" s="448"/>
      <c r="AL8" s="448"/>
      <c r="AM8" s="448"/>
      <c r="AN8" s="448"/>
      <c r="AO8" s="448"/>
      <c r="AP8" s="448"/>
      <c r="AQ8" s="448"/>
      <c r="AR8" s="448"/>
      <c r="AS8" s="448"/>
      <c r="AT8" s="448"/>
      <c r="AU8" s="448"/>
      <c r="AV8" s="448"/>
      <c r="AW8" s="448"/>
      <c r="AX8" s="449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1"/>
      <c r="BT8" s="173"/>
      <c r="BU8" s="173"/>
      <c r="BV8" s="173"/>
      <c r="BW8" s="174"/>
      <c r="BX8" s="174"/>
      <c r="BY8" s="174"/>
      <c r="BZ8" s="431" t="s">
        <v>149</v>
      </c>
      <c r="CA8" s="431"/>
      <c r="CB8" s="431"/>
      <c r="CC8" s="428" t="s">
        <v>148</v>
      </c>
      <c r="CD8" s="429"/>
      <c r="CE8" s="429"/>
      <c r="CF8" s="429"/>
      <c r="CG8" s="429"/>
      <c r="CH8" s="429"/>
      <c r="CI8" s="429"/>
      <c r="CJ8" s="429"/>
      <c r="CK8" s="429"/>
      <c r="CL8" s="429"/>
      <c r="CM8" s="429"/>
      <c r="CN8" s="429"/>
      <c r="CO8" s="170"/>
      <c r="CP8" s="170"/>
      <c r="CQ8" s="170"/>
      <c r="CR8" s="170"/>
      <c r="CS8" s="170"/>
      <c r="CT8" s="170"/>
      <c r="CU8" s="175"/>
      <c r="CV8" s="175"/>
      <c r="CW8" s="176"/>
      <c r="CX8" s="425" t="s">
        <v>150</v>
      </c>
      <c r="CY8" s="426"/>
      <c r="CZ8" s="427"/>
      <c r="DA8" s="456"/>
      <c r="DB8" s="457"/>
      <c r="DC8" s="458"/>
      <c r="DD8" s="456"/>
      <c r="DE8" s="457"/>
      <c r="DF8" s="458"/>
      <c r="DG8" s="425"/>
      <c r="DH8" s="426"/>
      <c r="DI8" s="427"/>
      <c r="DJ8" s="425" t="s">
        <v>148</v>
      </c>
      <c r="DK8" s="426"/>
      <c r="DL8" s="426"/>
      <c r="DM8" s="426"/>
      <c r="DN8" s="426"/>
      <c r="DO8" s="426"/>
      <c r="DP8" s="426"/>
      <c r="DQ8" s="426"/>
      <c r="DR8" s="426"/>
      <c r="DS8" s="426"/>
      <c r="DT8" s="426"/>
      <c r="DU8" s="426"/>
      <c r="DV8" s="426"/>
      <c r="DW8" s="426"/>
      <c r="DX8" s="426"/>
      <c r="DY8" s="426"/>
      <c r="DZ8" s="426"/>
      <c r="EA8" s="426"/>
      <c r="EB8" s="426"/>
      <c r="EC8" s="426"/>
      <c r="ED8" s="426"/>
      <c r="EE8" s="426"/>
      <c r="EF8" s="426"/>
      <c r="EG8" s="426"/>
      <c r="EH8" s="426"/>
      <c r="EI8" s="426"/>
      <c r="EJ8" s="426"/>
      <c r="EK8" s="426"/>
      <c r="EL8" s="426"/>
      <c r="EM8" s="426"/>
      <c r="EN8" s="426"/>
      <c r="EO8" s="426"/>
      <c r="EP8" s="426"/>
      <c r="EQ8" s="426"/>
      <c r="ER8" s="426"/>
      <c r="ES8" s="426"/>
      <c r="ET8" s="426"/>
      <c r="EU8" s="426"/>
      <c r="EV8" s="427"/>
      <c r="EW8" s="425"/>
      <c r="EX8" s="426"/>
      <c r="EY8" s="427"/>
    </row>
    <row r="9" spans="1:159" s="169" customFormat="1" ht="15" customHeight="1">
      <c r="A9" s="431"/>
      <c r="B9" s="431"/>
      <c r="C9" s="425"/>
      <c r="D9" s="426"/>
      <c r="E9" s="427"/>
      <c r="F9" s="425"/>
      <c r="G9" s="426"/>
      <c r="H9" s="427"/>
      <c r="I9" s="422" t="s">
        <v>151</v>
      </c>
      <c r="J9" s="423"/>
      <c r="K9" s="424"/>
      <c r="L9" s="422" t="s">
        <v>293</v>
      </c>
      <c r="M9" s="423"/>
      <c r="N9" s="424"/>
      <c r="O9" s="422" t="s">
        <v>296</v>
      </c>
      <c r="P9" s="423"/>
      <c r="Q9" s="424"/>
      <c r="R9" s="422" t="s">
        <v>294</v>
      </c>
      <c r="S9" s="423"/>
      <c r="T9" s="424"/>
      <c r="U9" s="422" t="s">
        <v>295</v>
      </c>
      <c r="V9" s="423"/>
      <c r="W9" s="424"/>
      <c r="X9" s="422" t="s">
        <v>152</v>
      </c>
      <c r="Y9" s="423"/>
      <c r="Z9" s="424"/>
      <c r="AA9" s="422" t="s">
        <v>153</v>
      </c>
      <c r="AB9" s="423"/>
      <c r="AC9" s="424"/>
      <c r="AD9" s="422" t="s">
        <v>154</v>
      </c>
      <c r="AE9" s="423"/>
      <c r="AF9" s="424"/>
      <c r="AG9" s="431" t="s">
        <v>155</v>
      </c>
      <c r="AH9" s="431"/>
      <c r="AI9" s="431"/>
      <c r="AJ9" s="422" t="s">
        <v>255</v>
      </c>
      <c r="AK9" s="423"/>
      <c r="AL9" s="424"/>
      <c r="AM9" s="422" t="s">
        <v>156</v>
      </c>
      <c r="AN9" s="423"/>
      <c r="AO9" s="424"/>
      <c r="AP9" s="422" t="s">
        <v>348</v>
      </c>
      <c r="AQ9" s="423"/>
      <c r="AR9" s="424"/>
      <c r="AS9" s="422" t="s">
        <v>157</v>
      </c>
      <c r="AT9" s="423"/>
      <c r="AU9" s="424"/>
      <c r="AV9" s="422" t="s">
        <v>158</v>
      </c>
      <c r="AW9" s="423"/>
      <c r="AX9" s="424"/>
      <c r="AY9" s="422" t="s">
        <v>257</v>
      </c>
      <c r="AZ9" s="423"/>
      <c r="BA9" s="424"/>
      <c r="BB9" s="422" t="s">
        <v>358</v>
      </c>
      <c r="BC9" s="423"/>
      <c r="BD9" s="424"/>
      <c r="BE9" s="422" t="s">
        <v>159</v>
      </c>
      <c r="BF9" s="423"/>
      <c r="BG9" s="424"/>
      <c r="BH9" s="422" t="s">
        <v>160</v>
      </c>
      <c r="BI9" s="423"/>
      <c r="BJ9" s="424"/>
      <c r="BK9" s="422" t="s">
        <v>286</v>
      </c>
      <c r="BL9" s="423"/>
      <c r="BM9" s="424"/>
      <c r="BN9" s="422" t="s">
        <v>253</v>
      </c>
      <c r="BO9" s="423"/>
      <c r="BP9" s="424"/>
      <c r="BQ9" s="422" t="s">
        <v>161</v>
      </c>
      <c r="BR9" s="423"/>
      <c r="BS9" s="424"/>
      <c r="BT9" s="422" t="s">
        <v>162</v>
      </c>
      <c r="BU9" s="423"/>
      <c r="BV9" s="424"/>
      <c r="BW9" s="425" t="s">
        <v>163</v>
      </c>
      <c r="BX9" s="426"/>
      <c r="BY9" s="426"/>
      <c r="BZ9" s="431"/>
      <c r="CA9" s="431"/>
      <c r="CB9" s="431"/>
      <c r="CC9" s="422" t="s">
        <v>349</v>
      </c>
      <c r="CD9" s="423"/>
      <c r="CE9" s="424"/>
      <c r="CF9" s="422" t="s">
        <v>350</v>
      </c>
      <c r="CG9" s="423"/>
      <c r="CH9" s="424"/>
      <c r="CI9" s="422" t="s">
        <v>164</v>
      </c>
      <c r="CJ9" s="423"/>
      <c r="CK9" s="424"/>
      <c r="CL9" s="422" t="s">
        <v>165</v>
      </c>
      <c r="CM9" s="423"/>
      <c r="CN9" s="424"/>
      <c r="CO9" s="422" t="s">
        <v>24</v>
      </c>
      <c r="CP9" s="423"/>
      <c r="CQ9" s="424"/>
      <c r="CR9" s="422" t="s">
        <v>303</v>
      </c>
      <c r="CS9" s="423"/>
      <c r="CT9" s="424"/>
      <c r="CU9" s="422" t="s">
        <v>351</v>
      </c>
      <c r="CV9" s="423"/>
      <c r="CW9" s="424"/>
      <c r="CX9" s="425"/>
      <c r="CY9" s="426"/>
      <c r="CZ9" s="427"/>
      <c r="DA9" s="422" t="s">
        <v>271</v>
      </c>
      <c r="DB9" s="423"/>
      <c r="DC9" s="424"/>
      <c r="DD9" s="431" t="s">
        <v>166</v>
      </c>
      <c r="DE9" s="431"/>
      <c r="DF9" s="431"/>
      <c r="DG9" s="425"/>
      <c r="DH9" s="426"/>
      <c r="DI9" s="427"/>
      <c r="DJ9" s="432" t="s">
        <v>167</v>
      </c>
      <c r="DK9" s="433"/>
      <c r="DL9" s="434"/>
      <c r="DM9" s="441" t="s">
        <v>144</v>
      </c>
      <c r="DN9" s="442"/>
      <c r="DO9" s="442"/>
      <c r="DP9" s="442"/>
      <c r="DQ9" s="442"/>
      <c r="DR9" s="442"/>
      <c r="DS9" s="442"/>
      <c r="DT9" s="442"/>
      <c r="DU9" s="442"/>
      <c r="DV9" s="442"/>
      <c r="DW9" s="442"/>
      <c r="DX9" s="443"/>
      <c r="DY9" s="432" t="s">
        <v>168</v>
      </c>
      <c r="DZ9" s="433"/>
      <c r="EA9" s="434"/>
      <c r="EB9" s="432" t="s">
        <v>169</v>
      </c>
      <c r="EC9" s="433"/>
      <c r="ED9" s="434"/>
      <c r="EE9" s="432" t="s">
        <v>170</v>
      </c>
      <c r="EF9" s="433"/>
      <c r="EG9" s="434"/>
      <c r="EH9" s="432" t="s">
        <v>171</v>
      </c>
      <c r="EI9" s="433"/>
      <c r="EJ9" s="434"/>
      <c r="EK9" s="422" t="s">
        <v>297</v>
      </c>
      <c r="EL9" s="423"/>
      <c r="EM9" s="424"/>
      <c r="EN9" s="422" t="s">
        <v>172</v>
      </c>
      <c r="EO9" s="423"/>
      <c r="EP9" s="424"/>
      <c r="EQ9" s="422" t="s">
        <v>329</v>
      </c>
      <c r="ER9" s="423"/>
      <c r="ES9" s="424"/>
      <c r="ET9" s="431" t="s">
        <v>299</v>
      </c>
      <c r="EU9" s="431"/>
      <c r="EV9" s="431"/>
      <c r="EW9" s="425"/>
      <c r="EX9" s="426"/>
      <c r="EY9" s="427"/>
    </row>
    <row r="10" spans="1:159" s="169" customFormat="1" ht="15" customHeight="1">
      <c r="A10" s="431"/>
      <c r="B10" s="431"/>
      <c r="C10" s="425"/>
      <c r="D10" s="426"/>
      <c r="E10" s="427"/>
      <c r="F10" s="425"/>
      <c r="G10" s="426"/>
      <c r="H10" s="427"/>
      <c r="I10" s="425"/>
      <c r="J10" s="426"/>
      <c r="K10" s="427"/>
      <c r="L10" s="425"/>
      <c r="M10" s="426"/>
      <c r="N10" s="427"/>
      <c r="O10" s="425"/>
      <c r="P10" s="426"/>
      <c r="Q10" s="427"/>
      <c r="R10" s="425"/>
      <c r="S10" s="426"/>
      <c r="T10" s="427"/>
      <c r="U10" s="425"/>
      <c r="V10" s="426"/>
      <c r="W10" s="427"/>
      <c r="X10" s="425"/>
      <c r="Y10" s="426"/>
      <c r="Z10" s="427"/>
      <c r="AA10" s="425"/>
      <c r="AB10" s="426"/>
      <c r="AC10" s="427"/>
      <c r="AD10" s="425"/>
      <c r="AE10" s="426"/>
      <c r="AF10" s="427"/>
      <c r="AG10" s="431"/>
      <c r="AH10" s="431"/>
      <c r="AI10" s="431"/>
      <c r="AJ10" s="425"/>
      <c r="AK10" s="426"/>
      <c r="AL10" s="427"/>
      <c r="AM10" s="425"/>
      <c r="AN10" s="426"/>
      <c r="AO10" s="427"/>
      <c r="AP10" s="425"/>
      <c r="AQ10" s="426"/>
      <c r="AR10" s="427"/>
      <c r="AS10" s="425"/>
      <c r="AT10" s="426"/>
      <c r="AU10" s="427"/>
      <c r="AV10" s="425"/>
      <c r="AW10" s="426"/>
      <c r="AX10" s="427"/>
      <c r="AY10" s="425"/>
      <c r="AZ10" s="426"/>
      <c r="BA10" s="427"/>
      <c r="BB10" s="425"/>
      <c r="BC10" s="426"/>
      <c r="BD10" s="427"/>
      <c r="BE10" s="425"/>
      <c r="BF10" s="426"/>
      <c r="BG10" s="427"/>
      <c r="BH10" s="425"/>
      <c r="BI10" s="426"/>
      <c r="BJ10" s="427"/>
      <c r="BK10" s="425"/>
      <c r="BL10" s="426"/>
      <c r="BM10" s="427"/>
      <c r="BN10" s="425"/>
      <c r="BO10" s="426"/>
      <c r="BP10" s="427"/>
      <c r="BQ10" s="425"/>
      <c r="BR10" s="426"/>
      <c r="BS10" s="427"/>
      <c r="BT10" s="425"/>
      <c r="BU10" s="426"/>
      <c r="BV10" s="427"/>
      <c r="BW10" s="425"/>
      <c r="BX10" s="426"/>
      <c r="BY10" s="426"/>
      <c r="BZ10" s="431"/>
      <c r="CA10" s="431"/>
      <c r="CB10" s="431"/>
      <c r="CC10" s="425"/>
      <c r="CD10" s="426"/>
      <c r="CE10" s="427"/>
      <c r="CF10" s="425"/>
      <c r="CG10" s="426"/>
      <c r="CH10" s="427"/>
      <c r="CI10" s="425"/>
      <c r="CJ10" s="426"/>
      <c r="CK10" s="427"/>
      <c r="CL10" s="425"/>
      <c r="CM10" s="426"/>
      <c r="CN10" s="427"/>
      <c r="CO10" s="425"/>
      <c r="CP10" s="426"/>
      <c r="CQ10" s="427"/>
      <c r="CR10" s="425"/>
      <c r="CS10" s="426"/>
      <c r="CT10" s="427"/>
      <c r="CU10" s="425"/>
      <c r="CV10" s="426"/>
      <c r="CW10" s="427"/>
      <c r="CX10" s="425"/>
      <c r="CY10" s="426"/>
      <c r="CZ10" s="427"/>
      <c r="DA10" s="425"/>
      <c r="DB10" s="426"/>
      <c r="DC10" s="427"/>
      <c r="DD10" s="431"/>
      <c r="DE10" s="431"/>
      <c r="DF10" s="431"/>
      <c r="DG10" s="425"/>
      <c r="DH10" s="426"/>
      <c r="DI10" s="427"/>
      <c r="DJ10" s="435"/>
      <c r="DK10" s="436"/>
      <c r="DL10" s="437"/>
      <c r="DM10" s="317"/>
      <c r="DN10" s="318"/>
      <c r="DO10" s="318"/>
      <c r="DP10" s="320"/>
      <c r="DQ10" s="320"/>
      <c r="DR10" s="320"/>
      <c r="DS10" s="318"/>
      <c r="DT10" s="318"/>
      <c r="DU10" s="318"/>
      <c r="DV10" s="318"/>
      <c r="DW10" s="318"/>
      <c r="DX10" s="319"/>
      <c r="DY10" s="435"/>
      <c r="DZ10" s="436"/>
      <c r="EA10" s="437"/>
      <c r="EB10" s="435"/>
      <c r="EC10" s="436"/>
      <c r="ED10" s="437"/>
      <c r="EE10" s="435"/>
      <c r="EF10" s="436"/>
      <c r="EG10" s="437"/>
      <c r="EH10" s="435"/>
      <c r="EI10" s="436"/>
      <c r="EJ10" s="437"/>
      <c r="EK10" s="425"/>
      <c r="EL10" s="426"/>
      <c r="EM10" s="427"/>
      <c r="EN10" s="425"/>
      <c r="EO10" s="426"/>
      <c r="EP10" s="427"/>
      <c r="EQ10" s="425"/>
      <c r="ER10" s="426"/>
      <c r="ES10" s="427"/>
      <c r="ET10" s="431"/>
      <c r="EU10" s="431"/>
      <c r="EV10" s="431"/>
      <c r="EW10" s="425"/>
      <c r="EX10" s="426"/>
      <c r="EY10" s="427"/>
    </row>
    <row r="11" spans="1:159" s="169" customFormat="1" ht="177.75" customHeight="1">
      <c r="A11" s="431"/>
      <c r="B11" s="431"/>
      <c r="C11" s="428"/>
      <c r="D11" s="429"/>
      <c r="E11" s="455"/>
      <c r="F11" s="428"/>
      <c r="G11" s="429"/>
      <c r="H11" s="430"/>
      <c r="I11" s="428"/>
      <c r="J11" s="429"/>
      <c r="K11" s="430"/>
      <c r="L11" s="428"/>
      <c r="M11" s="429"/>
      <c r="N11" s="430"/>
      <c r="O11" s="428"/>
      <c r="P11" s="429"/>
      <c r="Q11" s="430"/>
      <c r="R11" s="428"/>
      <c r="S11" s="429"/>
      <c r="T11" s="430"/>
      <c r="U11" s="428"/>
      <c r="V11" s="429"/>
      <c r="W11" s="430"/>
      <c r="X11" s="428"/>
      <c r="Y11" s="429"/>
      <c r="Z11" s="430"/>
      <c r="AA11" s="428"/>
      <c r="AB11" s="429"/>
      <c r="AC11" s="430"/>
      <c r="AD11" s="428"/>
      <c r="AE11" s="429"/>
      <c r="AF11" s="430"/>
      <c r="AG11" s="431"/>
      <c r="AH11" s="431"/>
      <c r="AI11" s="431"/>
      <c r="AJ11" s="428"/>
      <c r="AK11" s="429"/>
      <c r="AL11" s="430"/>
      <c r="AM11" s="428"/>
      <c r="AN11" s="429"/>
      <c r="AO11" s="430"/>
      <c r="AP11" s="428"/>
      <c r="AQ11" s="429"/>
      <c r="AR11" s="430"/>
      <c r="AS11" s="428"/>
      <c r="AT11" s="429"/>
      <c r="AU11" s="430"/>
      <c r="AV11" s="428"/>
      <c r="AW11" s="429"/>
      <c r="AX11" s="430"/>
      <c r="AY11" s="428"/>
      <c r="AZ11" s="429"/>
      <c r="BA11" s="430"/>
      <c r="BB11" s="428"/>
      <c r="BC11" s="429"/>
      <c r="BD11" s="430"/>
      <c r="BE11" s="428"/>
      <c r="BF11" s="429"/>
      <c r="BG11" s="430"/>
      <c r="BH11" s="428"/>
      <c r="BI11" s="429"/>
      <c r="BJ11" s="430"/>
      <c r="BK11" s="428"/>
      <c r="BL11" s="429"/>
      <c r="BM11" s="430"/>
      <c r="BN11" s="428"/>
      <c r="BO11" s="429"/>
      <c r="BP11" s="430"/>
      <c r="BQ11" s="428"/>
      <c r="BR11" s="429"/>
      <c r="BS11" s="430"/>
      <c r="BT11" s="428"/>
      <c r="BU11" s="429"/>
      <c r="BV11" s="430"/>
      <c r="BW11" s="428"/>
      <c r="BX11" s="429"/>
      <c r="BY11" s="429"/>
      <c r="BZ11" s="431"/>
      <c r="CA11" s="431"/>
      <c r="CB11" s="431"/>
      <c r="CC11" s="428"/>
      <c r="CD11" s="429"/>
      <c r="CE11" s="430"/>
      <c r="CF11" s="428"/>
      <c r="CG11" s="429"/>
      <c r="CH11" s="430"/>
      <c r="CI11" s="428"/>
      <c r="CJ11" s="429"/>
      <c r="CK11" s="430"/>
      <c r="CL11" s="428"/>
      <c r="CM11" s="429"/>
      <c r="CN11" s="430"/>
      <c r="CO11" s="428"/>
      <c r="CP11" s="429"/>
      <c r="CQ11" s="430"/>
      <c r="CR11" s="428"/>
      <c r="CS11" s="429"/>
      <c r="CT11" s="430"/>
      <c r="CU11" s="428"/>
      <c r="CV11" s="429"/>
      <c r="CW11" s="430"/>
      <c r="CX11" s="428"/>
      <c r="CY11" s="429"/>
      <c r="CZ11" s="430"/>
      <c r="DA11" s="428"/>
      <c r="DB11" s="429"/>
      <c r="DC11" s="430"/>
      <c r="DD11" s="431"/>
      <c r="DE11" s="431"/>
      <c r="DF11" s="431"/>
      <c r="DG11" s="428"/>
      <c r="DH11" s="429"/>
      <c r="DI11" s="430"/>
      <c r="DJ11" s="438"/>
      <c r="DK11" s="439"/>
      <c r="DL11" s="440"/>
      <c r="DM11" s="438" t="s">
        <v>173</v>
      </c>
      <c r="DN11" s="439"/>
      <c r="DO11" s="440"/>
      <c r="DP11" s="441" t="s">
        <v>174</v>
      </c>
      <c r="DQ11" s="442"/>
      <c r="DR11" s="443"/>
      <c r="DS11" s="438" t="s">
        <v>175</v>
      </c>
      <c r="DT11" s="439"/>
      <c r="DU11" s="440"/>
      <c r="DV11" s="438" t="s">
        <v>250</v>
      </c>
      <c r="DW11" s="439"/>
      <c r="DX11" s="440"/>
      <c r="DY11" s="438"/>
      <c r="DZ11" s="439"/>
      <c r="EA11" s="440"/>
      <c r="EB11" s="438"/>
      <c r="EC11" s="439"/>
      <c r="ED11" s="440"/>
      <c r="EE11" s="438"/>
      <c r="EF11" s="439"/>
      <c r="EG11" s="440"/>
      <c r="EH11" s="438"/>
      <c r="EI11" s="439"/>
      <c r="EJ11" s="440"/>
      <c r="EK11" s="428"/>
      <c r="EL11" s="429"/>
      <c r="EM11" s="430"/>
      <c r="EN11" s="428"/>
      <c r="EO11" s="429"/>
      <c r="EP11" s="430"/>
      <c r="EQ11" s="428"/>
      <c r="ER11" s="429"/>
      <c r="ES11" s="430"/>
      <c r="ET11" s="431"/>
      <c r="EU11" s="431"/>
      <c r="EV11" s="431"/>
      <c r="EW11" s="428"/>
      <c r="EX11" s="429"/>
      <c r="EY11" s="430"/>
      <c r="FA11" s="174"/>
      <c r="FB11" s="174"/>
      <c r="FC11" s="174"/>
    </row>
    <row r="12" spans="1:159" s="169" customFormat="1" ht="42.75" customHeight="1">
      <c r="A12" s="431"/>
      <c r="B12" s="431"/>
      <c r="C12" s="177" t="s">
        <v>176</v>
      </c>
      <c r="D12" s="178" t="s">
        <v>177</v>
      </c>
      <c r="E12" s="177" t="s">
        <v>178</v>
      </c>
      <c r="F12" s="177" t="s">
        <v>176</v>
      </c>
      <c r="G12" s="177" t="s">
        <v>177</v>
      </c>
      <c r="H12" s="177" t="s">
        <v>178</v>
      </c>
      <c r="I12" s="177" t="s">
        <v>176</v>
      </c>
      <c r="J12" s="177" t="s">
        <v>177</v>
      </c>
      <c r="K12" s="177" t="s">
        <v>178</v>
      </c>
      <c r="L12" s="177" t="s">
        <v>176</v>
      </c>
      <c r="M12" s="177" t="s">
        <v>177</v>
      </c>
      <c r="N12" s="177" t="s">
        <v>178</v>
      </c>
      <c r="O12" s="177" t="s">
        <v>176</v>
      </c>
      <c r="P12" s="177" t="s">
        <v>177</v>
      </c>
      <c r="Q12" s="177" t="s">
        <v>178</v>
      </c>
      <c r="R12" s="177" t="s">
        <v>176</v>
      </c>
      <c r="S12" s="177" t="s">
        <v>177</v>
      </c>
      <c r="T12" s="177" t="s">
        <v>178</v>
      </c>
      <c r="U12" s="177" t="s">
        <v>176</v>
      </c>
      <c r="V12" s="177" t="s">
        <v>177</v>
      </c>
      <c r="W12" s="177" t="s">
        <v>178</v>
      </c>
      <c r="X12" s="177" t="s">
        <v>176</v>
      </c>
      <c r="Y12" s="177" t="s">
        <v>177</v>
      </c>
      <c r="Z12" s="177" t="s">
        <v>178</v>
      </c>
      <c r="AA12" s="177" t="s">
        <v>176</v>
      </c>
      <c r="AB12" s="177" t="s">
        <v>177</v>
      </c>
      <c r="AC12" s="177" t="s">
        <v>178</v>
      </c>
      <c r="AD12" s="177" t="s">
        <v>176</v>
      </c>
      <c r="AE12" s="177" t="s">
        <v>177</v>
      </c>
      <c r="AF12" s="177" t="s">
        <v>178</v>
      </c>
      <c r="AG12" s="177" t="s">
        <v>176</v>
      </c>
      <c r="AH12" s="177" t="s">
        <v>177</v>
      </c>
      <c r="AI12" s="177" t="s">
        <v>178</v>
      </c>
      <c r="AJ12" s="177" t="s">
        <v>176</v>
      </c>
      <c r="AK12" s="177" t="s">
        <v>177</v>
      </c>
      <c r="AL12" s="177" t="s">
        <v>178</v>
      </c>
      <c r="AM12" s="177" t="s">
        <v>176</v>
      </c>
      <c r="AN12" s="177" t="s">
        <v>177</v>
      </c>
      <c r="AO12" s="177" t="s">
        <v>178</v>
      </c>
      <c r="AP12" s="177" t="s">
        <v>176</v>
      </c>
      <c r="AQ12" s="177" t="s">
        <v>177</v>
      </c>
      <c r="AR12" s="177" t="s">
        <v>178</v>
      </c>
      <c r="AS12" s="177" t="s">
        <v>176</v>
      </c>
      <c r="AT12" s="177" t="s">
        <v>177</v>
      </c>
      <c r="AU12" s="177" t="s">
        <v>178</v>
      </c>
      <c r="AV12" s="177" t="s">
        <v>176</v>
      </c>
      <c r="AW12" s="177" t="s">
        <v>177</v>
      </c>
      <c r="AX12" s="177" t="s">
        <v>178</v>
      </c>
      <c r="AY12" s="177" t="s">
        <v>176</v>
      </c>
      <c r="AZ12" s="177" t="s">
        <v>177</v>
      </c>
      <c r="BA12" s="177" t="s">
        <v>178</v>
      </c>
      <c r="BB12" s="177"/>
      <c r="BC12" s="177"/>
      <c r="BD12" s="177"/>
      <c r="BE12" s="177" t="s">
        <v>179</v>
      </c>
      <c r="BF12" s="177" t="s">
        <v>177</v>
      </c>
      <c r="BG12" s="177" t="s">
        <v>178</v>
      </c>
      <c r="BH12" s="177" t="s">
        <v>176</v>
      </c>
      <c r="BI12" s="177" t="s">
        <v>177</v>
      </c>
      <c r="BJ12" s="177" t="s">
        <v>178</v>
      </c>
      <c r="BK12" s="177" t="s">
        <v>176</v>
      </c>
      <c r="BL12" s="177" t="s">
        <v>177</v>
      </c>
      <c r="BM12" s="177" t="s">
        <v>178</v>
      </c>
      <c r="BN12" s="177" t="s">
        <v>179</v>
      </c>
      <c r="BO12" s="177" t="s">
        <v>177</v>
      </c>
      <c r="BP12" s="177" t="s">
        <v>178</v>
      </c>
      <c r="BQ12" s="177" t="s">
        <v>179</v>
      </c>
      <c r="BR12" s="177" t="s">
        <v>177</v>
      </c>
      <c r="BS12" s="177" t="s">
        <v>178</v>
      </c>
      <c r="BT12" s="177" t="s">
        <v>179</v>
      </c>
      <c r="BU12" s="177" t="s">
        <v>177</v>
      </c>
      <c r="BV12" s="177" t="s">
        <v>178</v>
      </c>
      <c r="BW12" s="177" t="s">
        <v>179</v>
      </c>
      <c r="BX12" s="177" t="s">
        <v>177</v>
      </c>
      <c r="BY12" s="177" t="s">
        <v>178</v>
      </c>
      <c r="BZ12" s="177" t="s">
        <v>176</v>
      </c>
      <c r="CA12" s="177" t="s">
        <v>177</v>
      </c>
      <c r="CB12" s="177" t="s">
        <v>178</v>
      </c>
      <c r="CC12" s="177" t="s">
        <v>176</v>
      </c>
      <c r="CD12" s="177" t="s">
        <v>177</v>
      </c>
      <c r="CE12" s="177" t="s">
        <v>178</v>
      </c>
      <c r="CF12" s="177" t="s">
        <v>176</v>
      </c>
      <c r="CG12" s="177" t="s">
        <v>177</v>
      </c>
      <c r="CH12" s="177" t="s">
        <v>178</v>
      </c>
      <c r="CI12" s="177" t="s">
        <v>176</v>
      </c>
      <c r="CJ12" s="177" t="s">
        <v>177</v>
      </c>
      <c r="CK12" s="177" t="s">
        <v>178</v>
      </c>
      <c r="CL12" s="177" t="s">
        <v>176</v>
      </c>
      <c r="CM12" s="177" t="s">
        <v>177</v>
      </c>
      <c r="CN12" s="177" t="s">
        <v>178</v>
      </c>
      <c r="CO12" s="177" t="s">
        <v>176</v>
      </c>
      <c r="CP12" s="177" t="s">
        <v>177</v>
      </c>
      <c r="CQ12" s="177" t="s">
        <v>178</v>
      </c>
      <c r="CR12" s="177" t="s">
        <v>176</v>
      </c>
      <c r="CS12" s="177" t="s">
        <v>177</v>
      </c>
      <c r="CT12" s="177" t="s">
        <v>178</v>
      </c>
      <c r="CU12" s="177" t="s">
        <v>176</v>
      </c>
      <c r="CV12" s="177" t="s">
        <v>177</v>
      </c>
      <c r="CW12" s="177" t="s">
        <v>178</v>
      </c>
      <c r="CX12" s="177" t="s">
        <v>176</v>
      </c>
      <c r="CY12" s="177" t="s">
        <v>177</v>
      </c>
      <c r="CZ12" s="177" t="s">
        <v>178</v>
      </c>
      <c r="DA12" s="177" t="s">
        <v>176</v>
      </c>
      <c r="DB12" s="177" t="s">
        <v>177</v>
      </c>
      <c r="DC12" s="177" t="s">
        <v>178</v>
      </c>
      <c r="DD12" s="177" t="s">
        <v>176</v>
      </c>
      <c r="DE12" s="177" t="s">
        <v>177</v>
      </c>
      <c r="DF12" s="177" t="s">
        <v>178</v>
      </c>
      <c r="DG12" s="177" t="s">
        <v>176</v>
      </c>
      <c r="DH12" s="177" t="s">
        <v>177</v>
      </c>
      <c r="DI12" s="177" t="s">
        <v>178</v>
      </c>
      <c r="DJ12" s="177" t="s">
        <v>176</v>
      </c>
      <c r="DK12" s="177" t="s">
        <v>177</v>
      </c>
      <c r="DL12" s="177" t="s">
        <v>178</v>
      </c>
      <c r="DM12" s="177" t="s">
        <v>176</v>
      </c>
      <c r="DN12" s="177" t="s">
        <v>177</v>
      </c>
      <c r="DO12" s="177" t="s">
        <v>178</v>
      </c>
      <c r="DP12" s="177" t="s">
        <v>176</v>
      </c>
      <c r="DQ12" s="177" t="s">
        <v>177</v>
      </c>
      <c r="DR12" s="177" t="s">
        <v>178</v>
      </c>
      <c r="DS12" s="177" t="s">
        <v>176</v>
      </c>
      <c r="DT12" s="177" t="s">
        <v>177</v>
      </c>
      <c r="DU12" s="177" t="s">
        <v>178</v>
      </c>
      <c r="DV12" s="177" t="s">
        <v>176</v>
      </c>
      <c r="DW12" s="177" t="s">
        <v>177</v>
      </c>
      <c r="DX12" s="177" t="s">
        <v>178</v>
      </c>
      <c r="DY12" s="177" t="s">
        <v>176</v>
      </c>
      <c r="DZ12" s="177" t="s">
        <v>177</v>
      </c>
      <c r="EA12" s="177" t="s">
        <v>178</v>
      </c>
      <c r="EB12" s="177" t="s">
        <v>176</v>
      </c>
      <c r="EC12" s="177" t="s">
        <v>177</v>
      </c>
      <c r="ED12" s="177" t="s">
        <v>178</v>
      </c>
      <c r="EE12" s="177" t="s">
        <v>176</v>
      </c>
      <c r="EF12" s="177" t="s">
        <v>177</v>
      </c>
      <c r="EG12" s="177" t="s">
        <v>178</v>
      </c>
      <c r="EH12" s="177" t="s">
        <v>176</v>
      </c>
      <c r="EI12" s="177" t="s">
        <v>177</v>
      </c>
      <c r="EJ12" s="177" t="s">
        <v>178</v>
      </c>
      <c r="EK12" s="177" t="s">
        <v>176</v>
      </c>
      <c r="EL12" s="177" t="s">
        <v>177</v>
      </c>
      <c r="EM12" s="177" t="s">
        <v>178</v>
      </c>
      <c r="EN12" s="177" t="s">
        <v>176</v>
      </c>
      <c r="EO12" s="177" t="s">
        <v>177</v>
      </c>
      <c r="EP12" s="177" t="s">
        <v>178</v>
      </c>
      <c r="EQ12" s="177" t="s">
        <v>176</v>
      </c>
      <c r="ER12" s="177" t="s">
        <v>177</v>
      </c>
      <c r="ES12" s="177" t="s">
        <v>178</v>
      </c>
      <c r="ET12" s="177" t="s">
        <v>176</v>
      </c>
      <c r="EU12" s="177" t="s">
        <v>177</v>
      </c>
      <c r="EV12" s="177" t="s">
        <v>178</v>
      </c>
      <c r="EW12" s="177" t="s">
        <v>176</v>
      </c>
      <c r="EX12" s="177" t="s">
        <v>177</v>
      </c>
      <c r="EY12" s="177" t="s">
        <v>178</v>
      </c>
      <c r="FA12" s="174"/>
      <c r="FB12" s="174"/>
      <c r="FC12" s="174"/>
    </row>
    <row r="13" spans="1:159" s="169" customFormat="1" ht="14.25" customHeight="1">
      <c r="A13" s="165">
        <v>1</v>
      </c>
      <c r="B13" s="177">
        <v>2</v>
      </c>
      <c r="C13" s="165">
        <v>3</v>
      </c>
      <c r="D13" s="178">
        <v>4</v>
      </c>
      <c r="E13" s="165">
        <v>5</v>
      </c>
      <c r="F13" s="177">
        <v>6</v>
      </c>
      <c r="G13" s="165">
        <v>7</v>
      </c>
      <c r="H13" s="177">
        <v>8</v>
      </c>
      <c r="I13" s="165">
        <v>9</v>
      </c>
      <c r="J13" s="177">
        <v>10</v>
      </c>
      <c r="K13" s="165">
        <v>11</v>
      </c>
      <c r="L13" s="165">
        <v>12</v>
      </c>
      <c r="M13" s="165">
        <v>13</v>
      </c>
      <c r="N13" s="165">
        <v>14</v>
      </c>
      <c r="O13" s="165">
        <v>15</v>
      </c>
      <c r="P13" s="165">
        <v>16</v>
      </c>
      <c r="Q13" s="165">
        <v>17</v>
      </c>
      <c r="R13" s="165">
        <v>18</v>
      </c>
      <c r="S13" s="165">
        <v>19</v>
      </c>
      <c r="T13" s="165">
        <v>20</v>
      </c>
      <c r="U13" s="165">
        <v>21</v>
      </c>
      <c r="V13" s="165">
        <v>22</v>
      </c>
      <c r="W13" s="165">
        <v>23</v>
      </c>
      <c r="X13" s="177">
        <v>24</v>
      </c>
      <c r="Y13" s="165">
        <v>25</v>
      </c>
      <c r="Z13" s="177">
        <v>26</v>
      </c>
      <c r="AA13" s="165">
        <v>27</v>
      </c>
      <c r="AB13" s="177">
        <v>28</v>
      </c>
      <c r="AC13" s="165">
        <v>29</v>
      </c>
      <c r="AD13" s="177">
        <v>30</v>
      </c>
      <c r="AE13" s="165">
        <v>31</v>
      </c>
      <c r="AF13" s="177">
        <v>32</v>
      </c>
      <c r="AG13" s="165">
        <v>33</v>
      </c>
      <c r="AH13" s="177">
        <v>34</v>
      </c>
      <c r="AI13" s="165">
        <v>35</v>
      </c>
      <c r="AJ13" s="165">
        <v>36</v>
      </c>
      <c r="AK13" s="165">
        <v>37</v>
      </c>
      <c r="AL13" s="165">
        <v>38</v>
      </c>
      <c r="AM13" s="177">
        <v>39</v>
      </c>
      <c r="AN13" s="165">
        <v>40</v>
      </c>
      <c r="AO13" s="177">
        <v>41</v>
      </c>
      <c r="AP13" s="165">
        <v>42</v>
      </c>
      <c r="AQ13" s="177">
        <v>43</v>
      </c>
      <c r="AR13" s="165">
        <v>44</v>
      </c>
      <c r="AS13" s="165">
        <v>45</v>
      </c>
      <c r="AT13" s="177">
        <v>46</v>
      </c>
      <c r="AU13" s="165">
        <v>47</v>
      </c>
      <c r="AV13" s="165">
        <v>48</v>
      </c>
      <c r="AW13" s="177">
        <v>49</v>
      </c>
      <c r="AX13" s="165">
        <v>50</v>
      </c>
      <c r="AY13" s="165">
        <v>48</v>
      </c>
      <c r="AZ13" s="177">
        <v>49</v>
      </c>
      <c r="BA13" s="165">
        <v>50</v>
      </c>
      <c r="BB13" s="165">
        <v>51</v>
      </c>
      <c r="BC13" s="165">
        <v>52</v>
      </c>
      <c r="BD13" s="165">
        <v>56</v>
      </c>
      <c r="BE13" s="177">
        <v>51</v>
      </c>
      <c r="BF13" s="165">
        <v>52</v>
      </c>
      <c r="BG13" s="177">
        <v>53</v>
      </c>
      <c r="BH13" s="165">
        <v>60</v>
      </c>
      <c r="BI13" s="179">
        <v>61</v>
      </c>
      <c r="BJ13" s="180">
        <v>62</v>
      </c>
      <c r="BK13" s="165">
        <v>63</v>
      </c>
      <c r="BL13" s="165">
        <v>64</v>
      </c>
      <c r="BM13" s="165">
        <v>65</v>
      </c>
      <c r="BN13" s="165">
        <v>66</v>
      </c>
      <c r="BO13" s="165">
        <v>67</v>
      </c>
      <c r="BP13" s="165">
        <v>68</v>
      </c>
      <c r="BQ13" s="177">
        <v>54</v>
      </c>
      <c r="BR13" s="165">
        <v>55</v>
      </c>
      <c r="BS13" s="177">
        <v>56</v>
      </c>
      <c r="BT13" s="165">
        <v>72</v>
      </c>
      <c r="BU13" s="177">
        <v>73</v>
      </c>
      <c r="BV13" s="165">
        <v>74</v>
      </c>
      <c r="BW13" s="177">
        <v>75</v>
      </c>
      <c r="BX13" s="165">
        <v>76</v>
      </c>
      <c r="BY13" s="177">
        <v>77</v>
      </c>
      <c r="BZ13" s="165">
        <v>57</v>
      </c>
      <c r="CA13" s="177">
        <v>58</v>
      </c>
      <c r="CB13" s="165">
        <v>59</v>
      </c>
      <c r="CC13" s="177">
        <v>60</v>
      </c>
      <c r="CD13" s="165">
        <v>61</v>
      </c>
      <c r="CE13" s="177">
        <v>62</v>
      </c>
      <c r="CF13" s="165">
        <v>63</v>
      </c>
      <c r="CG13" s="177">
        <v>64</v>
      </c>
      <c r="CH13" s="165">
        <v>65</v>
      </c>
      <c r="CI13" s="177">
        <v>66</v>
      </c>
      <c r="CJ13" s="165">
        <v>67</v>
      </c>
      <c r="CK13" s="177">
        <v>68</v>
      </c>
      <c r="CL13" s="165">
        <v>69</v>
      </c>
      <c r="CM13" s="177">
        <v>70</v>
      </c>
      <c r="CN13" s="165">
        <v>71</v>
      </c>
      <c r="CO13" s="165">
        <v>72</v>
      </c>
      <c r="CP13" s="165">
        <v>73</v>
      </c>
      <c r="CQ13" s="165">
        <v>74</v>
      </c>
      <c r="CR13" s="165">
        <v>75</v>
      </c>
      <c r="CS13" s="165">
        <v>76</v>
      </c>
      <c r="CT13" s="165">
        <v>77</v>
      </c>
      <c r="CU13" s="165">
        <v>78</v>
      </c>
      <c r="CV13" s="165">
        <v>79</v>
      </c>
      <c r="CW13" s="165">
        <v>80</v>
      </c>
      <c r="CX13" s="177">
        <v>96</v>
      </c>
      <c r="CY13" s="165">
        <v>97</v>
      </c>
      <c r="CZ13" s="177">
        <v>98</v>
      </c>
      <c r="DA13" s="177">
        <v>99</v>
      </c>
      <c r="DB13" s="177">
        <v>100</v>
      </c>
      <c r="DC13" s="177">
        <v>101</v>
      </c>
      <c r="DD13" s="177">
        <v>102</v>
      </c>
      <c r="DE13" s="177">
        <v>103</v>
      </c>
      <c r="DF13" s="177">
        <v>104</v>
      </c>
      <c r="DG13" s="165">
        <v>81</v>
      </c>
      <c r="DH13" s="177">
        <v>82</v>
      </c>
      <c r="DI13" s="165">
        <v>83</v>
      </c>
      <c r="DJ13" s="177">
        <v>84</v>
      </c>
      <c r="DK13" s="165">
        <v>85</v>
      </c>
      <c r="DL13" s="177">
        <v>86</v>
      </c>
      <c r="DM13" s="165">
        <v>87</v>
      </c>
      <c r="DN13" s="177">
        <v>88</v>
      </c>
      <c r="DO13" s="165">
        <v>89</v>
      </c>
      <c r="DP13" s="177">
        <v>90</v>
      </c>
      <c r="DQ13" s="165">
        <v>91</v>
      </c>
      <c r="DR13" s="177">
        <v>92</v>
      </c>
      <c r="DS13" s="165">
        <v>93</v>
      </c>
      <c r="DT13" s="177">
        <v>94</v>
      </c>
      <c r="DU13" s="165">
        <v>95</v>
      </c>
      <c r="DV13" s="177">
        <v>96</v>
      </c>
      <c r="DW13" s="177">
        <v>97</v>
      </c>
      <c r="DX13" s="177">
        <v>98</v>
      </c>
      <c r="DY13" s="165">
        <v>99</v>
      </c>
      <c r="DZ13" s="177">
        <v>100</v>
      </c>
      <c r="EA13" s="165">
        <v>101</v>
      </c>
      <c r="EB13" s="177">
        <v>102</v>
      </c>
      <c r="EC13" s="165">
        <v>103</v>
      </c>
      <c r="ED13" s="177">
        <v>104</v>
      </c>
      <c r="EE13" s="165">
        <v>105</v>
      </c>
      <c r="EF13" s="177">
        <v>106</v>
      </c>
      <c r="EG13" s="165">
        <v>107</v>
      </c>
      <c r="EH13" s="177">
        <v>108</v>
      </c>
      <c r="EI13" s="165">
        <v>109</v>
      </c>
      <c r="EJ13" s="177">
        <v>110</v>
      </c>
      <c r="EK13" s="165">
        <v>111</v>
      </c>
      <c r="EL13" s="177">
        <v>112</v>
      </c>
      <c r="EM13" s="165">
        <v>113</v>
      </c>
      <c r="EN13" s="177">
        <v>114</v>
      </c>
      <c r="EO13" s="165">
        <v>115</v>
      </c>
      <c r="EP13" s="177">
        <v>116</v>
      </c>
      <c r="EQ13" s="165">
        <v>117</v>
      </c>
      <c r="ER13" s="177">
        <v>118</v>
      </c>
      <c r="ES13" s="165">
        <v>119</v>
      </c>
      <c r="ET13" s="177">
        <v>120</v>
      </c>
      <c r="EU13" s="165">
        <v>121</v>
      </c>
      <c r="EV13" s="177">
        <v>122</v>
      </c>
      <c r="EW13" s="165">
        <v>123</v>
      </c>
      <c r="EX13" s="177">
        <v>124</v>
      </c>
      <c r="EY13" s="165">
        <v>125</v>
      </c>
    </row>
    <row r="14" spans="1:159" s="169" customFormat="1" ht="15" customHeight="1">
      <c r="A14" s="181">
        <v>1</v>
      </c>
      <c r="B14" s="182" t="s">
        <v>304</v>
      </c>
      <c r="C14" s="183">
        <f>F14+BZ14</f>
        <v>3485.1120000000001</v>
      </c>
      <c r="D14" s="404">
        <f t="shared" ref="D14:D29" si="0">G14+CA14+CY14</f>
        <v>2749.4089600000002</v>
      </c>
      <c r="E14" s="184">
        <f t="shared" ref="E14:E29" si="1">D14/C14*100</f>
        <v>78.890117735097192</v>
      </c>
      <c r="F14" s="185">
        <f t="shared" ref="F14:F29" si="2">I14+X14+AA14+AD14+AG14+AM14+AS14+BE14+BQ14+BN14+AJ14+AY14+L14+R14+O14+U14+AP14</f>
        <v>602.89</v>
      </c>
      <c r="G14" s="185">
        <f t="shared" ref="G14:G29" si="3">J14+Y14+AB14+AE14+AH14+AN14+AT14+BF14+AK14+BR14+BO14+AZ14+M14+S14+P14+V14+AQ14</f>
        <v>426.41254999999995</v>
      </c>
      <c r="H14" s="184">
        <f>G14/F14*100</f>
        <v>70.728084725240095</v>
      </c>
      <c r="I14" s="290">
        <f>Але!C6</f>
        <v>69</v>
      </c>
      <c r="J14" s="290">
        <f>Але!D6</f>
        <v>59.756959999999999</v>
      </c>
      <c r="K14" s="184">
        <f>J14/I14*100</f>
        <v>86.604289855072452</v>
      </c>
      <c r="L14" s="184">
        <f>Але!C8</f>
        <v>82.02</v>
      </c>
      <c r="M14" s="184">
        <f>Але!D8</f>
        <v>84.763149999999996</v>
      </c>
      <c r="N14" s="184">
        <f>M14/L14*100</f>
        <v>103.34448914898806</v>
      </c>
      <c r="O14" s="184">
        <f>Але!C9</f>
        <v>0.88</v>
      </c>
      <c r="P14" s="184">
        <f>Але!D9</f>
        <v>0.78644000000000003</v>
      </c>
      <c r="Q14" s="184">
        <f>P14/O14*100</f>
        <v>89.368181818181824</v>
      </c>
      <c r="R14" s="184">
        <f>Але!C10</f>
        <v>136.99</v>
      </c>
      <c r="S14" s="184">
        <f>Але!D10</f>
        <v>125.76927999999999</v>
      </c>
      <c r="T14" s="184">
        <f>S14/R14*100</f>
        <v>91.809095554420011</v>
      </c>
      <c r="U14" s="184">
        <f>Але!C11</f>
        <v>0</v>
      </c>
      <c r="V14" s="184">
        <f>Але!D11</f>
        <v>-19.146450000000002</v>
      </c>
      <c r="W14" s="184" t="e">
        <f>V14/U14*100</f>
        <v>#DIV/0!</v>
      </c>
      <c r="X14" s="186">
        <f>Але!C13</f>
        <v>5</v>
      </c>
      <c r="Y14" s="186">
        <f>Але!D13</f>
        <v>0</v>
      </c>
      <c r="Z14" s="184">
        <f>Y14/X14*100</f>
        <v>0</v>
      </c>
      <c r="AA14" s="186">
        <f>Але!C15</f>
        <v>40</v>
      </c>
      <c r="AB14" s="186">
        <f>Але!D15</f>
        <v>24.59571</v>
      </c>
      <c r="AC14" s="184">
        <f>AB14/AA14*100</f>
        <v>61.489274999999999</v>
      </c>
      <c r="AD14" s="186">
        <f>Але!C16</f>
        <v>210</v>
      </c>
      <c r="AE14" s="186">
        <f>Але!D16</f>
        <v>145.68745999999999</v>
      </c>
      <c r="AF14" s="184">
        <f t="shared" ref="AF14:AF29" si="4">AE14/AD14*100</f>
        <v>69.374980952380952</v>
      </c>
      <c r="AG14" s="184">
        <f>Але!C18</f>
        <v>3</v>
      </c>
      <c r="AH14" s="184">
        <f>Але!D18</f>
        <v>4.2</v>
      </c>
      <c r="AI14" s="184">
        <f>AH14/AG14*100</f>
        <v>140</v>
      </c>
      <c r="AJ14" s="184"/>
      <c r="AK14" s="184"/>
      <c r="AL14" s="187" t="e">
        <f t="shared" ref="AL14:AL23" si="5">AK14/AJ14*100</f>
        <v>#DIV/0!</v>
      </c>
      <c r="AM14" s="186">
        <v>0</v>
      </c>
      <c r="AN14" s="186">
        <v>0</v>
      </c>
      <c r="AO14" s="187" t="e">
        <f t="shared" ref="AO14:AO29" si="6">AN14/AM14*100</f>
        <v>#DIV/0!</v>
      </c>
      <c r="AP14" s="186">
        <f>Але!C27</f>
        <v>56</v>
      </c>
      <c r="AQ14" s="186">
        <f>Але!D27</f>
        <v>0</v>
      </c>
      <c r="AR14" s="184">
        <f>AQ14/AP14*100</f>
        <v>0</v>
      </c>
      <c r="AS14" s="188">
        <f>Але!C28</f>
        <v>0</v>
      </c>
      <c r="AT14" s="186">
        <f>Але!D28</f>
        <v>0</v>
      </c>
      <c r="AU14" s="184" t="e">
        <f>AT14/AS14*100</f>
        <v>#DIV/0!</v>
      </c>
      <c r="AV14" s="186"/>
      <c r="AW14" s="186"/>
      <c r="AX14" s="184" t="e">
        <f>AW14/AV14*100</f>
        <v>#DIV/0!</v>
      </c>
      <c r="AY14" s="184">
        <f>Але!C29</f>
        <v>0</v>
      </c>
      <c r="AZ14" s="184">
        <f>Але!C30</f>
        <v>0</v>
      </c>
      <c r="BA14" s="184" t="e">
        <f>AZ14/AY14*100</f>
        <v>#DIV/0!</v>
      </c>
      <c r="BB14" s="184">
        <f>Але!C30</f>
        <v>0</v>
      </c>
      <c r="BC14" s="184">
        <f>Але!D30</f>
        <v>0</v>
      </c>
      <c r="BD14" s="184" t="e">
        <f>BC14/BB14*100</f>
        <v>#DIV/0!</v>
      </c>
      <c r="BE14" s="184">
        <f>Але!C32</f>
        <v>0</v>
      </c>
      <c r="BF14" s="184">
        <f>Але!D31</f>
        <v>0</v>
      </c>
      <c r="BG14" s="184" t="e">
        <f>BF14/BE14*100</f>
        <v>#DIV/0!</v>
      </c>
      <c r="BH14" s="184"/>
      <c r="BI14" s="184"/>
      <c r="BJ14" s="184" t="e">
        <f>BI14/BH14*100</f>
        <v>#DIV/0!</v>
      </c>
      <c r="BK14" s="184"/>
      <c r="BL14" s="184"/>
      <c r="BM14" s="184"/>
      <c r="BN14" s="184"/>
      <c r="BO14" s="222"/>
      <c r="BP14" s="184" t="e">
        <f>BO14/BN14*100</f>
        <v>#DIV/0!</v>
      </c>
      <c r="BQ14" s="184">
        <f>Але!C34</f>
        <v>0</v>
      </c>
      <c r="BR14" s="184">
        <f>Але!D35</f>
        <v>0</v>
      </c>
      <c r="BS14" s="184" t="e">
        <f>BR14/BQ14*100</f>
        <v>#DIV/0!</v>
      </c>
      <c r="BT14" s="184"/>
      <c r="BU14" s="184"/>
      <c r="BV14" s="189" t="e">
        <f>BT14/BU14*100</f>
        <v>#DIV/0!</v>
      </c>
      <c r="BW14" s="189"/>
      <c r="BX14" s="189"/>
      <c r="BY14" s="189" t="e">
        <f>BW14/BX14*100</f>
        <v>#DIV/0!</v>
      </c>
      <c r="BZ14" s="186">
        <f>CC14+CF14+CI14+CL14+CR14+CO14</f>
        <v>2882.2220000000002</v>
      </c>
      <c r="CA14" s="186">
        <f>CD14+CG14+CJ14+CM14+CS14+CP14+CV14</f>
        <v>2322.9964100000002</v>
      </c>
      <c r="CB14" s="184">
        <f>CA14/BZ14*100</f>
        <v>80.597414425398185</v>
      </c>
      <c r="CC14" s="187">
        <f>Але!C39</f>
        <v>1200.0540000000001</v>
      </c>
      <c r="CD14" s="187">
        <f>Але!D39</f>
        <v>1059.1880000000001</v>
      </c>
      <c r="CE14" s="184">
        <f>CD14/CC14*100</f>
        <v>88.261694890396598</v>
      </c>
      <c r="CF14" s="184">
        <f>Але!C40</f>
        <v>816.60500000000002</v>
      </c>
      <c r="CG14" s="184">
        <f>Але!D40</f>
        <v>630</v>
      </c>
      <c r="CH14" s="184">
        <f>CG14/CF14*100</f>
        <v>77.148682655629102</v>
      </c>
      <c r="CI14" s="184">
        <f>Але!C41</f>
        <v>652.58699999999999</v>
      </c>
      <c r="CJ14" s="184">
        <f>Але!D41</f>
        <v>432.38</v>
      </c>
      <c r="CK14" s="184">
        <f t="shared" ref="CK14:CK29" si="7">CJ14/CI14*100</f>
        <v>66.256299926293352</v>
      </c>
      <c r="CL14" s="184">
        <f>Але!C42</f>
        <v>72.975999999999999</v>
      </c>
      <c r="CM14" s="184">
        <f>Але!D42</f>
        <v>70.596000000000004</v>
      </c>
      <c r="CN14" s="184">
        <f t="shared" ref="CN14:CN31" si="8">CM14/CL14*100</f>
        <v>96.73865380399036</v>
      </c>
      <c r="CO14" s="184"/>
      <c r="CP14" s="184"/>
      <c r="CQ14" s="184"/>
      <c r="CR14" s="184">
        <f>Але!C43</f>
        <v>140</v>
      </c>
      <c r="CS14" s="184">
        <f>Але!D43</f>
        <v>133</v>
      </c>
      <c r="CT14" s="184">
        <f t="shared" ref="CT14:CT31" si="9">CS14/CR14*100</f>
        <v>95</v>
      </c>
      <c r="CU14" s="184"/>
      <c r="CV14" s="184">
        <f>Але!D45</f>
        <v>-2.1675900000000001</v>
      </c>
      <c r="CW14" s="184" t="e">
        <f>CV13:CV14/CU14*100</f>
        <v>#DIV/0!</v>
      </c>
      <c r="CX14" s="186"/>
      <c r="CY14" s="186"/>
      <c r="CZ14" s="184" t="e">
        <f>CY14/CX14*100</f>
        <v>#DIV/0!</v>
      </c>
      <c r="DA14" s="184"/>
      <c r="DB14" s="184"/>
      <c r="DC14" s="184"/>
      <c r="DD14" s="184"/>
      <c r="DE14" s="184"/>
      <c r="DF14" s="184"/>
      <c r="DG14" s="186">
        <f>DJ14+DY14+EB14+EE14+EH14+EK14+EN14+EQ14+ET14</f>
        <v>3508.7475400000003</v>
      </c>
      <c r="DH14" s="186">
        <f>DK14+DZ14+EC14+EF14+EI14+EL14+EO14+ER14+EU14</f>
        <v>2723.5747599999995</v>
      </c>
      <c r="DI14" s="184">
        <f>DH14/DG14*100</f>
        <v>77.622420221205175</v>
      </c>
      <c r="DJ14" s="186">
        <f>DM14+DP14+DS14+DV14</f>
        <v>1072.2360000000001</v>
      </c>
      <c r="DK14" s="186">
        <f>DN14+DQ14+DT14+DW14</f>
        <v>832.62636999999995</v>
      </c>
      <c r="DL14" s="184">
        <f>DK14/DJ14*100</f>
        <v>77.653275025274269</v>
      </c>
      <c r="DM14" s="184">
        <f>Але!C54</f>
        <v>1064.854</v>
      </c>
      <c r="DN14" s="184">
        <f>Але!D54</f>
        <v>830.24486999999999</v>
      </c>
      <c r="DO14" s="184">
        <f>DN14/DM14*100</f>
        <v>77.967953353229632</v>
      </c>
      <c r="DP14" s="184">
        <f>Але!C57</f>
        <v>0</v>
      </c>
      <c r="DQ14" s="184">
        <f>Але!D57</f>
        <v>0</v>
      </c>
      <c r="DR14" s="184" t="e">
        <f>DQ14/DP14*100</f>
        <v>#DIV/0!</v>
      </c>
      <c r="DS14" s="184">
        <f>Але!C58</f>
        <v>5</v>
      </c>
      <c r="DT14" s="184">
        <f>Але!D58</f>
        <v>0</v>
      </c>
      <c r="DU14" s="184">
        <f>DT14/DS14*100</f>
        <v>0</v>
      </c>
      <c r="DV14" s="184">
        <f>Але!C59</f>
        <v>2.3820000000000001</v>
      </c>
      <c r="DW14" s="184">
        <f>Але!D59</f>
        <v>2.3815</v>
      </c>
      <c r="DX14" s="184">
        <f>DW14/DV14*100</f>
        <v>99.979009235936175</v>
      </c>
      <c r="DY14" s="184">
        <f>Але!C61</f>
        <v>70.596000000000004</v>
      </c>
      <c r="DZ14" s="184">
        <f>Але!D61</f>
        <v>64.371499999999997</v>
      </c>
      <c r="EA14" s="184">
        <f>DZ14/DY14*100</f>
        <v>91.182928211230092</v>
      </c>
      <c r="EB14" s="184">
        <f>Але!C62</f>
        <v>12.778</v>
      </c>
      <c r="EC14" s="184">
        <f>Але!D62</f>
        <v>7.8558299999999992</v>
      </c>
      <c r="ED14" s="184">
        <f>EC14/EB14*100</f>
        <v>61.479339489748</v>
      </c>
      <c r="EE14" s="186">
        <f>Але!C67</f>
        <v>1154.5965400000002</v>
      </c>
      <c r="EF14" s="186">
        <f>Але!D67</f>
        <v>800.9043099999999</v>
      </c>
      <c r="EG14" s="184">
        <f>EF14/EE14*100</f>
        <v>69.366595364992151</v>
      </c>
      <c r="EH14" s="186">
        <f>Але!C72</f>
        <v>328.041</v>
      </c>
      <c r="EI14" s="186">
        <f>Але!D72</f>
        <v>240.48075</v>
      </c>
      <c r="EJ14" s="184">
        <f>EI14/EH14*100</f>
        <v>73.308138311979292</v>
      </c>
      <c r="EK14" s="186">
        <f>Але!C76</f>
        <v>865.5</v>
      </c>
      <c r="EL14" s="190">
        <f>Але!D76</f>
        <v>773.48599999999999</v>
      </c>
      <c r="EM14" s="184">
        <f t="shared" ref="EM14:EM29" si="10">EL14/EK14*100</f>
        <v>89.368688619295199</v>
      </c>
      <c r="EN14" s="184">
        <f>Але!C78</f>
        <v>0</v>
      </c>
      <c r="EO14" s="184">
        <f>Але!D78</f>
        <v>0</v>
      </c>
      <c r="EP14" s="184" t="e">
        <f t="shared" ref="EP14:EP29" si="11">EO14/EN14*100</f>
        <v>#DIV/0!</v>
      </c>
      <c r="EQ14" s="185">
        <f>Але!C83</f>
        <v>5</v>
      </c>
      <c r="ER14" s="185">
        <f>Але!D83</f>
        <v>3.85</v>
      </c>
      <c r="ES14" s="184">
        <f>ER14/EQ14*100</f>
        <v>77</v>
      </c>
      <c r="ET14" s="184">
        <f>Але!C89</f>
        <v>0</v>
      </c>
      <c r="EU14" s="184">
        <f>Але!D89</f>
        <v>0</v>
      </c>
      <c r="EV14" s="184" t="e">
        <f>EU14/ET14*100</f>
        <v>#DIV/0!</v>
      </c>
      <c r="EW14" s="191">
        <f t="shared" ref="EW14:EW29" si="12">SUM(C14-DG14)</f>
        <v>-23.635540000000219</v>
      </c>
      <c r="EX14" s="191">
        <f t="shared" ref="EX14:EX29" si="13">SUM(D14-DH14)</f>
        <v>25.834200000000692</v>
      </c>
      <c r="EY14" s="184">
        <f>EX14/EW14*100%</f>
        <v>-1.0930234722794763</v>
      </c>
      <c r="EZ14" s="192"/>
      <c r="FA14" s="193"/>
      <c r="FC14" s="193"/>
    </row>
    <row r="15" spans="1:159" s="199" customFormat="1" ht="15" customHeight="1">
      <c r="A15" s="181">
        <v>2</v>
      </c>
      <c r="B15" s="194" t="s">
        <v>305</v>
      </c>
      <c r="C15" s="183">
        <f t="shared" ref="C15:C29" si="14">F15+BZ15</f>
        <v>10293.555</v>
      </c>
      <c r="D15" s="404">
        <f>G15+CA15+CY15</f>
        <v>8326.2780200000016</v>
      </c>
      <c r="E15" s="187">
        <f t="shared" si="1"/>
        <v>80.888264744298752</v>
      </c>
      <c r="F15" s="185">
        <f t="shared" si="2"/>
        <v>3711.2200000000003</v>
      </c>
      <c r="G15" s="185">
        <f>J15+Y15+AB15+AE15+AH15+AN15+AT15+BF15+AK15+BR15+BO15+AZ15+M15+S15+P15+V15+AQ15</f>
        <v>3325.6910500000008</v>
      </c>
      <c r="H15" s="187">
        <f t="shared" ref="H15:H29" si="15">G15/F15*100</f>
        <v>89.611800162749731</v>
      </c>
      <c r="I15" s="195">
        <f>Сун!C6</f>
        <v>482.9</v>
      </c>
      <c r="J15" s="195">
        <f>Сун!D6</f>
        <v>333.74031000000002</v>
      </c>
      <c r="K15" s="187">
        <f t="shared" ref="K15:K29" si="16">J15/I15*100</f>
        <v>69.111681507558515</v>
      </c>
      <c r="L15" s="187">
        <f>Сун!C8</f>
        <v>208.63</v>
      </c>
      <c r="M15" s="187">
        <f>Сун!D8</f>
        <v>215.61113</v>
      </c>
      <c r="N15" s="184">
        <f t="shared" ref="N15:N29" si="17">M15/L15*100</f>
        <v>103.34617744332071</v>
      </c>
      <c r="O15" s="184">
        <f>Сун!C9</f>
        <v>2.2000000000000002</v>
      </c>
      <c r="P15" s="184">
        <f>Сун!D9</f>
        <v>2.0004599999999999</v>
      </c>
      <c r="Q15" s="184">
        <f t="shared" ref="Q15:Q29" si="18">P15/O15*100</f>
        <v>90.929999999999993</v>
      </c>
      <c r="R15" s="184">
        <f>Сун!C10</f>
        <v>348.49</v>
      </c>
      <c r="S15" s="184">
        <f>Сун!D10</f>
        <v>319.91789999999997</v>
      </c>
      <c r="T15" s="184">
        <f t="shared" ref="T15:T29" si="19">S15/R15*100</f>
        <v>91.80117076530172</v>
      </c>
      <c r="U15" s="184">
        <f>Сун!C11</f>
        <v>0</v>
      </c>
      <c r="V15" s="184">
        <f>Сун!D11</f>
        <v>-48.702460000000002</v>
      </c>
      <c r="W15" s="184" t="e">
        <f t="shared" ref="W15:W29" si="20">V15/U15*100</f>
        <v>#DIV/0!</v>
      </c>
      <c r="X15" s="195">
        <f>Сун!C13</f>
        <v>40</v>
      </c>
      <c r="Y15" s="195">
        <f>Сун!D13</f>
        <v>23.733529999999998</v>
      </c>
      <c r="Z15" s="187">
        <f t="shared" ref="Z15:Z29" si="21">Y15/X15*100</f>
        <v>59.333824999999997</v>
      </c>
      <c r="AA15" s="195">
        <f>Сун!C15</f>
        <v>295</v>
      </c>
      <c r="AB15" s="195">
        <f>Сун!D15</f>
        <v>796.40683999999999</v>
      </c>
      <c r="AC15" s="187">
        <f t="shared" ref="AC15:AC29" si="22">AB15/AA15*100</f>
        <v>269.96842033898304</v>
      </c>
      <c r="AD15" s="195">
        <f>Сун!C16</f>
        <v>1250</v>
      </c>
      <c r="AE15" s="195">
        <f>Сун!D16</f>
        <v>840.25643000000002</v>
      </c>
      <c r="AF15" s="187">
        <f t="shared" si="4"/>
        <v>67.220514399999999</v>
      </c>
      <c r="AG15" s="187">
        <f>Сун!C18</f>
        <v>12</v>
      </c>
      <c r="AH15" s="187">
        <f>Сун!D18</f>
        <v>10.574999999999999</v>
      </c>
      <c r="AI15" s="187">
        <f t="shared" ref="AI15:AI31" si="23">AH15/AG15*100</f>
        <v>88.125</v>
      </c>
      <c r="AJ15" s="187"/>
      <c r="AK15" s="187"/>
      <c r="AL15" s="187" t="e">
        <f t="shared" si="5"/>
        <v>#DIV/0!</v>
      </c>
      <c r="AM15" s="195">
        <f>Сун!C27</f>
        <v>0</v>
      </c>
      <c r="AN15" s="195">
        <f>Сун!D27</f>
        <v>0</v>
      </c>
      <c r="AO15" s="187" t="e">
        <f t="shared" si="6"/>
        <v>#DIV/0!</v>
      </c>
      <c r="AP15" s="195">
        <f>Сун!C28</f>
        <v>200</v>
      </c>
      <c r="AQ15" s="195">
        <f>Сун!D28</f>
        <v>28.4</v>
      </c>
      <c r="AR15" s="187">
        <f t="shared" ref="AR15:AR29" si="24">AQ15/AP15*100</f>
        <v>14.2</v>
      </c>
      <c r="AS15" s="188">
        <f>Сун!C29</f>
        <v>86</v>
      </c>
      <c r="AT15" s="195">
        <f>Сун!D29</f>
        <v>40.091999999999999</v>
      </c>
      <c r="AU15" s="187">
        <f t="shared" ref="AU15:AU29" si="25">AT15/AS15*100</f>
        <v>46.618604651162784</v>
      </c>
      <c r="AV15" s="195"/>
      <c r="AW15" s="195"/>
      <c r="AX15" s="187" t="e">
        <f t="shared" ref="AX15:AX29" si="26">AW15/AV15*100</f>
        <v>#DIV/0!</v>
      </c>
      <c r="AY15" s="187">
        <f>Сун!C31</f>
        <v>200</v>
      </c>
      <c r="AZ15" s="187">
        <f>Сун!D31</f>
        <v>171.83991</v>
      </c>
      <c r="BA15" s="187">
        <f t="shared" ref="BA15:BA31" si="27">AZ15/AY15*100</f>
        <v>85.919955000000002</v>
      </c>
      <c r="BB15" s="187"/>
      <c r="BC15" s="187"/>
      <c r="BD15" s="187"/>
      <c r="BE15" s="187">
        <f>Сун!C32</f>
        <v>586</v>
      </c>
      <c r="BF15" s="187">
        <f>Сун!D32</f>
        <v>591.20000000000005</v>
      </c>
      <c r="BG15" s="187">
        <f t="shared" ref="BG15:BG31" si="28">BF15/BE15*100</f>
        <v>100.88737201365188</v>
      </c>
      <c r="BH15" s="187"/>
      <c r="BI15" s="187"/>
      <c r="BJ15" s="187" t="e">
        <f t="shared" ref="BJ15:BJ29" si="29">BI15/BH15*100</f>
        <v>#DIV/0!</v>
      </c>
      <c r="BK15" s="187">
        <f>Сун!C35</f>
        <v>0</v>
      </c>
      <c r="BL15" s="187">
        <f>Сун!D35</f>
        <v>0</v>
      </c>
      <c r="BM15" s="187"/>
      <c r="BN15" s="187">
        <f>Сун!C35</f>
        <v>0</v>
      </c>
      <c r="BO15" s="357">
        <f>Сун!D35</f>
        <v>0</v>
      </c>
      <c r="BP15" s="187" t="e">
        <f t="shared" ref="BP15:BP29" si="30">BO15/BN15*100</f>
        <v>#DIV/0!</v>
      </c>
      <c r="BQ15" s="187">
        <f>Сун!C37</f>
        <v>0</v>
      </c>
      <c r="BR15" s="187">
        <f>Сун!D37</f>
        <v>0.62</v>
      </c>
      <c r="BS15" s="187" t="e">
        <f t="shared" ref="BS15:BS29" si="31">BR15/BQ15*100</f>
        <v>#DIV/0!</v>
      </c>
      <c r="BT15" s="187"/>
      <c r="BU15" s="187"/>
      <c r="BV15" s="196" t="e">
        <f t="shared" ref="BV15:BV29" si="32">BT15/BU15*100</f>
        <v>#DIV/0!</v>
      </c>
      <c r="BW15" s="196"/>
      <c r="BX15" s="196"/>
      <c r="BY15" s="196" t="e">
        <f t="shared" ref="BY15:BY29" si="33">BW15/BX15*100</f>
        <v>#DIV/0!</v>
      </c>
      <c r="BZ15" s="186">
        <f t="shared" ref="BZ15:BZ29" si="34">CC15+CF15+CI15+CL15+CR15+CO15</f>
        <v>6582.335</v>
      </c>
      <c r="CA15" s="186">
        <f t="shared" ref="CA15:CA29" si="35">CD15+CG15+CJ15+CM15+CS15+CP15+CV15</f>
        <v>5000.5869700000012</v>
      </c>
      <c r="CB15" s="187">
        <f>CA15/BZ15*100</f>
        <v>75.96980357274434</v>
      </c>
      <c r="CC15" s="187">
        <f>Сун!C42</f>
        <v>3556.511</v>
      </c>
      <c r="CD15" s="187">
        <f>Сун!D42</f>
        <v>3125.366</v>
      </c>
      <c r="CE15" s="187">
        <f t="shared" ref="CE15:CE29" si="36">CD15/CC15*100</f>
        <v>87.877304470589294</v>
      </c>
      <c r="CF15" s="187">
        <f>Сун!C43</f>
        <v>150</v>
      </c>
      <c r="CG15" s="187">
        <f>Сун!D43</f>
        <v>0</v>
      </c>
      <c r="CH15" s="187">
        <f t="shared" ref="CH15:CH29" si="37">CG15/CF15*100</f>
        <v>0</v>
      </c>
      <c r="CI15" s="237">
        <f>Сун!C44</f>
        <v>2311.98</v>
      </c>
      <c r="CJ15" s="187">
        <f>Сун!D44</f>
        <v>1311.752</v>
      </c>
      <c r="CK15" s="187">
        <f t="shared" si="7"/>
        <v>56.737169006652302</v>
      </c>
      <c r="CL15" s="187">
        <f>Сун!C46</f>
        <v>154.24100000000001</v>
      </c>
      <c r="CM15" s="187">
        <f>Сун!D46</f>
        <v>153.86799999999999</v>
      </c>
      <c r="CN15" s="187">
        <f t="shared" si="8"/>
        <v>99.758170655013885</v>
      </c>
      <c r="CO15" s="187">
        <f>Сун!C47</f>
        <v>0</v>
      </c>
      <c r="CP15" s="187">
        <f>Сун!D47</f>
        <v>0</v>
      </c>
      <c r="CQ15" s="187" t="e">
        <f>CP15/CO15*100</f>
        <v>#DIV/0!</v>
      </c>
      <c r="CR15" s="187">
        <f>Сун!C48</f>
        <v>409.60300000000001</v>
      </c>
      <c r="CS15" s="187">
        <f>Сун!D48</f>
        <v>409.60097000000002</v>
      </c>
      <c r="CT15" s="187">
        <f t="shared" si="9"/>
        <v>99.99950439816115</v>
      </c>
      <c r="CU15" s="187"/>
      <c r="CV15" s="187"/>
      <c r="CW15" s="187"/>
      <c r="CX15" s="195"/>
      <c r="CY15" s="195"/>
      <c r="CZ15" s="187" t="e">
        <f t="shared" ref="CZ15:CZ29" si="38">CY15/CX15*100</f>
        <v>#DIV/0!</v>
      </c>
      <c r="DA15" s="187"/>
      <c r="DB15" s="187"/>
      <c r="DC15" s="187"/>
      <c r="DD15" s="187"/>
      <c r="DE15" s="187"/>
      <c r="DF15" s="187"/>
      <c r="DG15" s="195">
        <f>DJ15+DY15+EB15+EE15+EH15+EK15+EN15+EQ15+ET15</f>
        <v>10395.125550000001</v>
      </c>
      <c r="DH15" s="195">
        <f t="shared" ref="DG15:DH29" si="39">DK15+DZ15+EC15+EF15+EI15+EL15+EO15+ER15+EU15</f>
        <v>7171.2916000000005</v>
      </c>
      <c r="DI15" s="187">
        <f t="shared" ref="DI15:DI29" si="40">DH15/DG15*100</f>
        <v>68.987060959547534</v>
      </c>
      <c r="DJ15" s="195">
        <f>DM15+DP15+DS15+DV15</f>
        <v>1851.9180000000001</v>
      </c>
      <c r="DK15" s="195">
        <f t="shared" ref="DJ15:DK29" si="41">DN15+DQ15+DT15+DW15</f>
        <v>1323.3469</v>
      </c>
      <c r="DL15" s="187">
        <f t="shared" ref="DL15:DL29" si="42">DK15/DJ15*100</f>
        <v>71.458180113806335</v>
      </c>
      <c r="DM15" s="187">
        <f>Сун!C59</f>
        <v>1840.8510000000001</v>
      </c>
      <c r="DN15" s="187">
        <f>Сун!D59</f>
        <v>1317.2799</v>
      </c>
      <c r="DO15" s="187">
        <f t="shared" ref="DO15:DO29" si="43">DN15/DM15*100</f>
        <v>71.558203244043099</v>
      </c>
      <c r="DP15" s="187">
        <f>Сун!C62</f>
        <v>0</v>
      </c>
      <c r="DQ15" s="187">
        <f>Сун!D62</f>
        <v>0</v>
      </c>
      <c r="DR15" s="187" t="e">
        <f t="shared" ref="DR15:DR29" si="44">DQ15/DP15*100</f>
        <v>#DIV/0!</v>
      </c>
      <c r="DS15" s="187">
        <f>Сун!C63</f>
        <v>5</v>
      </c>
      <c r="DT15" s="187">
        <f>Сун!D63</f>
        <v>0</v>
      </c>
      <c r="DU15" s="187">
        <f t="shared" ref="DU15:DU29" si="45">DT15/DS15*100</f>
        <v>0</v>
      </c>
      <c r="DV15" s="187">
        <f>Сун!C64</f>
        <v>6.0670000000000002</v>
      </c>
      <c r="DW15" s="187">
        <f>Сун!D64</f>
        <v>6.0670000000000002</v>
      </c>
      <c r="DX15" s="187">
        <f t="shared" ref="DX15:DX29" si="46">DW15/DV15*100</f>
        <v>100</v>
      </c>
      <c r="DY15" s="187">
        <f>Сун!C66</f>
        <v>150.881</v>
      </c>
      <c r="DZ15" s="187">
        <f>Сун!D66</f>
        <v>125.86886</v>
      </c>
      <c r="EA15" s="187">
        <f t="shared" ref="EA15:EA31" si="47">DZ15/DY15*100</f>
        <v>83.422604569163767</v>
      </c>
      <c r="EB15" s="187">
        <f>Сун!C67</f>
        <v>4.8029999999999999</v>
      </c>
      <c r="EC15" s="187">
        <f>Сун!D67</f>
        <v>2</v>
      </c>
      <c r="ED15" s="187">
        <f t="shared" ref="ED15:ED31" si="48">EC15/EB15*100</f>
        <v>41.640641265875495</v>
      </c>
      <c r="EE15" s="195">
        <f>Сун!C72</f>
        <v>3653.6055499999998</v>
      </c>
      <c r="EF15" s="195">
        <f>Сун!D72</f>
        <v>2974.95487</v>
      </c>
      <c r="EG15" s="187">
        <f t="shared" ref="EG15:EG29" si="49">EF15/EE15*100</f>
        <v>81.425179299938392</v>
      </c>
      <c r="EH15" s="195">
        <f>Сун!C77</f>
        <v>966.47</v>
      </c>
      <c r="EI15" s="195">
        <f>Сун!D77</f>
        <v>490.80759999999998</v>
      </c>
      <c r="EJ15" s="187">
        <f t="shared" ref="EJ15:EJ29" si="50">EI15/EH15*100</f>
        <v>50.783531821991367</v>
      </c>
      <c r="EK15" s="195">
        <f>Сун!C82</f>
        <v>3742.4479999999999</v>
      </c>
      <c r="EL15" s="197">
        <f>Сун!D82</f>
        <v>2233.7083699999998</v>
      </c>
      <c r="EM15" s="187">
        <f t="shared" si="10"/>
        <v>59.685755687186571</v>
      </c>
      <c r="EN15" s="187">
        <f>Сун!C85</f>
        <v>5</v>
      </c>
      <c r="EO15" s="187">
        <f>Сун!D85</f>
        <v>5</v>
      </c>
      <c r="EP15" s="187">
        <f t="shared" si="11"/>
        <v>100</v>
      </c>
      <c r="EQ15" s="198">
        <f>Сун!C90</f>
        <v>20</v>
      </c>
      <c r="ER15" s="198">
        <f>Сун!D90</f>
        <v>15.605</v>
      </c>
      <c r="ES15" s="187">
        <f t="shared" ref="ES15:ES29" si="51">ER15/EQ15*100</f>
        <v>78.025000000000006</v>
      </c>
      <c r="ET15" s="187">
        <f>Сун!C96</f>
        <v>0</v>
      </c>
      <c r="EU15" s="187">
        <f>Сун!D96</f>
        <v>0</v>
      </c>
      <c r="EV15" s="184" t="e">
        <f>EU15/ET15*100</f>
        <v>#DIV/0!</v>
      </c>
      <c r="EW15" s="191">
        <f t="shared" si="12"/>
        <v>-101.57055000000037</v>
      </c>
      <c r="EX15" s="191">
        <f t="shared" si="13"/>
        <v>1154.9864200000011</v>
      </c>
      <c r="EY15" s="184">
        <f>EX15/EW15*100%</f>
        <v>-11.371272676971788</v>
      </c>
      <c r="EZ15" s="192"/>
      <c r="FA15" s="193"/>
      <c r="FC15" s="193"/>
    </row>
    <row r="16" spans="1:159" s="169" customFormat="1" ht="15" customHeight="1">
      <c r="A16" s="181">
        <v>3</v>
      </c>
      <c r="B16" s="194" t="s">
        <v>306</v>
      </c>
      <c r="C16" s="404">
        <f t="shared" si="14"/>
        <v>11425.332100000001</v>
      </c>
      <c r="D16" s="404">
        <f t="shared" si="0"/>
        <v>9335.3084799999997</v>
      </c>
      <c r="E16" s="187">
        <f t="shared" si="1"/>
        <v>81.707108364928828</v>
      </c>
      <c r="F16" s="185">
        <f t="shared" si="2"/>
        <v>1803.25</v>
      </c>
      <c r="G16" s="185">
        <f t="shared" si="3"/>
        <v>1228.7983399999998</v>
      </c>
      <c r="H16" s="187">
        <f t="shared" si="15"/>
        <v>68.143537501732979</v>
      </c>
      <c r="I16" s="291">
        <f>Иль!C6</f>
        <v>102.1</v>
      </c>
      <c r="J16" s="291">
        <f>Иль!D6</f>
        <v>72.043880000000001</v>
      </c>
      <c r="K16" s="187">
        <f t="shared" si="16"/>
        <v>70.562076395690511</v>
      </c>
      <c r="L16" s="187">
        <f>Иль!C8</f>
        <v>222.96</v>
      </c>
      <c r="M16" s="187">
        <f>Иль!D8</f>
        <v>230.42411000000001</v>
      </c>
      <c r="N16" s="184">
        <f t="shared" si="17"/>
        <v>103.34773501973449</v>
      </c>
      <c r="O16" s="184">
        <f>Иль!C9</f>
        <v>2.4</v>
      </c>
      <c r="P16" s="184">
        <f>Иль!D9</f>
        <v>2.1379000000000001</v>
      </c>
      <c r="Q16" s="184">
        <f t="shared" si="18"/>
        <v>89.07916666666668</v>
      </c>
      <c r="R16" s="184">
        <f>Иль!C10</f>
        <v>372.39</v>
      </c>
      <c r="S16" s="184">
        <f>Иль!D10</f>
        <v>341.89695999999998</v>
      </c>
      <c r="T16" s="184">
        <f t="shared" si="19"/>
        <v>91.811530921882962</v>
      </c>
      <c r="U16" s="184">
        <f>Иль!C11</f>
        <v>0</v>
      </c>
      <c r="V16" s="184">
        <f>Иль!D11</f>
        <v>-52.048520000000003</v>
      </c>
      <c r="W16" s="184" t="e">
        <f t="shared" si="20"/>
        <v>#DIV/0!</v>
      </c>
      <c r="X16" s="195">
        <f>Иль!C13</f>
        <v>10</v>
      </c>
      <c r="Y16" s="195">
        <f>Иль!D13</f>
        <v>3.0432000000000001</v>
      </c>
      <c r="Z16" s="187">
        <f t="shared" si="21"/>
        <v>30.432000000000002</v>
      </c>
      <c r="AA16" s="195">
        <f>Иль!C15</f>
        <v>183.4</v>
      </c>
      <c r="AB16" s="195">
        <f>Иль!D15</f>
        <v>81.975660000000005</v>
      </c>
      <c r="AC16" s="187">
        <f t="shared" si="22"/>
        <v>44.697742639040349</v>
      </c>
      <c r="AD16" s="195">
        <f>Иль!C16</f>
        <v>785</v>
      </c>
      <c r="AE16" s="195">
        <f>Иль!D16</f>
        <v>493.36669000000001</v>
      </c>
      <c r="AF16" s="187">
        <f t="shared" si="4"/>
        <v>62.849259872611462</v>
      </c>
      <c r="AG16" s="187">
        <f>Иль!C18</f>
        <v>5</v>
      </c>
      <c r="AH16" s="187">
        <f>Иль!D18</f>
        <v>0</v>
      </c>
      <c r="AI16" s="187">
        <f t="shared" si="23"/>
        <v>0</v>
      </c>
      <c r="AJ16" s="187"/>
      <c r="AK16" s="187"/>
      <c r="AL16" s="187" t="e">
        <f t="shared" si="5"/>
        <v>#DIV/0!</v>
      </c>
      <c r="AM16" s="195">
        <f>Иль!C27</f>
        <v>0</v>
      </c>
      <c r="AN16" s="195">
        <f>Иль!D27</f>
        <v>0</v>
      </c>
      <c r="AO16" s="187" t="e">
        <f t="shared" si="6"/>
        <v>#DIV/0!</v>
      </c>
      <c r="AP16" s="195">
        <f>Иль!C28</f>
        <v>100</v>
      </c>
      <c r="AQ16" s="195">
        <f>Иль!D28</f>
        <v>30.456959999999999</v>
      </c>
      <c r="AR16" s="187">
        <f t="shared" si="24"/>
        <v>30.456959999999999</v>
      </c>
      <c r="AS16" s="188">
        <f>Иль!C29</f>
        <v>20</v>
      </c>
      <c r="AT16" s="195">
        <f>Иль!D29</f>
        <v>25.5015</v>
      </c>
      <c r="AU16" s="187">
        <f t="shared" si="25"/>
        <v>127.50749999999999</v>
      </c>
      <c r="AV16" s="195"/>
      <c r="AW16" s="195"/>
      <c r="AX16" s="187" t="e">
        <f t="shared" si="26"/>
        <v>#DIV/0!</v>
      </c>
      <c r="AY16" s="187"/>
      <c r="AZ16" s="187"/>
      <c r="BA16" s="187" t="e">
        <f t="shared" si="27"/>
        <v>#DIV/0!</v>
      </c>
      <c r="BB16" s="187"/>
      <c r="BC16" s="187"/>
      <c r="BD16" s="187"/>
      <c r="BE16" s="187">
        <f>Иль!C34</f>
        <v>0</v>
      </c>
      <c r="BF16" s="187">
        <f>Иль!D34</f>
        <v>0</v>
      </c>
      <c r="BG16" s="187" t="e">
        <f t="shared" si="28"/>
        <v>#DIV/0!</v>
      </c>
      <c r="BH16" s="187"/>
      <c r="BI16" s="187"/>
      <c r="BJ16" s="187" t="e">
        <f t="shared" si="29"/>
        <v>#DIV/0!</v>
      </c>
      <c r="BK16" s="187"/>
      <c r="BL16" s="187"/>
      <c r="BM16" s="187"/>
      <c r="BN16" s="187"/>
      <c r="BO16" s="357">
        <f>Иль!D35</f>
        <v>0</v>
      </c>
      <c r="BP16" s="187" t="e">
        <f t="shared" si="30"/>
        <v>#DIV/0!</v>
      </c>
      <c r="BQ16" s="187">
        <v>0</v>
      </c>
      <c r="BR16" s="187">
        <f>Иль!D37</f>
        <v>0</v>
      </c>
      <c r="BS16" s="187" t="e">
        <f t="shared" si="31"/>
        <v>#DIV/0!</v>
      </c>
      <c r="BT16" s="187"/>
      <c r="BU16" s="187"/>
      <c r="BV16" s="196" t="e">
        <f t="shared" si="32"/>
        <v>#DIV/0!</v>
      </c>
      <c r="BW16" s="196"/>
      <c r="BX16" s="196"/>
      <c r="BY16" s="196" t="e">
        <f t="shared" si="33"/>
        <v>#DIV/0!</v>
      </c>
      <c r="BZ16" s="186">
        <f t="shared" si="34"/>
        <v>9622.0821000000014</v>
      </c>
      <c r="CA16" s="186">
        <f t="shared" si="35"/>
        <v>8106.5101400000003</v>
      </c>
      <c r="CB16" s="187">
        <f>CA16/BZ16*100</f>
        <v>84.249022776473709</v>
      </c>
      <c r="CC16" s="187">
        <f>Иль!C42</f>
        <v>1972.912</v>
      </c>
      <c r="CD16" s="187">
        <f>Иль!D42</f>
        <v>1735.576</v>
      </c>
      <c r="CE16" s="187">
        <f t="shared" si="36"/>
        <v>87.970269327775384</v>
      </c>
      <c r="CF16" s="187">
        <f>Иль!C43</f>
        <v>370</v>
      </c>
      <c r="CG16" s="187">
        <f>Иль!D43</f>
        <v>75</v>
      </c>
      <c r="CH16" s="187">
        <f t="shared" si="37"/>
        <v>20.27027027027027</v>
      </c>
      <c r="CI16" s="184">
        <f>Иль!C44</f>
        <v>7007.6681200000003</v>
      </c>
      <c r="CJ16" s="187">
        <f>Иль!D44</f>
        <v>6031.7301399999997</v>
      </c>
      <c r="CK16" s="187">
        <f t="shared" si="7"/>
        <v>86.073284817603479</v>
      </c>
      <c r="CL16" s="187">
        <f>Иль!C46</f>
        <v>154.24</v>
      </c>
      <c r="CM16" s="187">
        <f>Иль!D46</f>
        <v>150.881</v>
      </c>
      <c r="CN16" s="187">
        <f t="shared" si="8"/>
        <v>97.822225103734439</v>
      </c>
      <c r="CO16" s="187">
        <f>Иль!C47</f>
        <v>3.9389799999999999</v>
      </c>
      <c r="CP16" s="187">
        <f>Иль!D47</f>
        <v>0</v>
      </c>
      <c r="CQ16" s="187"/>
      <c r="CR16" s="187">
        <f>Иль!C51</f>
        <v>113.32299999999999</v>
      </c>
      <c r="CS16" s="187">
        <f>Иль!D51</f>
        <v>113.32299999999999</v>
      </c>
      <c r="CT16" s="187">
        <f t="shared" si="9"/>
        <v>100</v>
      </c>
      <c r="CU16" s="187"/>
      <c r="CV16" s="187"/>
      <c r="CW16" s="187"/>
      <c r="CX16" s="195"/>
      <c r="CY16" s="195"/>
      <c r="CZ16" s="187" t="e">
        <f t="shared" si="38"/>
        <v>#DIV/0!</v>
      </c>
      <c r="DA16" s="187"/>
      <c r="DB16" s="187"/>
      <c r="DC16" s="187"/>
      <c r="DD16" s="187"/>
      <c r="DE16" s="187"/>
      <c r="DF16" s="187">
        <v>0</v>
      </c>
      <c r="DG16" s="195">
        <f t="shared" si="39"/>
        <v>11536.15072</v>
      </c>
      <c r="DH16" s="195">
        <f t="shared" si="39"/>
        <v>9264.6268100000016</v>
      </c>
      <c r="DI16" s="187">
        <f t="shared" si="40"/>
        <v>80.309516015061234</v>
      </c>
      <c r="DJ16" s="195">
        <f t="shared" si="41"/>
        <v>1298.712</v>
      </c>
      <c r="DK16" s="195">
        <f t="shared" si="41"/>
        <v>986.87959000000001</v>
      </c>
      <c r="DL16" s="187">
        <f t="shared" si="42"/>
        <v>75.989102279797223</v>
      </c>
      <c r="DM16" s="187">
        <f>Иль!C59</f>
        <v>1265.029</v>
      </c>
      <c r="DN16" s="187">
        <f>Иль!D59</f>
        <v>961.85109</v>
      </c>
      <c r="DO16" s="187">
        <f t="shared" si="43"/>
        <v>76.033916218521469</v>
      </c>
      <c r="DP16" s="187">
        <f>Иль!C62</f>
        <v>0</v>
      </c>
      <c r="DQ16" s="187">
        <f>Иль!D62</f>
        <v>0</v>
      </c>
      <c r="DR16" s="187" t="e">
        <f t="shared" si="44"/>
        <v>#DIV/0!</v>
      </c>
      <c r="DS16" s="187">
        <f>Иль!C63</f>
        <v>5</v>
      </c>
      <c r="DT16" s="187">
        <f>Иль!D63</f>
        <v>0</v>
      </c>
      <c r="DU16" s="187">
        <f t="shared" si="45"/>
        <v>0</v>
      </c>
      <c r="DV16" s="187">
        <f>Иль!C64</f>
        <v>28.683</v>
      </c>
      <c r="DW16" s="187">
        <f>Иль!D64</f>
        <v>25.028500000000001</v>
      </c>
      <c r="DX16" s="187">
        <f t="shared" si="46"/>
        <v>87.25900359097723</v>
      </c>
      <c r="DY16" s="187">
        <f>Иль!C66</f>
        <v>150.881</v>
      </c>
      <c r="DZ16" s="187">
        <f>Иль!D66</f>
        <v>126.74584</v>
      </c>
      <c r="EA16" s="187">
        <f t="shared" si="47"/>
        <v>84.003844089050318</v>
      </c>
      <c r="EB16" s="187">
        <f>Иль!C67</f>
        <v>32.86692</v>
      </c>
      <c r="EC16" s="187">
        <f>Иль!D67</f>
        <v>26.933920000000001</v>
      </c>
      <c r="ED16" s="187">
        <f t="shared" si="48"/>
        <v>81.948415002075038</v>
      </c>
      <c r="EE16" s="195">
        <f>Иль!C73</f>
        <v>1981.4764100000002</v>
      </c>
      <c r="EF16" s="195">
        <f>Иль!D73</f>
        <v>1296.5746200000001</v>
      </c>
      <c r="EG16" s="187">
        <f t="shared" si="49"/>
        <v>65.43477446698445</v>
      </c>
      <c r="EH16" s="195">
        <f>Иль!C80</f>
        <v>6704.8143899999995</v>
      </c>
      <c r="EI16" s="195">
        <f>Иль!D80</f>
        <v>5831.0612999999994</v>
      </c>
      <c r="EJ16" s="187">
        <f t="shared" si="50"/>
        <v>86.968273255958096</v>
      </c>
      <c r="EK16" s="195">
        <f>Иль!C84</f>
        <v>1357.4</v>
      </c>
      <c r="EL16" s="197">
        <f>Иль!D84</f>
        <v>994.90153999999995</v>
      </c>
      <c r="EM16" s="187">
        <f t="shared" si="10"/>
        <v>73.294647119493135</v>
      </c>
      <c r="EN16" s="187">
        <f>Иль!C86</f>
        <v>0</v>
      </c>
      <c r="EO16" s="187">
        <f>Иль!D86</f>
        <v>0</v>
      </c>
      <c r="EP16" s="187" t="e">
        <f t="shared" si="11"/>
        <v>#DIV/0!</v>
      </c>
      <c r="EQ16" s="198">
        <f>Иль!C91</f>
        <v>10</v>
      </c>
      <c r="ER16" s="198">
        <f>Иль!D91</f>
        <v>1.53</v>
      </c>
      <c r="ES16" s="187">
        <f t="shared" si="51"/>
        <v>15.299999999999999</v>
      </c>
      <c r="ET16" s="187">
        <f>Иль!C97</f>
        <v>0</v>
      </c>
      <c r="EU16" s="187">
        <f>Иль!D97</f>
        <v>0</v>
      </c>
      <c r="EV16" s="184" t="e">
        <f t="shared" ref="EV16:EV29" si="52">EU16/ET16*100</f>
        <v>#DIV/0!</v>
      </c>
      <c r="EW16" s="191">
        <f t="shared" si="12"/>
        <v>-110.81861999999819</v>
      </c>
      <c r="EX16" s="191">
        <f t="shared" si="13"/>
        <v>70.681669999998121</v>
      </c>
      <c r="EY16" s="184">
        <f>EX16/EW16*100</f>
        <v>-63.781402439408893</v>
      </c>
      <c r="EZ16" s="192"/>
      <c r="FA16" s="193"/>
      <c r="FC16" s="193"/>
    </row>
    <row r="17" spans="1:170" s="169" customFormat="1" ht="15" customHeight="1">
      <c r="A17" s="181">
        <v>4</v>
      </c>
      <c r="B17" s="194" t="s">
        <v>307</v>
      </c>
      <c r="C17" s="404">
        <f t="shared" si="14"/>
        <v>6966.0919800000011</v>
      </c>
      <c r="D17" s="404">
        <f t="shared" si="0"/>
        <v>4580.1683299999995</v>
      </c>
      <c r="E17" s="187">
        <f t="shared" si="1"/>
        <v>65.749466747638309</v>
      </c>
      <c r="F17" s="185">
        <f t="shared" si="2"/>
        <v>4238.8600000000006</v>
      </c>
      <c r="G17" s="185">
        <f t="shared" si="3"/>
        <v>2735.8232299999995</v>
      </c>
      <c r="H17" s="187">
        <f t="shared" si="15"/>
        <v>64.5414859183837</v>
      </c>
      <c r="I17" s="195">
        <f>Кад!C6</f>
        <v>456.3</v>
      </c>
      <c r="J17" s="195">
        <f>Кад!D6</f>
        <v>350.71706999999998</v>
      </c>
      <c r="K17" s="187">
        <f t="shared" si="16"/>
        <v>76.861071663379349</v>
      </c>
      <c r="L17" s="187">
        <f>Кад!C8</f>
        <v>272.49</v>
      </c>
      <c r="M17" s="187">
        <f>Кад!D8</f>
        <v>274.86304999999999</v>
      </c>
      <c r="N17" s="184">
        <f t="shared" si="17"/>
        <v>100.87087599544937</v>
      </c>
      <c r="O17" s="184">
        <f>Кад!C9</f>
        <v>2.85</v>
      </c>
      <c r="P17" s="184">
        <f>Кад!D9</f>
        <v>2.5502099999999999</v>
      </c>
      <c r="Q17" s="184">
        <f t="shared" si="18"/>
        <v>89.481052631578933</v>
      </c>
      <c r="R17" s="184">
        <f>Кад!C10</f>
        <v>444.22</v>
      </c>
      <c r="S17" s="184">
        <f>Кад!D10</f>
        <v>407.83425</v>
      </c>
      <c r="T17" s="184">
        <f t="shared" si="19"/>
        <v>91.809069830264278</v>
      </c>
      <c r="U17" s="184">
        <f>Кад!C11</f>
        <v>0</v>
      </c>
      <c r="V17" s="184">
        <f>Кад!D11</f>
        <v>-62.086419999999997</v>
      </c>
      <c r="W17" s="184" t="e">
        <f t="shared" si="20"/>
        <v>#DIV/0!</v>
      </c>
      <c r="X17" s="195">
        <f>Кад!C13</f>
        <v>50</v>
      </c>
      <c r="Y17" s="195">
        <f>Кад!D13</f>
        <v>28.16273</v>
      </c>
      <c r="Z17" s="187">
        <f t="shared" si="21"/>
        <v>56.325460000000007</v>
      </c>
      <c r="AA17" s="195">
        <f>Кад!C15</f>
        <v>255</v>
      </c>
      <c r="AB17" s="195">
        <f>Кад!D15</f>
        <v>122.40824000000001</v>
      </c>
      <c r="AC17" s="187">
        <f t="shared" si="22"/>
        <v>48.003231372549024</v>
      </c>
      <c r="AD17" s="195">
        <f>Кад!C16</f>
        <v>2661</v>
      </c>
      <c r="AE17" s="195">
        <f>Кад!D16</f>
        <v>1847.5725500000001</v>
      </c>
      <c r="AF17" s="187">
        <f t="shared" si="4"/>
        <v>69.431512589252165</v>
      </c>
      <c r="AG17" s="187">
        <f>Кад!C18</f>
        <v>25</v>
      </c>
      <c r="AH17" s="187">
        <f>Кад!D18</f>
        <v>21.1</v>
      </c>
      <c r="AI17" s="187">
        <f t="shared" si="23"/>
        <v>84.4</v>
      </c>
      <c r="AJ17" s="187"/>
      <c r="AK17" s="187"/>
      <c r="AL17" s="187" t="e">
        <f t="shared" si="5"/>
        <v>#DIV/0!</v>
      </c>
      <c r="AM17" s="195">
        <v>0</v>
      </c>
      <c r="AN17" s="195">
        <v>0</v>
      </c>
      <c r="AO17" s="187" t="e">
        <f t="shared" si="6"/>
        <v>#DIV/0!</v>
      </c>
      <c r="AP17" s="195">
        <f>Кад!C27</f>
        <v>70</v>
      </c>
      <c r="AQ17" s="195">
        <f>Кад!D27</f>
        <v>-286.74849999999998</v>
      </c>
      <c r="AR17" s="187">
        <f t="shared" si="24"/>
        <v>-409.64071428571424</v>
      </c>
      <c r="AS17" s="188">
        <f>Кад!C28</f>
        <v>2</v>
      </c>
      <c r="AT17" s="195">
        <f>Кад!D28</f>
        <v>0</v>
      </c>
      <c r="AU17" s="187">
        <f t="shared" si="25"/>
        <v>0</v>
      </c>
      <c r="AV17" s="195"/>
      <c r="AW17" s="195"/>
      <c r="AX17" s="187" t="e">
        <f t="shared" si="26"/>
        <v>#DIV/0!</v>
      </c>
      <c r="AY17" s="187">
        <f>Кад!C30</f>
        <v>0</v>
      </c>
      <c r="AZ17" s="187">
        <f>Кад!D30</f>
        <v>29.843050000000002</v>
      </c>
      <c r="BA17" s="187" t="e">
        <f t="shared" si="27"/>
        <v>#DIV/0!</v>
      </c>
      <c r="BB17" s="187"/>
      <c r="BC17" s="187"/>
      <c r="BD17" s="187"/>
      <c r="BE17" s="187">
        <f>Кад!C33</f>
        <v>0</v>
      </c>
      <c r="BF17" s="187">
        <f>Кад!D33</f>
        <v>0</v>
      </c>
      <c r="BG17" s="187" t="e">
        <f t="shared" si="28"/>
        <v>#DIV/0!</v>
      </c>
      <c r="BH17" s="187"/>
      <c r="BI17" s="187"/>
      <c r="BJ17" s="187" t="e">
        <f t="shared" si="29"/>
        <v>#DIV/0!</v>
      </c>
      <c r="BK17" s="187"/>
      <c r="BL17" s="187"/>
      <c r="BM17" s="187"/>
      <c r="BN17" s="187"/>
      <c r="BO17" s="357">
        <f>Кад!D34</f>
        <v>0</v>
      </c>
      <c r="BP17" s="187" t="e">
        <f t="shared" si="30"/>
        <v>#DIV/0!</v>
      </c>
      <c r="BQ17" s="187">
        <f>Кад!C36</f>
        <v>0</v>
      </c>
      <c r="BR17" s="187">
        <f>Кад!D36</f>
        <v>-0.39300000000000002</v>
      </c>
      <c r="BS17" s="187" t="e">
        <f t="shared" si="31"/>
        <v>#DIV/0!</v>
      </c>
      <c r="BT17" s="187"/>
      <c r="BU17" s="187"/>
      <c r="BV17" s="196" t="e">
        <f t="shared" si="32"/>
        <v>#DIV/0!</v>
      </c>
      <c r="BW17" s="196"/>
      <c r="BX17" s="196"/>
      <c r="BY17" s="196" t="e">
        <f t="shared" si="33"/>
        <v>#DIV/0!</v>
      </c>
      <c r="BZ17" s="186">
        <f t="shared" si="34"/>
        <v>2727.2319800000005</v>
      </c>
      <c r="CA17" s="186">
        <f t="shared" si="35"/>
        <v>1844.3451000000002</v>
      </c>
      <c r="CB17" s="187">
        <f>CA17/BZ17*100</f>
        <v>67.626997392425707</v>
      </c>
      <c r="CC17" s="187">
        <f>Кад!C41</f>
        <v>1128.914</v>
      </c>
      <c r="CD17" s="187">
        <f>Кад!D41</f>
        <v>999.98199999999997</v>
      </c>
      <c r="CE17" s="187">
        <f t="shared" si="36"/>
        <v>88.579112315021334</v>
      </c>
      <c r="CF17" s="187">
        <f>Кад!C42</f>
        <v>0</v>
      </c>
      <c r="CG17" s="187">
        <f>Кад!D42</f>
        <v>0</v>
      </c>
      <c r="CH17" s="187" t="e">
        <f t="shared" si="37"/>
        <v>#DIV/0!</v>
      </c>
      <c r="CI17" s="184">
        <f>Кад!C43</f>
        <v>1190.3929800000001</v>
      </c>
      <c r="CJ17" s="187">
        <f>Кад!D43</f>
        <v>442.11900000000003</v>
      </c>
      <c r="CK17" s="187">
        <f t="shared" si="7"/>
        <v>37.140592008531506</v>
      </c>
      <c r="CL17" s="187">
        <f>Кад!C45</f>
        <v>157.59899999999999</v>
      </c>
      <c r="CM17" s="187">
        <f>Кад!D45</f>
        <v>151.91810000000001</v>
      </c>
      <c r="CN17" s="187">
        <f t="shared" si="8"/>
        <v>96.395345148129124</v>
      </c>
      <c r="CO17" s="187"/>
      <c r="CP17" s="187"/>
      <c r="CQ17" s="187"/>
      <c r="CR17" s="187">
        <f>Кад!C47</f>
        <v>250.32599999999999</v>
      </c>
      <c r="CS17" s="187">
        <f>Кад!D47</f>
        <v>250.32599999999999</v>
      </c>
      <c r="CT17" s="187">
        <f t="shared" si="9"/>
        <v>100</v>
      </c>
      <c r="CU17" s="187"/>
      <c r="CV17" s="187"/>
      <c r="CW17" s="187"/>
      <c r="CX17" s="195"/>
      <c r="CY17" s="195"/>
      <c r="CZ17" s="187" t="e">
        <f t="shared" si="38"/>
        <v>#DIV/0!</v>
      </c>
      <c r="DA17" s="187"/>
      <c r="DB17" s="187"/>
      <c r="DC17" s="187"/>
      <c r="DD17" s="187"/>
      <c r="DE17" s="187"/>
      <c r="DF17" s="187"/>
      <c r="DG17" s="195">
        <f t="shared" si="39"/>
        <v>7642.9256799999994</v>
      </c>
      <c r="DH17" s="195">
        <f t="shared" si="39"/>
        <v>5335.9819399999997</v>
      </c>
      <c r="DI17" s="187">
        <f t="shared" si="40"/>
        <v>69.815960057850518</v>
      </c>
      <c r="DJ17" s="195">
        <f t="shared" si="41"/>
        <v>1604.3</v>
      </c>
      <c r="DK17" s="195">
        <f t="shared" si="41"/>
        <v>1223.8081099999999</v>
      </c>
      <c r="DL17" s="187">
        <f t="shared" si="42"/>
        <v>76.282996322383596</v>
      </c>
      <c r="DM17" s="187">
        <f>Кад!C57</f>
        <v>1593.7139999999999</v>
      </c>
      <c r="DN17" s="187">
        <f>Кад!D57</f>
        <v>1218.70111</v>
      </c>
      <c r="DO17" s="187">
        <f t="shared" si="43"/>
        <v>76.46924793281606</v>
      </c>
      <c r="DP17" s="187">
        <f>Кад!C60</f>
        <v>0</v>
      </c>
      <c r="DQ17" s="187">
        <f>Кад!D60</f>
        <v>0</v>
      </c>
      <c r="DR17" s="187" t="e">
        <f t="shared" si="44"/>
        <v>#DIV/0!</v>
      </c>
      <c r="DS17" s="187">
        <f>Кад!C61</f>
        <v>5</v>
      </c>
      <c r="DT17" s="187">
        <f>Кад!D61</f>
        <v>0</v>
      </c>
      <c r="DU17" s="187">
        <f t="shared" si="45"/>
        <v>0</v>
      </c>
      <c r="DV17" s="187">
        <f>Кад!C62</f>
        <v>5.5860000000000003</v>
      </c>
      <c r="DW17" s="187">
        <f>Кад!D62</f>
        <v>5.1070000000000002</v>
      </c>
      <c r="DX17" s="187">
        <f t="shared" si="46"/>
        <v>91.424991049051201</v>
      </c>
      <c r="DY17" s="187">
        <f>Кад!C64</f>
        <v>150.881</v>
      </c>
      <c r="DZ17" s="187">
        <f>Кад!D64</f>
        <v>114.26248</v>
      </c>
      <c r="EA17" s="187">
        <f t="shared" si="47"/>
        <v>75.73019797058609</v>
      </c>
      <c r="EB17" s="187">
        <f>Кад!C65</f>
        <v>2.4</v>
      </c>
      <c r="EC17" s="187">
        <f>Кад!D65</f>
        <v>1.8</v>
      </c>
      <c r="ED17" s="187">
        <f t="shared" si="48"/>
        <v>75</v>
      </c>
      <c r="EE17" s="195">
        <f>Кад!C70</f>
        <v>2705.7626799999998</v>
      </c>
      <c r="EF17" s="195">
        <f>Кад!D70</f>
        <v>1755.1650999999999</v>
      </c>
      <c r="EG17" s="187">
        <f t="shared" si="49"/>
        <v>64.867666073360141</v>
      </c>
      <c r="EH17" s="195">
        <f>Кад!C75</f>
        <v>1144.8820000000001</v>
      </c>
      <c r="EI17" s="195">
        <f>Кад!D75</f>
        <v>829.24625000000003</v>
      </c>
      <c r="EJ17" s="187">
        <f t="shared" si="50"/>
        <v>72.430717750824982</v>
      </c>
      <c r="EK17" s="195">
        <f>Кад!C79</f>
        <v>2033.7</v>
      </c>
      <c r="EL17" s="197">
        <f>Кад!D79</f>
        <v>1411.7</v>
      </c>
      <c r="EM17" s="187">
        <f t="shared" si="10"/>
        <v>69.415351330088015</v>
      </c>
      <c r="EN17" s="187">
        <f>Кад!C81</f>
        <v>0</v>
      </c>
      <c r="EO17" s="187">
        <f>Кад!D81</f>
        <v>0</v>
      </c>
      <c r="EP17" s="187" t="e">
        <f t="shared" si="11"/>
        <v>#DIV/0!</v>
      </c>
      <c r="EQ17" s="198">
        <f>Кад!C86</f>
        <v>1</v>
      </c>
      <c r="ER17" s="198">
        <f>Кад!D86</f>
        <v>0</v>
      </c>
      <c r="ES17" s="187">
        <f t="shared" si="51"/>
        <v>0</v>
      </c>
      <c r="ET17" s="187">
        <f>Кад!C92</f>
        <v>0</v>
      </c>
      <c r="EU17" s="187">
        <f>Кад!D92</f>
        <v>0</v>
      </c>
      <c r="EV17" s="184" t="e">
        <f t="shared" si="52"/>
        <v>#DIV/0!</v>
      </c>
      <c r="EW17" s="191">
        <f t="shared" si="12"/>
        <v>-676.83369999999832</v>
      </c>
      <c r="EX17" s="191">
        <f t="shared" si="13"/>
        <v>-755.81361000000015</v>
      </c>
      <c r="EY17" s="184">
        <f>EX17/EW17*100</f>
        <v>111.66902741397216</v>
      </c>
      <c r="EZ17" s="192"/>
      <c r="FA17" s="193"/>
      <c r="FC17" s="193"/>
    </row>
    <row r="18" spans="1:170" s="234" customFormat="1" ht="15" customHeight="1">
      <c r="A18" s="225">
        <v>5</v>
      </c>
      <c r="B18" s="226" t="s">
        <v>308</v>
      </c>
      <c r="C18" s="405">
        <f t="shared" si="14"/>
        <v>9206.0519999999997</v>
      </c>
      <c r="D18" s="405">
        <f t="shared" si="0"/>
        <v>7395.2667200000005</v>
      </c>
      <c r="E18" s="227">
        <f t="shared" si="1"/>
        <v>80.330490420866624</v>
      </c>
      <c r="F18" s="228">
        <f t="shared" si="2"/>
        <v>4296.0099999999993</v>
      </c>
      <c r="G18" s="228">
        <f t="shared" si="3"/>
        <v>3136.4132300000001</v>
      </c>
      <c r="H18" s="227">
        <f t="shared" si="15"/>
        <v>73.007586807293293</v>
      </c>
      <c r="I18" s="292">
        <f>Мор!C6</f>
        <v>1624.2</v>
      </c>
      <c r="J18" s="292">
        <f>Мор!D6</f>
        <v>1350.3019099999999</v>
      </c>
      <c r="K18" s="227">
        <f t="shared" si="16"/>
        <v>83.136430858268668</v>
      </c>
      <c r="L18" s="227">
        <f>Мор!C8</f>
        <v>130.59</v>
      </c>
      <c r="M18" s="227">
        <f>Мор!D8</f>
        <v>134.96268000000001</v>
      </c>
      <c r="N18" s="227">
        <f t="shared" si="17"/>
        <v>103.34840339995407</v>
      </c>
      <c r="O18" s="227">
        <f>Мор!C9</f>
        <v>1.4</v>
      </c>
      <c r="P18" s="227">
        <f>Мор!D9</f>
        <v>1.2521899999999999</v>
      </c>
      <c r="Q18" s="227">
        <f t="shared" si="18"/>
        <v>89.442142857142855</v>
      </c>
      <c r="R18" s="227">
        <f>Мор!C10</f>
        <v>218.12</v>
      </c>
      <c r="S18" s="227">
        <f>Мор!D10</f>
        <v>200.25391999999999</v>
      </c>
      <c r="T18" s="227">
        <f t="shared" si="19"/>
        <v>91.809059233449474</v>
      </c>
      <c r="U18" s="227">
        <f>Мор!C11</f>
        <v>0</v>
      </c>
      <c r="V18" s="227">
        <f>Мор!D11</f>
        <v>-30.48556</v>
      </c>
      <c r="W18" s="227" t="e">
        <f t="shared" si="20"/>
        <v>#DIV/0!</v>
      </c>
      <c r="X18" s="188">
        <f>Мор!C13</f>
        <v>75</v>
      </c>
      <c r="Y18" s="188">
        <f>Мор!D13</f>
        <v>75.141949999999994</v>
      </c>
      <c r="Z18" s="227">
        <f t="shared" si="21"/>
        <v>100.18926666666665</v>
      </c>
      <c r="AA18" s="188">
        <f>Мор!C15</f>
        <v>550</v>
      </c>
      <c r="AB18" s="188">
        <f>Мор!D15</f>
        <v>330.74975000000001</v>
      </c>
      <c r="AC18" s="227">
        <f t="shared" si="22"/>
        <v>60.136318181818183</v>
      </c>
      <c r="AD18" s="188">
        <f>Мор!C16</f>
        <v>1676.7</v>
      </c>
      <c r="AE18" s="188">
        <f>Мор!D16</f>
        <v>1077.38985</v>
      </c>
      <c r="AF18" s="227">
        <f t="shared" si="4"/>
        <v>64.256566469851492</v>
      </c>
      <c r="AG18" s="227">
        <f>Мор!C18</f>
        <v>0</v>
      </c>
      <c r="AH18" s="227">
        <f>Мор!D18</f>
        <v>0</v>
      </c>
      <c r="AI18" s="227" t="e">
        <f t="shared" si="23"/>
        <v>#DIV/0!</v>
      </c>
      <c r="AJ18" s="227">
        <f>Мор!C22</f>
        <v>0</v>
      </c>
      <c r="AK18" s="227">
        <f>Мор!D22</f>
        <v>0</v>
      </c>
      <c r="AL18" s="227" t="e">
        <f t="shared" si="5"/>
        <v>#DIV/0!</v>
      </c>
      <c r="AM18" s="188">
        <v>0</v>
      </c>
      <c r="AN18" s="188">
        <f>Мор!D27</f>
        <v>0</v>
      </c>
      <c r="AO18" s="227" t="e">
        <f t="shared" si="6"/>
        <v>#DIV/0!</v>
      </c>
      <c r="AP18" s="188">
        <f>Мор!C27</f>
        <v>0</v>
      </c>
      <c r="AQ18" s="195">
        <f>Мор!D27</f>
        <v>0</v>
      </c>
      <c r="AR18" s="227" t="e">
        <f t="shared" si="24"/>
        <v>#DIV/0!</v>
      </c>
      <c r="AS18" s="188">
        <f>Мор!C28</f>
        <v>10</v>
      </c>
      <c r="AT18" s="188">
        <f>Мор!D26</f>
        <v>0</v>
      </c>
      <c r="AU18" s="227">
        <f t="shared" si="25"/>
        <v>0</v>
      </c>
      <c r="AV18" s="188"/>
      <c r="AW18" s="188"/>
      <c r="AX18" s="227" t="e">
        <f t="shared" si="26"/>
        <v>#DIV/0!</v>
      </c>
      <c r="AY18" s="227">
        <f>Мор!C29</f>
        <v>10</v>
      </c>
      <c r="AZ18" s="227">
        <f>Мор!D29</f>
        <v>8.3664100000000001</v>
      </c>
      <c r="BA18" s="227">
        <f t="shared" si="27"/>
        <v>83.664099999999991</v>
      </c>
      <c r="BB18" s="227"/>
      <c r="BC18" s="227"/>
      <c r="BD18" s="227"/>
      <c r="BE18" s="227">
        <f>Мор!C33</f>
        <v>0</v>
      </c>
      <c r="BF18" s="227">
        <f>Мор!D33</f>
        <v>0</v>
      </c>
      <c r="BG18" s="227" t="e">
        <f>Мор!E33</f>
        <v>#DIV/0!</v>
      </c>
      <c r="BH18" s="227">
        <f>Мор!F33</f>
        <v>0</v>
      </c>
      <c r="BI18" s="227">
        <f>Мор!G33</f>
        <v>0</v>
      </c>
      <c r="BJ18" s="227">
        <f>Мор!H33</f>
        <v>0</v>
      </c>
      <c r="BK18" s="227">
        <f>Мор!I33</f>
        <v>0</v>
      </c>
      <c r="BL18" s="227">
        <f>Мор!J33</f>
        <v>0</v>
      </c>
      <c r="BM18" s="227">
        <f>Мор!K33</f>
        <v>0</v>
      </c>
      <c r="BN18" s="227">
        <f>Мор!C35</f>
        <v>0</v>
      </c>
      <c r="BO18" s="358">
        <f>Мор!D34</f>
        <v>0</v>
      </c>
      <c r="BP18" s="227" t="e">
        <f t="shared" si="30"/>
        <v>#DIV/0!</v>
      </c>
      <c r="BQ18" s="227">
        <f>Мор!C36</f>
        <v>0</v>
      </c>
      <c r="BR18" s="227">
        <f>Мор!D36</f>
        <v>-11.519869999999999</v>
      </c>
      <c r="BS18" s="227" t="e">
        <f t="shared" si="31"/>
        <v>#DIV/0!</v>
      </c>
      <c r="BT18" s="227"/>
      <c r="BU18" s="227"/>
      <c r="BV18" s="229" t="e">
        <f t="shared" si="32"/>
        <v>#DIV/0!</v>
      </c>
      <c r="BW18" s="229"/>
      <c r="BX18" s="229"/>
      <c r="BY18" s="229" t="e">
        <f t="shared" si="33"/>
        <v>#DIV/0!</v>
      </c>
      <c r="BZ18" s="188">
        <f t="shared" si="34"/>
        <v>4910.0419999999995</v>
      </c>
      <c r="CA18" s="186">
        <f t="shared" si="35"/>
        <v>4258.8534900000004</v>
      </c>
      <c r="CB18" s="227">
        <f t="shared" ref="CB18:CB31" si="53">CA18/BZ18*100</f>
        <v>86.737618334018336</v>
      </c>
      <c r="CC18" s="227">
        <f>Мор!C41</f>
        <v>4512.616</v>
      </c>
      <c r="CD18" s="227">
        <f>Мор!D41</f>
        <v>3963.788</v>
      </c>
      <c r="CE18" s="227">
        <f t="shared" si="36"/>
        <v>87.837919291160603</v>
      </c>
      <c r="CF18" s="227">
        <f>Мор!C42</f>
        <v>0</v>
      </c>
      <c r="CG18" s="227">
        <f>Мор!D42</f>
        <v>0</v>
      </c>
      <c r="CH18" s="227" t="e">
        <f t="shared" si="37"/>
        <v>#DIV/0!</v>
      </c>
      <c r="CI18" s="227">
        <f>Мор!C43</f>
        <v>261.73</v>
      </c>
      <c r="CJ18" s="227">
        <f>Мор!D43</f>
        <v>171.66</v>
      </c>
      <c r="CK18" s="227">
        <f t="shared" si="7"/>
        <v>65.586673289267566</v>
      </c>
      <c r="CL18" s="227">
        <f>Мор!C45</f>
        <v>15.396000000000001</v>
      </c>
      <c r="CM18" s="227">
        <f>Мор!D45</f>
        <v>1.3828</v>
      </c>
      <c r="CN18" s="227">
        <f t="shared" si="8"/>
        <v>8.9815536502987783</v>
      </c>
      <c r="CO18" s="227">
        <f>Мор!C46</f>
        <v>0</v>
      </c>
      <c r="CP18" s="227">
        <f>Мор!D46</f>
        <v>0</v>
      </c>
      <c r="CQ18" s="227" t="e">
        <f>CP18/CO18*100</f>
        <v>#DIV/0!</v>
      </c>
      <c r="CR18" s="227">
        <f>Мор!C48</f>
        <v>120.3</v>
      </c>
      <c r="CS18" s="227">
        <f>Мор!D48</f>
        <v>122.02269</v>
      </c>
      <c r="CT18" s="227">
        <f t="shared" si="9"/>
        <v>101.43199501246882</v>
      </c>
      <c r="CU18" s="227"/>
      <c r="CV18" s="227"/>
      <c r="CW18" s="227"/>
      <c r="CX18" s="188"/>
      <c r="CY18" s="188"/>
      <c r="CZ18" s="227" t="e">
        <f t="shared" si="38"/>
        <v>#DIV/0!</v>
      </c>
      <c r="DA18" s="227"/>
      <c r="DB18" s="227"/>
      <c r="DC18" s="227"/>
      <c r="DD18" s="227"/>
      <c r="DE18" s="227"/>
      <c r="DF18" s="227"/>
      <c r="DG18" s="188">
        <f t="shared" si="39"/>
        <v>9256.5641700000015</v>
      </c>
      <c r="DH18" s="188">
        <f t="shared" si="39"/>
        <v>6492.9483499999997</v>
      </c>
      <c r="DI18" s="227">
        <f t="shared" si="40"/>
        <v>70.14425904422805</v>
      </c>
      <c r="DJ18" s="188">
        <f t="shared" si="41"/>
        <v>1820.6569999999999</v>
      </c>
      <c r="DK18" s="188">
        <f t="shared" si="41"/>
        <v>1385.0664999999999</v>
      </c>
      <c r="DL18" s="227">
        <f t="shared" si="42"/>
        <v>76.075092672590173</v>
      </c>
      <c r="DM18" s="227">
        <f>Мор!C58</f>
        <v>1709.9159999999999</v>
      </c>
      <c r="DN18" s="227">
        <f>Мор!D58</f>
        <v>1301.8254999999999</v>
      </c>
      <c r="DO18" s="227">
        <f t="shared" si="43"/>
        <v>76.133886109025241</v>
      </c>
      <c r="DP18" s="227">
        <f>Мор!C61</f>
        <v>68.039000000000001</v>
      </c>
      <c r="DQ18" s="227">
        <f>Мор!D61</f>
        <v>68.039000000000001</v>
      </c>
      <c r="DR18" s="227">
        <f t="shared" si="44"/>
        <v>100</v>
      </c>
      <c r="DS18" s="227">
        <f>Мор!C62</f>
        <v>20</v>
      </c>
      <c r="DT18" s="227">
        <f>Мор!D62</f>
        <v>0</v>
      </c>
      <c r="DU18" s="227">
        <f t="shared" si="45"/>
        <v>0</v>
      </c>
      <c r="DV18" s="227">
        <f>Мор!C63</f>
        <v>22.702000000000002</v>
      </c>
      <c r="DW18" s="227">
        <f>Мор!D63</f>
        <v>15.202</v>
      </c>
      <c r="DX18" s="227">
        <f t="shared" si="46"/>
        <v>66.963263148621266</v>
      </c>
      <c r="DY18" s="227">
        <f>Мор!C64</f>
        <v>0</v>
      </c>
      <c r="DZ18" s="227">
        <f>Мор!D64</f>
        <v>0</v>
      </c>
      <c r="EA18" s="227" t="e">
        <f t="shared" si="47"/>
        <v>#DIV/0!</v>
      </c>
      <c r="EB18" s="227">
        <f>Мор!C66</f>
        <v>30</v>
      </c>
      <c r="EC18" s="227">
        <f>Мор!D66</f>
        <v>0</v>
      </c>
      <c r="ED18" s="227">
        <f t="shared" si="48"/>
        <v>0</v>
      </c>
      <c r="EE18" s="188">
        <f>Мор!C71</f>
        <v>1497.46117</v>
      </c>
      <c r="EF18" s="188">
        <f>Мор!D71</f>
        <v>716.70069999999998</v>
      </c>
      <c r="EG18" s="227">
        <f t="shared" si="49"/>
        <v>47.861054053241325</v>
      </c>
      <c r="EH18" s="188">
        <f>Мор!C76</f>
        <v>3509.1460000000002</v>
      </c>
      <c r="EI18" s="188">
        <f>Мор!D76</f>
        <v>2213.1811499999999</v>
      </c>
      <c r="EJ18" s="227">
        <f t="shared" si="50"/>
        <v>63.068938995413696</v>
      </c>
      <c r="EK18" s="188">
        <f>Мор!C80</f>
        <v>2374.3000000000002</v>
      </c>
      <c r="EL18" s="230">
        <f>Мор!D80</f>
        <v>2178</v>
      </c>
      <c r="EM18" s="227">
        <f t="shared" si="10"/>
        <v>91.732300046329442</v>
      </c>
      <c r="EN18" s="227">
        <f>Мор!C83</f>
        <v>0</v>
      </c>
      <c r="EO18" s="227">
        <f>Мор!D83</f>
        <v>0</v>
      </c>
      <c r="EP18" s="227" t="e">
        <f t="shared" si="11"/>
        <v>#DIV/0!</v>
      </c>
      <c r="EQ18" s="228">
        <f>Мор!C88</f>
        <v>25</v>
      </c>
      <c r="ER18" s="228">
        <f>Мор!D88</f>
        <v>0</v>
      </c>
      <c r="ES18" s="227">
        <f t="shared" si="51"/>
        <v>0</v>
      </c>
      <c r="ET18" s="227">
        <f>Мор!C94</f>
        <v>0</v>
      </c>
      <c r="EU18" s="227">
        <f>Мор!D94</f>
        <v>0</v>
      </c>
      <c r="EV18" s="227" t="e">
        <f t="shared" si="52"/>
        <v>#DIV/0!</v>
      </c>
      <c r="EW18" s="231">
        <f t="shared" si="12"/>
        <v>-50.512170000001788</v>
      </c>
      <c r="EX18" s="231">
        <f t="shared" si="13"/>
        <v>902.31837000000087</v>
      </c>
      <c r="EY18" s="227">
        <f t="shared" ref="EY18:EY30" si="54">EX18/EW18*100</f>
        <v>-1786.3385595985462</v>
      </c>
      <c r="EZ18" s="232"/>
      <c r="FA18" s="233"/>
      <c r="FC18" s="233"/>
    </row>
    <row r="19" spans="1:170" s="402" customFormat="1" ht="15" customHeight="1">
      <c r="A19" s="398">
        <v>6</v>
      </c>
      <c r="B19" s="194" t="s">
        <v>309</v>
      </c>
      <c r="C19" s="404">
        <f t="shared" si="14"/>
        <v>6735.12</v>
      </c>
      <c r="D19" s="404">
        <f t="shared" si="0"/>
        <v>4489.6466199999995</v>
      </c>
      <c r="E19" s="187">
        <f t="shared" si="1"/>
        <v>66.660232037439556</v>
      </c>
      <c r="F19" s="198">
        <f t="shared" si="2"/>
        <v>4833.7</v>
      </c>
      <c r="G19" s="198">
        <f t="shared" si="3"/>
        <v>3705.6997499999998</v>
      </c>
      <c r="H19" s="187">
        <f t="shared" si="15"/>
        <v>76.663834122928591</v>
      </c>
      <c r="I19" s="195">
        <f>Мос!C6</f>
        <v>1309.9000000000001</v>
      </c>
      <c r="J19" s="195">
        <f>Мос!D6</f>
        <v>997.64643999999998</v>
      </c>
      <c r="K19" s="187">
        <f t="shared" si="16"/>
        <v>76.162030689365594</v>
      </c>
      <c r="L19" s="187">
        <f>Мос!C8</f>
        <v>246.85</v>
      </c>
      <c r="M19" s="187">
        <f>Мос!D8</f>
        <v>255.11240000000001</v>
      </c>
      <c r="N19" s="187">
        <f t="shared" si="17"/>
        <v>103.3471338869759</v>
      </c>
      <c r="O19" s="187">
        <f>Мос!C9</f>
        <v>2.65</v>
      </c>
      <c r="P19" s="187">
        <f>Мос!D9</f>
        <v>2.3669600000000002</v>
      </c>
      <c r="Q19" s="187">
        <f t="shared" si="18"/>
        <v>89.319245283018873</v>
      </c>
      <c r="R19" s="187">
        <f>Мос!C10</f>
        <v>412.3</v>
      </c>
      <c r="S19" s="187">
        <f>Мос!D10</f>
        <v>378.52875</v>
      </c>
      <c r="T19" s="187">
        <f t="shared" si="19"/>
        <v>91.809058937666748</v>
      </c>
      <c r="U19" s="187">
        <f>Мос!C11</f>
        <v>0</v>
      </c>
      <c r="V19" s="187">
        <f>Мос!D11</f>
        <v>-57.625129999999999</v>
      </c>
      <c r="W19" s="187" t="e">
        <f t="shared" si="20"/>
        <v>#DIV/0!</v>
      </c>
      <c r="X19" s="195">
        <f>Мос!C13</f>
        <v>10</v>
      </c>
      <c r="Y19" s="195">
        <f>Мос!D13</f>
        <v>28.442399999999999</v>
      </c>
      <c r="Z19" s="187">
        <f t="shared" si="21"/>
        <v>284.42400000000004</v>
      </c>
      <c r="AA19" s="195">
        <f>Мос!C15</f>
        <v>190</v>
      </c>
      <c r="AB19" s="195">
        <f>Мос!D15</f>
        <v>92.903599999999997</v>
      </c>
      <c r="AC19" s="187">
        <f t="shared" si="22"/>
        <v>48.896631578947371</v>
      </c>
      <c r="AD19" s="195">
        <f>Мос!C16</f>
        <v>2650</v>
      </c>
      <c r="AE19" s="195">
        <f>Мос!D16</f>
        <v>2000.9277199999999</v>
      </c>
      <c r="AF19" s="187">
        <f t="shared" si="4"/>
        <v>75.506706415094342</v>
      </c>
      <c r="AG19" s="187">
        <f>Мос!C18</f>
        <v>10</v>
      </c>
      <c r="AH19" s="187">
        <f>Мос!D18</f>
        <v>7.65</v>
      </c>
      <c r="AI19" s="187">
        <f t="shared" si="23"/>
        <v>76.5</v>
      </c>
      <c r="AJ19" s="187"/>
      <c r="AK19" s="187"/>
      <c r="AL19" s="187" t="e">
        <f t="shared" si="5"/>
        <v>#DIV/0!</v>
      </c>
      <c r="AM19" s="195">
        <f>Мос!C27</f>
        <v>0</v>
      </c>
      <c r="AN19" s="195">
        <f>Мос!D27</f>
        <v>0</v>
      </c>
      <c r="AO19" s="187" t="e">
        <f t="shared" si="6"/>
        <v>#DIV/0!</v>
      </c>
      <c r="AP19" s="195">
        <v>0</v>
      </c>
      <c r="AQ19" s="195">
        <f>Мос!D27</f>
        <v>0</v>
      </c>
      <c r="AR19" s="187" t="e">
        <f t="shared" si="24"/>
        <v>#DIV/0!</v>
      </c>
      <c r="AS19" s="195">
        <f>Мос!C26</f>
        <v>2</v>
      </c>
      <c r="AT19" s="195">
        <f>Мос!D28</f>
        <v>0</v>
      </c>
      <c r="AU19" s="187">
        <f t="shared" si="25"/>
        <v>0</v>
      </c>
      <c r="AV19" s="195"/>
      <c r="AW19" s="195"/>
      <c r="AX19" s="187" t="e">
        <f t="shared" si="26"/>
        <v>#DIV/0!</v>
      </c>
      <c r="AY19" s="187">
        <f>Мос!C30</f>
        <v>0</v>
      </c>
      <c r="AZ19" s="187">
        <f>Мос!D30</f>
        <v>0</v>
      </c>
      <c r="BA19" s="187" t="e">
        <f t="shared" si="27"/>
        <v>#DIV/0!</v>
      </c>
      <c r="BB19" s="187"/>
      <c r="BC19" s="187"/>
      <c r="BD19" s="187"/>
      <c r="BE19" s="187">
        <f>Мос!C33</f>
        <v>0</v>
      </c>
      <c r="BF19" s="187">
        <f>Мос!D33</f>
        <v>0</v>
      </c>
      <c r="BG19" s="187" t="e">
        <f t="shared" si="28"/>
        <v>#DIV/0!</v>
      </c>
      <c r="BH19" s="187"/>
      <c r="BI19" s="187"/>
      <c r="BJ19" s="187" t="e">
        <f t="shared" si="29"/>
        <v>#DIV/0!</v>
      </c>
      <c r="BK19" s="187"/>
      <c r="BL19" s="187"/>
      <c r="BM19" s="187"/>
      <c r="BN19" s="187"/>
      <c r="BO19" s="357">
        <f>Мос!D35</f>
        <v>0</v>
      </c>
      <c r="BP19" s="187" t="e">
        <f t="shared" si="30"/>
        <v>#DIV/0!</v>
      </c>
      <c r="BQ19" s="187">
        <f>Мос!C36</f>
        <v>0</v>
      </c>
      <c r="BR19" s="187">
        <f>Мос!D36</f>
        <v>-0.25339</v>
      </c>
      <c r="BS19" s="187" t="e">
        <f t="shared" si="31"/>
        <v>#DIV/0!</v>
      </c>
      <c r="BT19" s="187"/>
      <c r="BU19" s="187"/>
      <c r="BV19" s="196" t="e">
        <f t="shared" si="32"/>
        <v>#DIV/0!</v>
      </c>
      <c r="BW19" s="196"/>
      <c r="BX19" s="196"/>
      <c r="BY19" s="196" t="e">
        <f t="shared" si="33"/>
        <v>#DIV/0!</v>
      </c>
      <c r="BZ19" s="195">
        <f t="shared" si="34"/>
        <v>1901.42</v>
      </c>
      <c r="CA19" s="195">
        <f t="shared" si="35"/>
        <v>783.94686999999999</v>
      </c>
      <c r="CB19" s="187">
        <f t="shared" si="53"/>
        <v>41.22954791682006</v>
      </c>
      <c r="CC19" s="187">
        <f>Мос!C41</f>
        <v>35.76</v>
      </c>
      <c r="CD19" s="187">
        <f>Мос!D41</f>
        <v>34.917999999999999</v>
      </c>
      <c r="CE19" s="187">
        <f>CD19/CC19*100</f>
        <v>97.645413870246088</v>
      </c>
      <c r="CF19" s="187">
        <f>Мос!C42</f>
        <v>0</v>
      </c>
      <c r="CG19" s="187">
        <f>Мос!D42</f>
        <v>0</v>
      </c>
      <c r="CH19" s="187" t="e">
        <f t="shared" si="37"/>
        <v>#DIV/0!</v>
      </c>
      <c r="CI19" s="187">
        <f>Мос!C43</f>
        <v>1336.52</v>
      </c>
      <c r="CJ19" s="187">
        <f>Мос!D43</f>
        <v>323.24786999999998</v>
      </c>
      <c r="CK19" s="187">
        <f t="shared" si="7"/>
        <v>24.18578622093197</v>
      </c>
      <c r="CL19" s="187">
        <f>Мос!C45</f>
        <v>154.24</v>
      </c>
      <c r="CM19" s="187">
        <f>Мос!D45</f>
        <v>150.881</v>
      </c>
      <c r="CN19" s="187">
        <f t="shared" si="8"/>
        <v>97.822225103734439</v>
      </c>
      <c r="CO19" s="187">
        <f>Мос!C47</f>
        <v>100</v>
      </c>
      <c r="CP19" s="187">
        <f>Мос!D46</f>
        <v>0</v>
      </c>
      <c r="CQ19" s="187">
        <f>CP19/CO19*100</f>
        <v>0</v>
      </c>
      <c r="CR19" s="187">
        <f>Мос!C50</f>
        <v>274.89999999999998</v>
      </c>
      <c r="CS19" s="187">
        <f>Мос!D50</f>
        <v>274.89999999999998</v>
      </c>
      <c r="CT19" s="187">
        <f t="shared" si="9"/>
        <v>100</v>
      </c>
      <c r="CU19" s="187"/>
      <c r="CV19" s="187"/>
      <c r="CW19" s="187"/>
      <c r="CX19" s="195"/>
      <c r="CY19" s="195"/>
      <c r="CZ19" s="187" t="e">
        <f t="shared" si="38"/>
        <v>#DIV/0!</v>
      </c>
      <c r="DA19" s="187"/>
      <c r="DB19" s="187"/>
      <c r="DC19" s="187"/>
      <c r="DD19" s="187"/>
      <c r="DE19" s="187"/>
      <c r="DF19" s="187"/>
      <c r="DG19" s="195">
        <f t="shared" si="39"/>
        <v>7063.3660099999997</v>
      </c>
      <c r="DH19" s="195">
        <f t="shared" si="39"/>
        <v>3835.4965799999995</v>
      </c>
      <c r="DI19" s="187">
        <f t="shared" si="40"/>
        <v>54.30125770871669</v>
      </c>
      <c r="DJ19" s="195">
        <f t="shared" si="41"/>
        <v>1826.8579999999999</v>
      </c>
      <c r="DK19" s="195">
        <f t="shared" si="41"/>
        <v>1504.48451</v>
      </c>
      <c r="DL19" s="187">
        <f t="shared" si="42"/>
        <v>82.353664597905265</v>
      </c>
      <c r="DM19" s="187">
        <f>Мос!C58</f>
        <v>1799.6769999999999</v>
      </c>
      <c r="DN19" s="187">
        <f>Мос!D58</f>
        <v>1482.9880499999999</v>
      </c>
      <c r="DO19" s="187">
        <f t="shared" si="43"/>
        <v>82.403011762666296</v>
      </c>
      <c r="DP19" s="187">
        <f>Мос!C61</f>
        <v>16.698</v>
      </c>
      <c r="DQ19" s="187">
        <f>Мос!D61</f>
        <v>16.698</v>
      </c>
      <c r="DR19" s="187">
        <f t="shared" si="44"/>
        <v>100</v>
      </c>
      <c r="DS19" s="187">
        <f>Мос!C62</f>
        <v>5</v>
      </c>
      <c r="DT19" s="187">
        <f>Мос!D62</f>
        <v>0</v>
      </c>
      <c r="DU19" s="187">
        <f t="shared" si="45"/>
        <v>0</v>
      </c>
      <c r="DV19" s="187">
        <f>Мос!C63</f>
        <v>5.4829999999999997</v>
      </c>
      <c r="DW19" s="187">
        <f>Мос!D63</f>
        <v>4.7984600000000004</v>
      </c>
      <c r="DX19" s="187">
        <f t="shared" si="46"/>
        <v>87.515228889294193</v>
      </c>
      <c r="DY19" s="187">
        <f>Мос!C65</f>
        <v>150.881</v>
      </c>
      <c r="DZ19" s="187">
        <f>Мос!D65</f>
        <v>150.262</v>
      </c>
      <c r="EA19" s="187">
        <f t="shared" si="47"/>
        <v>99.589742909975413</v>
      </c>
      <c r="EB19" s="187">
        <f>Мос!C66</f>
        <v>15</v>
      </c>
      <c r="EC19" s="187">
        <f>Мос!D66</f>
        <v>2.4</v>
      </c>
      <c r="ED19" s="187">
        <f t="shared" si="48"/>
        <v>16</v>
      </c>
      <c r="EE19" s="195">
        <f>Мос!C71</f>
        <v>2995.57501</v>
      </c>
      <c r="EF19" s="195">
        <f>Мос!D71</f>
        <v>877.51490999999999</v>
      </c>
      <c r="EG19" s="187">
        <f t="shared" si="49"/>
        <v>29.293705117402485</v>
      </c>
      <c r="EH19" s="195">
        <f>Мос!C76</f>
        <v>944.15</v>
      </c>
      <c r="EI19" s="195">
        <f>Мос!D76</f>
        <v>549.73515999999995</v>
      </c>
      <c r="EJ19" s="187">
        <f t="shared" si="50"/>
        <v>58.225404861515649</v>
      </c>
      <c r="EK19" s="195">
        <f>Мос!C81</f>
        <v>1107.5999999999999</v>
      </c>
      <c r="EL19" s="197">
        <f>Мос!D81</f>
        <v>741.1</v>
      </c>
      <c r="EM19" s="187">
        <f t="shared" si="10"/>
        <v>66.910436980859515</v>
      </c>
      <c r="EN19" s="187">
        <f>Мос!C89</f>
        <v>0</v>
      </c>
      <c r="EO19" s="187">
        <f>Мос!D89</f>
        <v>0</v>
      </c>
      <c r="EP19" s="187" t="e">
        <f t="shared" si="11"/>
        <v>#DIV/0!</v>
      </c>
      <c r="EQ19" s="198">
        <f>Мос!C91</f>
        <v>23.302</v>
      </c>
      <c r="ER19" s="198">
        <f>Мос!D91</f>
        <v>10</v>
      </c>
      <c r="ES19" s="187">
        <f t="shared" si="51"/>
        <v>42.914771264269163</v>
      </c>
      <c r="ET19" s="187">
        <f>Мос!C97</f>
        <v>0</v>
      </c>
      <c r="EU19" s="187">
        <f>Мос!D97</f>
        <v>0</v>
      </c>
      <c r="EV19" s="187" t="e">
        <f t="shared" si="52"/>
        <v>#DIV/0!</v>
      </c>
      <c r="EW19" s="399">
        <f t="shared" si="12"/>
        <v>-328.24600999999984</v>
      </c>
      <c r="EX19" s="399">
        <f t="shared" si="13"/>
        <v>654.15003999999999</v>
      </c>
      <c r="EY19" s="187">
        <f t="shared" si="54"/>
        <v>-199.28651684143864</v>
      </c>
      <c r="EZ19" s="400"/>
      <c r="FA19" s="401"/>
      <c r="FC19" s="401"/>
    </row>
    <row r="20" spans="1:170" s="169" customFormat="1" ht="15" customHeight="1">
      <c r="A20" s="181">
        <v>7</v>
      </c>
      <c r="B20" s="194" t="s">
        <v>310</v>
      </c>
      <c r="C20" s="183">
        <f t="shared" si="14"/>
        <v>5992.91</v>
      </c>
      <c r="D20" s="404">
        <f t="shared" si="0"/>
        <v>4501.4772199999998</v>
      </c>
      <c r="E20" s="187">
        <f t="shared" si="1"/>
        <v>75.113379309884508</v>
      </c>
      <c r="F20" s="185">
        <f t="shared" si="2"/>
        <v>2702.3</v>
      </c>
      <c r="G20" s="185">
        <f t="shared" si="3"/>
        <v>1691.1238700000001</v>
      </c>
      <c r="H20" s="187">
        <f t="shared" si="15"/>
        <v>62.580907745254045</v>
      </c>
      <c r="I20" s="291">
        <f>Ори!C6</f>
        <v>262.3</v>
      </c>
      <c r="J20" s="291">
        <f>Ори!D6</f>
        <v>181.78439</v>
      </c>
      <c r="K20" s="187">
        <f t="shared" si="16"/>
        <v>69.30399923751429</v>
      </c>
      <c r="L20" s="187">
        <f>Ори!C8</f>
        <v>157.66999999999999</v>
      </c>
      <c r="M20" s="187">
        <f>Ори!D8</f>
        <v>162.94273999999999</v>
      </c>
      <c r="N20" s="184">
        <f t="shared" si="17"/>
        <v>103.34416185704318</v>
      </c>
      <c r="O20" s="184">
        <f>Ори!C9</f>
        <v>1.7</v>
      </c>
      <c r="P20" s="184">
        <f>Ори!D9</f>
        <v>1.5118100000000001</v>
      </c>
      <c r="Q20" s="184">
        <f t="shared" si="18"/>
        <v>88.93</v>
      </c>
      <c r="R20" s="184">
        <f>Ори!C10</f>
        <v>263.33</v>
      </c>
      <c r="S20" s="184">
        <f>Ори!D10</f>
        <v>241.77</v>
      </c>
      <c r="T20" s="184">
        <f t="shared" si="19"/>
        <v>91.812554589298614</v>
      </c>
      <c r="U20" s="184">
        <f>Ори!C11</f>
        <v>0</v>
      </c>
      <c r="V20" s="184">
        <f>Ори!D11</f>
        <v>-36.805689999999998</v>
      </c>
      <c r="W20" s="184" t="e">
        <f t="shared" si="20"/>
        <v>#DIV/0!</v>
      </c>
      <c r="X20" s="195">
        <f>Ори!C13</f>
        <v>40</v>
      </c>
      <c r="Y20" s="195">
        <f>Ори!D13</f>
        <v>35.71604</v>
      </c>
      <c r="Z20" s="187">
        <f t="shared" si="21"/>
        <v>89.290099999999995</v>
      </c>
      <c r="AA20" s="195">
        <f>Ори!C15</f>
        <v>160</v>
      </c>
      <c r="AB20" s="195">
        <f>Ори!D15</f>
        <v>87.012360000000001</v>
      </c>
      <c r="AC20" s="187">
        <f t="shared" si="22"/>
        <v>54.382725000000001</v>
      </c>
      <c r="AD20" s="195">
        <f>Ори!C16</f>
        <v>1620</v>
      </c>
      <c r="AE20" s="195">
        <f>Ори!D16</f>
        <v>921.75297</v>
      </c>
      <c r="AF20" s="187">
        <f t="shared" si="4"/>
        <v>56.898331481481478</v>
      </c>
      <c r="AG20" s="187">
        <f>Ори!C18</f>
        <v>10</v>
      </c>
      <c r="AH20" s="187">
        <f>Ори!D18</f>
        <v>6.2850000000000001</v>
      </c>
      <c r="AI20" s="187">
        <f t="shared" si="23"/>
        <v>62.850000000000009</v>
      </c>
      <c r="AJ20" s="187"/>
      <c r="AK20" s="187"/>
      <c r="AL20" s="187" t="e">
        <f t="shared" si="5"/>
        <v>#DIV/0!</v>
      </c>
      <c r="AM20" s="195">
        <v>0</v>
      </c>
      <c r="AN20" s="195">
        <v>0</v>
      </c>
      <c r="AO20" s="187" t="e">
        <f t="shared" si="6"/>
        <v>#DIV/0!</v>
      </c>
      <c r="AP20" s="195">
        <f>Ори!C27</f>
        <v>107.3</v>
      </c>
      <c r="AQ20" s="195">
        <f>Ори!D27</f>
        <v>38.791519999999998</v>
      </c>
      <c r="AR20" s="187">
        <f t="shared" si="24"/>
        <v>36.152395153774464</v>
      </c>
      <c r="AS20" s="188">
        <f>Ори!C28</f>
        <v>30</v>
      </c>
      <c r="AT20" s="195">
        <f>Ори!D28</f>
        <v>45</v>
      </c>
      <c r="AU20" s="187">
        <f t="shared" si="25"/>
        <v>150</v>
      </c>
      <c r="AV20" s="195"/>
      <c r="AW20" s="195"/>
      <c r="AX20" s="187" t="e">
        <f t="shared" si="26"/>
        <v>#DIV/0!</v>
      </c>
      <c r="AY20" s="187">
        <f>Ори!C30</f>
        <v>50</v>
      </c>
      <c r="AZ20" s="187">
        <f>Ори!D30</f>
        <v>1.33328</v>
      </c>
      <c r="BA20" s="187">
        <f t="shared" si="27"/>
        <v>2.66656</v>
      </c>
      <c r="BB20" s="187"/>
      <c r="BC20" s="187"/>
      <c r="BD20" s="187"/>
      <c r="BE20" s="187">
        <f>Ори!C33</f>
        <v>0</v>
      </c>
      <c r="BF20" s="187">
        <f>Ори!D33</f>
        <v>0</v>
      </c>
      <c r="BG20" s="187" t="e">
        <f t="shared" si="28"/>
        <v>#DIV/0!</v>
      </c>
      <c r="BH20" s="187"/>
      <c r="BI20" s="187"/>
      <c r="BJ20" s="187" t="e">
        <f t="shared" si="29"/>
        <v>#DIV/0!</v>
      </c>
      <c r="BK20" s="187"/>
      <c r="BL20" s="187"/>
      <c r="BM20" s="187"/>
      <c r="BN20" s="187"/>
      <c r="BO20" s="357">
        <f>Ори!D34</f>
        <v>0</v>
      </c>
      <c r="BP20" s="187" t="e">
        <f t="shared" si="30"/>
        <v>#DIV/0!</v>
      </c>
      <c r="BQ20" s="187">
        <f>Ори!C36</f>
        <v>0</v>
      </c>
      <c r="BR20" s="187">
        <f>Ори!D36</f>
        <v>4.0294499999999998</v>
      </c>
      <c r="BS20" s="187" t="e">
        <f t="shared" si="31"/>
        <v>#DIV/0!</v>
      </c>
      <c r="BT20" s="187"/>
      <c r="BU20" s="187"/>
      <c r="BV20" s="196" t="e">
        <f t="shared" si="32"/>
        <v>#DIV/0!</v>
      </c>
      <c r="BW20" s="196"/>
      <c r="BX20" s="196"/>
      <c r="BY20" s="196" t="e">
        <f t="shared" si="33"/>
        <v>#DIV/0!</v>
      </c>
      <c r="BZ20" s="186">
        <f t="shared" si="34"/>
        <v>3290.6099999999997</v>
      </c>
      <c r="CA20" s="186">
        <f t="shared" si="35"/>
        <v>2810.3533499999999</v>
      </c>
      <c r="CB20" s="187">
        <f t="shared" si="53"/>
        <v>85.405239454082988</v>
      </c>
      <c r="CC20" s="187">
        <f>Ори!C41</f>
        <v>1357.7539999999999</v>
      </c>
      <c r="CD20" s="187">
        <f>Ори!D41</f>
        <v>1197.5440000000001</v>
      </c>
      <c r="CE20" s="187">
        <f t="shared" si="36"/>
        <v>88.200366192992263</v>
      </c>
      <c r="CF20" s="187">
        <f>Ори!C42</f>
        <v>420</v>
      </c>
      <c r="CG20" s="187">
        <f>Ори!D42</f>
        <v>240</v>
      </c>
      <c r="CH20" s="187">
        <f t="shared" si="37"/>
        <v>57.142857142857139</v>
      </c>
      <c r="CI20" s="187">
        <f>Ори!C43</f>
        <v>1047.7360000000001</v>
      </c>
      <c r="CJ20" s="187">
        <f>Ори!D43</f>
        <v>912.74599999999998</v>
      </c>
      <c r="CK20" s="187">
        <f t="shared" si="7"/>
        <v>87.116029228737005</v>
      </c>
      <c r="CL20" s="187">
        <f>Ори!C45</f>
        <v>155.91999999999999</v>
      </c>
      <c r="CM20" s="187">
        <f>Ори!D45</f>
        <v>150.881</v>
      </c>
      <c r="CN20" s="187">
        <f t="shared" si="8"/>
        <v>96.768214468958448</v>
      </c>
      <c r="CO20" s="187">
        <f>Ори!C46</f>
        <v>0</v>
      </c>
      <c r="CP20" s="187">
        <f>Ори!D46</f>
        <v>0</v>
      </c>
      <c r="CQ20" s="187" t="e">
        <f>CP20/CO20*100</f>
        <v>#DIV/0!</v>
      </c>
      <c r="CR20" s="187">
        <f>Ори!C47</f>
        <v>309.2</v>
      </c>
      <c r="CS20" s="187">
        <f>Ори!D47</f>
        <v>309.18234999999999</v>
      </c>
      <c r="CT20" s="187">
        <f t="shared" si="9"/>
        <v>99.994291720569208</v>
      </c>
      <c r="CU20" s="187"/>
      <c r="CV20" s="187"/>
      <c r="CW20" s="187"/>
      <c r="CX20" s="195"/>
      <c r="CY20" s="195"/>
      <c r="CZ20" s="187" t="e">
        <f t="shared" si="38"/>
        <v>#DIV/0!</v>
      </c>
      <c r="DA20" s="187"/>
      <c r="DB20" s="187"/>
      <c r="DC20" s="187"/>
      <c r="DD20" s="187"/>
      <c r="DE20" s="187"/>
      <c r="DF20" s="187"/>
      <c r="DG20" s="195">
        <f t="shared" si="39"/>
        <v>6104.6435099999999</v>
      </c>
      <c r="DH20" s="195">
        <f t="shared" si="39"/>
        <v>4252.6700300000002</v>
      </c>
      <c r="DI20" s="187">
        <f t="shared" si="40"/>
        <v>69.662872582710406</v>
      </c>
      <c r="DJ20" s="195">
        <f t="shared" si="41"/>
        <v>1330.0975000000001</v>
      </c>
      <c r="DK20" s="195">
        <f t="shared" si="41"/>
        <v>945.64662999999996</v>
      </c>
      <c r="DL20" s="187">
        <f t="shared" si="42"/>
        <v>71.09603844830923</v>
      </c>
      <c r="DM20" s="187">
        <f>Ори!C58</f>
        <v>1313.154</v>
      </c>
      <c r="DN20" s="187">
        <f>Ори!D58</f>
        <v>933.70312999999999</v>
      </c>
      <c r="DO20" s="187">
        <f t="shared" si="43"/>
        <v>71.103856059533001</v>
      </c>
      <c r="DP20" s="187">
        <f>Ори!C61</f>
        <v>0</v>
      </c>
      <c r="DQ20" s="187">
        <f>Ори!D61</f>
        <v>0</v>
      </c>
      <c r="DR20" s="187" t="e">
        <f t="shared" si="44"/>
        <v>#DIV/0!</v>
      </c>
      <c r="DS20" s="187">
        <f>Ори!C62</f>
        <v>5</v>
      </c>
      <c r="DT20" s="187">
        <f>Ори!D62</f>
        <v>0</v>
      </c>
      <c r="DU20" s="187">
        <f t="shared" si="45"/>
        <v>0</v>
      </c>
      <c r="DV20" s="187">
        <f>Ори!C63</f>
        <v>11.9435</v>
      </c>
      <c r="DW20" s="187">
        <f>Ори!D63</f>
        <v>11.9435</v>
      </c>
      <c r="DX20" s="187">
        <f t="shared" si="46"/>
        <v>100</v>
      </c>
      <c r="DY20" s="187">
        <f>Ори!C65</f>
        <v>150.881</v>
      </c>
      <c r="DZ20" s="187">
        <f>Ори!D65</f>
        <v>118.7345</v>
      </c>
      <c r="EA20" s="187">
        <f t="shared" si="47"/>
        <v>78.694136438650318</v>
      </c>
      <c r="EB20" s="187">
        <f>Ори!C66</f>
        <v>9.4405000000000001</v>
      </c>
      <c r="EC20" s="187">
        <f>Ори!D66</f>
        <v>9.4396599999999999</v>
      </c>
      <c r="ED20" s="187">
        <f t="shared" si="48"/>
        <v>99.991102166198814</v>
      </c>
      <c r="EE20" s="195">
        <f>Ори!C71</f>
        <v>2173.4105099999997</v>
      </c>
      <c r="EF20" s="195">
        <f>Ори!D71</f>
        <v>1698.1220399999997</v>
      </c>
      <c r="EG20" s="187">
        <f t="shared" si="49"/>
        <v>78.131675179945631</v>
      </c>
      <c r="EH20" s="195">
        <f>Ори!C76</f>
        <v>908.81399999999996</v>
      </c>
      <c r="EI20" s="195">
        <f>Ори!D76</f>
        <v>738.38620000000003</v>
      </c>
      <c r="EJ20" s="187">
        <f t="shared" si="50"/>
        <v>81.24722990622945</v>
      </c>
      <c r="EK20" s="195">
        <f>Ори!C81</f>
        <v>1530</v>
      </c>
      <c r="EL20" s="197">
        <f>Ори!D81</f>
        <v>742.34100000000001</v>
      </c>
      <c r="EM20" s="187">
        <f t="shared" si="10"/>
        <v>48.519019607843141</v>
      </c>
      <c r="EN20" s="187">
        <f>Ори!C83</f>
        <v>0</v>
      </c>
      <c r="EO20" s="187">
        <f>Ори!D83</f>
        <v>0</v>
      </c>
      <c r="EP20" s="187" t="e">
        <f t="shared" si="11"/>
        <v>#DIV/0!</v>
      </c>
      <c r="EQ20" s="198">
        <f>Ори!C88</f>
        <v>2</v>
      </c>
      <c r="ER20" s="198">
        <f>Ори!D88</f>
        <v>0</v>
      </c>
      <c r="ES20" s="187">
        <f t="shared" si="51"/>
        <v>0</v>
      </c>
      <c r="ET20" s="187">
        <f>Ори!C94</f>
        <v>0</v>
      </c>
      <c r="EU20" s="187">
        <f>Ори!D94</f>
        <v>0</v>
      </c>
      <c r="EV20" s="184" t="e">
        <f t="shared" si="52"/>
        <v>#DIV/0!</v>
      </c>
      <c r="EW20" s="191">
        <f t="shared" si="12"/>
        <v>-111.73351000000002</v>
      </c>
      <c r="EX20" s="191">
        <f t="shared" si="13"/>
        <v>248.80718999999954</v>
      </c>
      <c r="EY20" s="184">
        <f t="shared" si="54"/>
        <v>-222.67911390235523</v>
      </c>
      <c r="EZ20" s="192"/>
      <c r="FA20" s="193"/>
      <c r="FC20" s="193"/>
      <c r="FF20" s="200"/>
      <c r="FG20" s="200"/>
      <c r="FH20" s="200"/>
      <c r="FI20" s="200"/>
      <c r="FJ20" s="200"/>
      <c r="FK20" s="200"/>
      <c r="FL20" s="200"/>
      <c r="FM20" s="200"/>
      <c r="FN20" s="200"/>
    </row>
    <row r="21" spans="1:170" s="169" customFormat="1" ht="15" customHeight="1">
      <c r="A21" s="181">
        <v>8</v>
      </c>
      <c r="B21" s="194" t="s">
        <v>311</v>
      </c>
      <c r="C21" s="183">
        <f t="shared" si="14"/>
        <v>6432.7546599999996</v>
      </c>
      <c r="D21" s="404">
        <f t="shared" si="0"/>
        <v>4338.7308199999998</v>
      </c>
      <c r="E21" s="187">
        <f t="shared" si="1"/>
        <v>67.447478558120537</v>
      </c>
      <c r="F21" s="185">
        <f t="shared" si="2"/>
        <v>1904.9999999999998</v>
      </c>
      <c r="G21" s="185">
        <f t="shared" si="3"/>
        <v>1334.72065</v>
      </c>
      <c r="H21" s="187">
        <f t="shared" si="15"/>
        <v>70.064076115485577</v>
      </c>
      <c r="I21" s="195">
        <f>Сят!C6</f>
        <v>108.1</v>
      </c>
      <c r="J21" s="195">
        <f>Сят!D6</f>
        <v>95.675629999999998</v>
      </c>
      <c r="K21" s="187">
        <f t="shared" si="16"/>
        <v>88.506595744680851</v>
      </c>
      <c r="L21" s="187">
        <f>Сят!C8</f>
        <v>194.3</v>
      </c>
      <c r="M21" s="187">
        <f>Сят!D8</f>
        <v>200.79813999999999</v>
      </c>
      <c r="N21" s="184">
        <f t="shared" si="17"/>
        <v>103.34438497169324</v>
      </c>
      <c r="O21" s="184">
        <f>Сят!C9</f>
        <v>2.1</v>
      </c>
      <c r="P21" s="184">
        <f>Сят!D9</f>
        <v>1.86303</v>
      </c>
      <c r="Q21" s="184">
        <f t="shared" si="18"/>
        <v>88.71571428571427</v>
      </c>
      <c r="R21" s="184">
        <f>Сят!C10</f>
        <v>324.5</v>
      </c>
      <c r="S21" s="184">
        <f>Сят!D10</f>
        <v>297.93876999999998</v>
      </c>
      <c r="T21" s="184">
        <f t="shared" si="19"/>
        <v>91.814721109399073</v>
      </c>
      <c r="U21" s="184">
        <f>Сят!C11</f>
        <v>0</v>
      </c>
      <c r="V21" s="184">
        <f>Сят!D11</f>
        <v>-45.356549999999999</v>
      </c>
      <c r="W21" s="184" t="e">
        <f t="shared" si="20"/>
        <v>#DIV/0!</v>
      </c>
      <c r="X21" s="195">
        <f>Сят!C13</f>
        <v>40</v>
      </c>
      <c r="Y21" s="195">
        <f>Сят!D13</f>
        <v>43.00244</v>
      </c>
      <c r="Z21" s="187">
        <f t="shared" si="21"/>
        <v>107.5061</v>
      </c>
      <c r="AA21" s="195">
        <f>Сят!C15</f>
        <v>130</v>
      </c>
      <c r="AB21" s="195">
        <f>Сят!D15</f>
        <v>87.497780000000006</v>
      </c>
      <c r="AC21" s="187">
        <f t="shared" si="22"/>
        <v>67.305984615384617</v>
      </c>
      <c r="AD21" s="195">
        <f>Сят!C16</f>
        <v>930</v>
      </c>
      <c r="AE21" s="195">
        <f>Сят!D16</f>
        <v>711.82727</v>
      </c>
      <c r="AF21" s="187">
        <f t="shared" si="4"/>
        <v>76.540566666666663</v>
      </c>
      <c r="AG21" s="187">
        <f>Сят!C18</f>
        <v>10</v>
      </c>
      <c r="AH21" s="187">
        <f>Сят!D18</f>
        <v>2.7749999999999999</v>
      </c>
      <c r="AI21" s="187">
        <f t="shared" si="23"/>
        <v>27.749999999999996</v>
      </c>
      <c r="AJ21" s="187">
        <f>Сят!C22</f>
        <v>0</v>
      </c>
      <c r="AK21" s="187">
        <f>Сят!D20</f>
        <v>0</v>
      </c>
      <c r="AL21" s="187" t="e">
        <f t="shared" si="5"/>
        <v>#DIV/0!</v>
      </c>
      <c r="AM21" s="195">
        <v>0</v>
      </c>
      <c r="AN21" s="195">
        <v>0</v>
      </c>
      <c r="AO21" s="187" t="e">
        <f t="shared" si="6"/>
        <v>#DIV/0!</v>
      </c>
      <c r="AP21" s="195">
        <f>Сят!C27</f>
        <v>160</v>
      </c>
      <c r="AQ21" s="195">
        <f>Сят!D27</f>
        <v>25</v>
      </c>
      <c r="AR21" s="187">
        <f t="shared" si="24"/>
        <v>15.625</v>
      </c>
      <c r="AS21" s="188">
        <f>Сят!C28</f>
        <v>6</v>
      </c>
      <c r="AT21" s="195">
        <f>Сят!D28</f>
        <v>5.6448</v>
      </c>
      <c r="AU21" s="187">
        <f t="shared" si="25"/>
        <v>94.08</v>
      </c>
      <c r="AV21" s="195"/>
      <c r="AW21" s="195"/>
      <c r="AX21" s="187" t="e">
        <f t="shared" si="26"/>
        <v>#DIV/0!</v>
      </c>
      <c r="AY21" s="187">
        <f>Сят!C30</f>
        <v>0</v>
      </c>
      <c r="AZ21" s="187">
        <f>Сят!D30</f>
        <v>3.0543399999999998</v>
      </c>
      <c r="BA21" s="187" t="e">
        <f t="shared" si="27"/>
        <v>#DIV/0!</v>
      </c>
      <c r="BB21" s="187"/>
      <c r="BC21" s="187"/>
      <c r="BD21" s="187"/>
      <c r="BE21" s="187">
        <f>Сят!C33</f>
        <v>0</v>
      </c>
      <c r="BF21" s="187">
        <f>Сят!D33</f>
        <v>0</v>
      </c>
      <c r="BG21" s="187" t="e">
        <f t="shared" si="28"/>
        <v>#DIV/0!</v>
      </c>
      <c r="BH21" s="187"/>
      <c r="BI21" s="187"/>
      <c r="BJ21" s="187" t="e">
        <f t="shared" si="29"/>
        <v>#DIV/0!</v>
      </c>
      <c r="BK21" s="187"/>
      <c r="BL21" s="187"/>
      <c r="BM21" s="187"/>
      <c r="BN21" s="187"/>
      <c r="BO21" s="357">
        <f>Сят!D34</f>
        <v>0</v>
      </c>
      <c r="BP21" s="187" t="e">
        <f t="shared" si="30"/>
        <v>#DIV/0!</v>
      </c>
      <c r="BQ21" s="187">
        <f>Сят!C36</f>
        <v>0</v>
      </c>
      <c r="BR21" s="187">
        <f>Сят!D36</f>
        <v>-95</v>
      </c>
      <c r="BS21" s="187" t="e">
        <f t="shared" si="31"/>
        <v>#DIV/0!</v>
      </c>
      <c r="BT21" s="187"/>
      <c r="BU21" s="187"/>
      <c r="BV21" s="196" t="e">
        <f t="shared" si="32"/>
        <v>#DIV/0!</v>
      </c>
      <c r="BW21" s="196"/>
      <c r="BX21" s="196"/>
      <c r="BY21" s="196" t="e">
        <f t="shared" si="33"/>
        <v>#DIV/0!</v>
      </c>
      <c r="BZ21" s="186">
        <f t="shared" si="34"/>
        <v>4527.7546599999996</v>
      </c>
      <c r="CA21" s="186">
        <f t="shared" si="35"/>
        <v>3004.01017</v>
      </c>
      <c r="CB21" s="187">
        <f t="shared" si="53"/>
        <v>66.34657563358347</v>
      </c>
      <c r="CC21" s="187">
        <f>Сят!C41</f>
        <v>2768.8539999999998</v>
      </c>
      <c r="CD21" s="187">
        <f>Сят!D41</f>
        <v>2376.1039999999998</v>
      </c>
      <c r="CE21" s="187">
        <f t="shared" si="36"/>
        <v>85.815431221725675</v>
      </c>
      <c r="CF21" s="187">
        <f>Сят!C42</f>
        <v>0</v>
      </c>
      <c r="CG21" s="187">
        <f>Сят!D42</f>
        <v>0</v>
      </c>
      <c r="CH21" s="187" t="e">
        <f t="shared" si="37"/>
        <v>#DIV/0!</v>
      </c>
      <c r="CI21" s="187">
        <f>Сят!C43</f>
        <v>1314.29766</v>
      </c>
      <c r="CJ21" s="187">
        <f>Сят!D43</f>
        <v>268.69499999999999</v>
      </c>
      <c r="CK21" s="187">
        <f t="shared" si="7"/>
        <v>20.443998964435501</v>
      </c>
      <c r="CL21" s="187">
        <f>Сят!C44</f>
        <v>157.59899999999999</v>
      </c>
      <c r="CM21" s="187">
        <f>Сят!D44</f>
        <v>151.91810000000001</v>
      </c>
      <c r="CN21" s="187">
        <f t="shared" si="8"/>
        <v>96.395345148129124</v>
      </c>
      <c r="CO21" s="187">
        <f>Сят!C48</f>
        <v>0</v>
      </c>
      <c r="CP21" s="187">
        <f>Сят!D48</f>
        <v>0</v>
      </c>
      <c r="CQ21" s="187" t="e">
        <f>CP21/CO21*100</f>
        <v>#DIV/0!</v>
      </c>
      <c r="CR21" s="187">
        <f>Сят!C49</f>
        <v>287.00400000000002</v>
      </c>
      <c r="CS21" s="187">
        <f>Сят!D49</f>
        <v>287.00457</v>
      </c>
      <c r="CT21" s="187">
        <f t="shared" si="9"/>
        <v>100.00019860350378</v>
      </c>
      <c r="CU21" s="187"/>
      <c r="CV21" s="187">
        <f>Сят!D50</f>
        <v>-79.711500000000001</v>
      </c>
      <c r="CW21" s="187"/>
      <c r="CX21" s="195"/>
      <c r="CY21" s="195"/>
      <c r="CZ21" s="187" t="e">
        <f t="shared" si="38"/>
        <v>#DIV/0!</v>
      </c>
      <c r="DA21" s="187"/>
      <c r="DB21" s="187"/>
      <c r="DC21" s="187"/>
      <c r="DD21" s="187"/>
      <c r="DE21" s="187"/>
      <c r="DF21" s="187"/>
      <c r="DG21" s="195">
        <f t="shared" si="39"/>
        <v>6882.2606799999994</v>
      </c>
      <c r="DH21" s="195">
        <f t="shared" si="39"/>
        <v>4037.6073099999999</v>
      </c>
      <c r="DI21" s="187">
        <f t="shared" si="40"/>
        <v>58.666875576703667</v>
      </c>
      <c r="DJ21" s="195">
        <f t="shared" si="41"/>
        <v>1470.8029999999999</v>
      </c>
      <c r="DK21" s="195">
        <f>Сят!D56</f>
        <v>1076.3682699999999</v>
      </c>
      <c r="DL21" s="187">
        <f t="shared" si="42"/>
        <v>73.18235480890371</v>
      </c>
      <c r="DM21" s="187">
        <f>Сят!C58</f>
        <v>1410.7539999999999</v>
      </c>
      <c r="DN21" s="187">
        <f>Сят!D58</f>
        <v>1036.32927</v>
      </c>
      <c r="DO21" s="187">
        <f t="shared" si="43"/>
        <v>73.459247324480387</v>
      </c>
      <c r="DP21" s="187">
        <f>Сят!C61</f>
        <v>19.635999999999999</v>
      </c>
      <c r="DQ21" s="187">
        <f>Сят!D61</f>
        <v>19.635999999999999</v>
      </c>
      <c r="DR21" s="187">
        <f t="shared" si="44"/>
        <v>100</v>
      </c>
      <c r="DS21" s="187">
        <f>Сят!C62</f>
        <v>20.010000000000002</v>
      </c>
      <c r="DT21" s="187">
        <f>Сят!D62</f>
        <v>0</v>
      </c>
      <c r="DU21" s="187">
        <f t="shared" si="45"/>
        <v>0</v>
      </c>
      <c r="DV21" s="187">
        <f>Сят!C63</f>
        <v>20.402999999999999</v>
      </c>
      <c r="DW21" s="187">
        <f>Сят!D63</f>
        <v>20.402999999999999</v>
      </c>
      <c r="DX21" s="187">
        <f t="shared" si="46"/>
        <v>100</v>
      </c>
      <c r="DY21" s="187">
        <f>Сят!C65</f>
        <v>150.881</v>
      </c>
      <c r="DZ21" s="187">
        <f>Сят!D65</f>
        <v>124.28307</v>
      </c>
      <c r="EA21" s="187">
        <f t="shared" si="47"/>
        <v>82.37158422863051</v>
      </c>
      <c r="EB21" s="187">
        <f>Сят!C66</f>
        <v>1.46</v>
      </c>
      <c r="EC21" s="187">
        <f>Сят!D66</f>
        <v>0</v>
      </c>
      <c r="ED21" s="187">
        <f t="shared" si="48"/>
        <v>0</v>
      </c>
      <c r="EE21" s="195">
        <f>Сят!C71</f>
        <v>2309.8342600000001</v>
      </c>
      <c r="EF21" s="195">
        <f>Сят!D71</f>
        <v>529.96861999999999</v>
      </c>
      <c r="EG21" s="187">
        <f t="shared" si="49"/>
        <v>22.944010710101772</v>
      </c>
      <c r="EH21" s="195">
        <f>Сят!C76</f>
        <v>812.43241999999998</v>
      </c>
      <c r="EI21" s="195">
        <f>Сят!D76</f>
        <v>592.73442999999997</v>
      </c>
      <c r="EJ21" s="187">
        <f t="shared" si="50"/>
        <v>72.957998155711209</v>
      </c>
      <c r="EK21" s="195">
        <f>Сят!C80</f>
        <v>2099.85</v>
      </c>
      <c r="EL21" s="197">
        <f>Сят!D80</f>
        <v>1687.9379200000001</v>
      </c>
      <c r="EM21" s="187">
        <f t="shared" si="10"/>
        <v>80.383737886039484</v>
      </c>
      <c r="EN21" s="187">
        <f>Сят!C82</f>
        <v>0</v>
      </c>
      <c r="EO21" s="187">
        <f>Сят!D82</f>
        <v>0</v>
      </c>
      <c r="EP21" s="187" t="e">
        <f t="shared" si="11"/>
        <v>#DIV/0!</v>
      </c>
      <c r="EQ21" s="198">
        <f>Сят!C87</f>
        <v>37</v>
      </c>
      <c r="ER21" s="198">
        <f>Сят!D87</f>
        <v>26.315000000000001</v>
      </c>
      <c r="ES21" s="187">
        <f t="shared" si="51"/>
        <v>71.121621621621628</v>
      </c>
      <c r="ET21" s="187">
        <f>Сят!C93</f>
        <v>0</v>
      </c>
      <c r="EU21" s="187">
        <f>Сят!D93</f>
        <v>0</v>
      </c>
      <c r="EV21" s="184" t="e">
        <f t="shared" si="52"/>
        <v>#DIV/0!</v>
      </c>
      <c r="EW21" s="191">
        <f t="shared" si="12"/>
        <v>-449.50601999999981</v>
      </c>
      <c r="EX21" s="191">
        <f t="shared" si="13"/>
        <v>301.1235099999999</v>
      </c>
      <c r="EY21" s="184">
        <f t="shared" si="54"/>
        <v>-66.989872571673232</v>
      </c>
      <c r="EZ21" s="192"/>
      <c r="FA21" s="193"/>
      <c r="FB21" s="200"/>
      <c r="FC21" s="193"/>
      <c r="FD21" s="200"/>
      <c r="FE21" s="200"/>
      <c r="FF21" s="200"/>
      <c r="FG21" s="200"/>
      <c r="FH21" s="200"/>
      <c r="FI21" s="200"/>
      <c r="FJ21" s="200"/>
      <c r="FK21" s="200"/>
      <c r="FL21" s="200"/>
      <c r="FM21" s="200"/>
      <c r="FN21" s="200"/>
    </row>
    <row r="22" spans="1:170" s="234" customFormat="1" ht="15" customHeight="1">
      <c r="A22" s="225">
        <v>9</v>
      </c>
      <c r="B22" s="226" t="s">
        <v>312</v>
      </c>
      <c r="C22" s="405">
        <f>F22+BZ22</f>
        <v>4948.7370000000001</v>
      </c>
      <c r="D22" s="405">
        <f t="shared" si="0"/>
        <v>3477.04673</v>
      </c>
      <c r="E22" s="227">
        <f t="shared" si="1"/>
        <v>70.261295558846626</v>
      </c>
      <c r="F22" s="228">
        <f>I22+X22+AA22+AD22+AG22+AM22+AS22+BE22+BQ22+BN22+AJ22+AY22+L22+R22+O22+U22+AP22</f>
        <v>1873.5</v>
      </c>
      <c r="G22" s="228">
        <f t="shared" si="3"/>
        <v>1530.4791300000002</v>
      </c>
      <c r="H22" s="227">
        <f t="shared" si="15"/>
        <v>81.690906325060055</v>
      </c>
      <c r="I22" s="188">
        <f>Тор!C6</f>
        <v>104.8</v>
      </c>
      <c r="J22" s="188">
        <f>Тор!D6</f>
        <v>83.805269999999993</v>
      </c>
      <c r="K22" s="227">
        <f t="shared" si="16"/>
        <v>79.966860687022901</v>
      </c>
      <c r="L22" s="227">
        <f>Тор!C8</f>
        <v>269.94</v>
      </c>
      <c r="M22" s="227">
        <f>Тор!D8</f>
        <v>278.97773999999998</v>
      </c>
      <c r="N22" s="227">
        <f t="shared" si="17"/>
        <v>103.34805512336074</v>
      </c>
      <c r="O22" s="227">
        <f>Тор!C9</f>
        <v>2.9</v>
      </c>
      <c r="P22" s="227">
        <f>Тор!D9</f>
        <v>2.58839</v>
      </c>
      <c r="Q22" s="227">
        <f t="shared" si="18"/>
        <v>89.2548275862069</v>
      </c>
      <c r="R22" s="227">
        <f>Тор!C10</f>
        <v>450.86</v>
      </c>
      <c r="S22" s="227">
        <f>Тор!D10</f>
        <v>413.93952999999999</v>
      </c>
      <c r="T22" s="227">
        <f t="shared" si="19"/>
        <v>91.811101006964464</v>
      </c>
      <c r="U22" s="227">
        <f>Тор!C11</f>
        <v>0</v>
      </c>
      <c r="V22" s="227">
        <f>Тор!D11</f>
        <v>-63.01587</v>
      </c>
      <c r="W22" s="227" t="e">
        <f t="shared" si="20"/>
        <v>#DIV/0!</v>
      </c>
      <c r="X22" s="188">
        <f>Тор!C13</f>
        <v>15</v>
      </c>
      <c r="Y22" s="188">
        <f>Тор!D13</f>
        <v>26.019300000000001</v>
      </c>
      <c r="Z22" s="227">
        <f t="shared" si="21"/>
        <v>173.46200000000002</v>
      </c>
      <c r="AA22" s="188">
        <f>Тор!C15</f>
        <v>160</v>
      </c>
      <c r="AB22" s="188">
        <f>Тор!D15</f>
        <v>54.244230000000002</v>
      </c>
      <c r="AC22" s="227">
        <f t="shared" si="22"/>
        <v>33.902643750000003</v>
      </c>
      <c r="AD22" s="188">
        <f>Тор!C16</f>
        <v>470</v>
      </c>
      <c r="AE22" s="188">
        <f>Тор!D16</f>
        <v>328.06236000000001</v>
      </c>
      <c r="AF22" s="227">
        <f t="shared" si="4"/>
        <v>69.800502127659584</v>
      </c>
      <c r="AG22" s="227">
        <f>Тор!C18</f>
        <v>10</v>
      </c>
      <c r="AH22" s="227">
        <f>Тор!D18</f>
        <v>5.0999999999999996</v>
      </c>
      <c r="AI22" s="227">
        <f t="shared" si="23"/>
        <v>51</v>
      </c>
      <c r="AJ22" s="227"/>
      <c r="AK22" s="227">
        <f>Тор!D20</f>
        <v>0</v>
      </c>
      <c r="AL22" s="227" t="e">
        <f t="shared" si="5"/>
        <v>#DIV/0!</v>
      </c>
      <c r="AM22" s="188">
        <v>0</v>
      </c>
      <c r="AN22" s="188">
        <v>0</v>
      </c>
      <c r="AO22" s="227" t="e">
        <f t="shared" si="6"/>
        <v>#DIV/0!</v>
      </c>
      <c r="AP22" s="188">
        <f>Тор!C27</f>
        <v>300</v>
      </c>
      <c r="AQ22" s="188">
        <f>Тор!D27</f>
        <v>305.50894</v>
      </c>
      <c r="AR22" s="227">
        <f t="shared" si="24"/>
        <v>101.83631333333334</v>
      </c>
      <c r="AS22" s="188">
        <f>Тор!C28</f>
        <v>40</v>
      </c>
      <c r="AT22" s="188">
        <f>Тор!D28</f>
        <v>58.322629999999997</v>
      </c>
      <c r="AU22" s="227">
        <f t="shared" si="25"/>
        <v>145.80657499999998</v>
      </c>
      <c r="AV22" s="188"/>
      <c r="AW22" s="188"/>
      <c r="AX22" s="227" t="e">
        <f t="shared" si="26"/>
        <v>#DIV/0!</v>
      </c>
      <c r="AY22" s="227">
        <f>Тор!C29</f>
        <v>50</v>
      </c>
      <c r="AZ22" s="227">
        <f>Тор!D29</f>
        <v>37.184240000000003</v>
      </c>
      <c r="BA22" s="227">
        <f t="shared" si="27"/>
        <v>74.368480000000005</v>
      </c>
      <c r="BB22" s="227"/>
      <c r="BC22" s="227"/>
      <c r="BD22" s="227"/>
      <c r="BE22" s="227">
        <f>Тор!C34+Тор!C33</f>
        <v>0</v>
      </c>
      <c r="BF22" s="227">
        <f>Тор!D32</f>
        <v>0</v>
      </c>
      <c r="BG22" s="227" t="e">
        <f t="shared" si="28"/>
        <v>#DIV/0!</v>
      </c>
      <c r="BH22" s="227"/>
      <c r="BI22" s="227"/>
      <c r="BJ22" s="227" t="e">
        <f t="shared" si="29"/>
        <v>#DIV/0!</v>
      </c>
      <c r="BK22" s="227"/>
      <c r="BL22" s="227"/>
      <c r="BM22" s="227"/>
      <c r="BN22" s="227"/>
      <c r="BO22" s="358">
        <f>Тор!D35</f>
        <v>0</v>
      </c>
      <c r="BP22" s="227" t="e">
        <f t="shared" si="30"/>
        <v>#DIV/0!</v>
      </c>
      <c r="BQ22" s="227">
        <f>Тор!C37</f>
        <v>0</v>
      </c>
      <c r="BR22" s="227">
        <f>Тор!D37</f>
        <v>-0.25763000000000003</v>
      </c>
      <c r="BS22" s="227" t="e">
        <f t="shared" si="31"/>
        <v>#DIV/0!</v>
      </c>
      <c r="BT22" s="227"/>
      <c r="BU22" s="227"/>
      <c r="BV22" s="229" t="e">
        <f t="shared" si="32"/>
        <v>#DIV/0!</v>
      </c>
      <c r="BW22" s="229"/>
      <c r="BX22" s="229"/>
      <c r="BY22" s="229" t="e">
        <f t="shared" si="33"/>
        <v>#DIV/0!</v>
      </c>
      <c r="BZ22" s="188">
        <f t="shared" si="34"/>
        <v>3075.2370000000001</v>
      </c>
      <c r="CA22" s="186">
        <f t="shared" si="35"/>
        <v>1946.5675999999999</v>
      </c>
      <c r="CB22" s="227">
        <f t="shared" si="53"/>
        <v>63.298132794317965</v>
      </c>
      <c r="CC22" s="227">
        <f>Тор!C42</f>
        <v>1351.8630000000001</v>
      </c>
      <c r="CD22" s="227">
        <f>Тор!D42</f>
        <v>1187.8779999999999</v>
      </c>
      <c r="CE22" s="227">
        <f t="shared" si="36"/>
        <v>87.869702773136027</v>
      </c>
      <c r="CF22" s="227">
        <f>Тор!C43</f>
        <v>714</v>
      </c>
      <c r="CG22" s="227">
        <f>Тор!D43</f>
        <v>340.5</v>
      </c>
      <c r="CH22" s="227">
        <f t="shared" si="37"/>
        <v>47.689075630252105</v>
      </c>
      <c r="CI22" s="227">
        <f>Тор!C44</f>
        <v>682.53499999999997</v>
      </c>
      <c r="CJ22" s="227">
        <f>Тор!D44</f>
        <v>237.059</v>
      </c>
      <c r="CK22" s="227">
        <f t="shared" si="7"/>
        <v>34.732138278623076</v>
      </c>
      <c r="CL22" s="227">
        <f>Тор!C45</f>
        <v>154.239</v>
      </c>
      <c r="CM22" s="227">
        <f>Тор!D45</f>
        <v>150.88</v>
      </c>
      <c r="CN22" s="227">
        <f t="shared" si="8"/>
        <v>97.822210984251711</v>
      </c>
      <c r="CO22" s="227">
        <f>Тор!C46</f>
        <v>120</v>
      </c>
      <c r="CP22" s="227">
        <f>Тор!D46</f>
        <v>0</v>
      </c>
      <c r="CQ22" s="227"/>
      <c r="CR22" s="227">
        <f>Тор!C48</f>
        <v>52.6</v>
      </c>
      <c r="CS22" s="227">
        <f>Тор!D48</f>
        <v>52.6</v>
      </c>
      <c r="CT22" s="227">
        <f t="shared" si="9"/>
        <v>100</v>
      </c>
      <c r="CU22" s="227"/>
      <c r="CV22" s="227">
        <f>Тор!D49</f>
        <v>-22.349399999999999</v>
      </c>
      <c r="CW22" s="227"/>
      <c r="CX22" s="188"/>
      <c r="CY22" s="188"/>
      <c r="CZ22" s="227" t="e">
        <f t="shared" si="38"/>
        <v>#DIV/0!</v>
      </c>
      <c r="DA22" s="227"/>
      <c r="DB22" s="227"/>
      <c r="DC22" s="227"/>
      <c r="DD22" s="227"/>
      <c r="DE22" s="227"/>
      <c r="DF22" s="227"/>
      <c r="DG22" s="188">
        <f t="shared" si="39"/>
        <v>5255.7742299999991</v>
      </c>
      <c r="DH22" s="188">
        <f t="shared" si="39"/>
        <v>3811.4340199999997</v>
      </c>
      <c r="DI22" s="227">
        <f t="shared" si="40"/>
        <v>72.518982992920527</v>
      </c>
      <c r="DJ22" s="188">
        <f t="shared" si="41"/>
        <v>1127.5119999999999</v>
      </c>
      <c r="DK22" s="188">
        <f t="shared" si="41"/>
        <v>856.90672999999992</v>
      </c>
      <c r="DL22" s="227">
        <f t="shared" si="42"/>
        <v>75.999788028863549</v>
      </c>
      <c r="DM22" s="227">
        <f>Тор!C58</f>
        <v>1096.463</v>
      </c>
      <c r="DN22" s="227">
        <f>Тор!D58</f>
        <v>831.80972999999994</v>
      </c>
      <c r="DO22" s="227">
        <f t="shared" si="43"/>
        <v>75.863000393082118</v>
      </c>
      <c r="DP22" s="227">
        <f>Тор!C61</f>
        <v>16.561</v>
      </c>
      <c r="DQ22" s="227">
        <f>Тор!D61</f>
        <v>16.561</v>
      </c>
      <c r="DR22" s="227">
        <f t="shared" si="44"/>
        <v>100</v>
      </c>
      <c r="DS22" s="227">
        <f>Тор!C62</f>
        <v>5</v>
      </c>
      <c r="DT22" s="227">
        <f>Тор!D62</f>
        <v>0</v>
      </c>
      <c r="DU22" s="227">
        <f t="shared" si="45"/>
        <v>0</v>
      </c>
      <c r="DV22" s="227">
        <f>Тор!C63</f>
        <v>9.4879999999999995</v>
      </c>
      <c r="DW22" s="227">
        <f>Тор!D63</f>
        <v>8.5359999999999996</v>
      </c>
      <c r="DX22" s="227">
        <f t="shared" si="46"/>
        <v>89.966273187183816</v>
      </c>
      <c r="DY22" s="227">
        <f>Тор!C65</f>
        <v>150.88</v>
      </c>
      <c r="DZ22" s="227">
        <f>+Тор!D64</f>
        <v>124.72999</v>
      </c>
      <c r="EA22" s="227">
        <f t="shared" si="47"/>
        <v>82.668339077412512</v>
      </c>
      <c r="EB22" s="227">
        <f>Тор!C66</f>
        <v>7</v>
      </c>
      <c r="EC22" s="227">
        <f>Тор!D66</f>
        <v>0</v>
      </c>
      <c r="ED22" s="227">
        <f t="shared" si="48"/>
        <v>0</v>
      </c>
      <c r="EE22" s="188">
        <f>Тор!C71</f>
        <v>2387.02223</v>
      </c>
      <c r="EF22" s="188">
        <f>Тор!D71</f>
        <v>1617.2411399999999</v>
      </c>
      <c r="EG22" s="227">
        <f t="shared" si="49"/>
        <v>67.751406739098513</v>
      </c>
      <c r="EH22" s="188">
        <f>Тор!C77</f>
        <v>341.76</v>
      </c>
      <c r="EI22" s="188">
        <f>Тор!D77</f>
        <v>222.49616</v>
      </c>
      <c r="EJ22" s="227">
        <f t="shared" si="50"/>
        <v>65.103043071161053</v>
      </c>
      <c r="EK22" s="188">
        <f>Тор!C81</f>
        <v>1231.5999999999999</v>
      </c>
      <c r="EL22" s="230">
        <f>Тор!D81</f>
        <v>980.06</v>
      </c>
      <c r="EM22" s="227">
        <f t="shared" si="10"/>
        <v>79.576161091263401</v>
      </c>
      <c r="EN22" s="227">
        <f>Тор!C83</f>
        <v>0</v>
      </c>
      <c r="EO22" s="227">
        <f>Тор!D83</f>
        <v>0</v>
      </c>
      <c r="EP22" s="227" t="e">
        <f t="shared" si="11"/>
        <v>#DIV/0!</v>
      </c>
      <c r="EQ22" s="228">
        <f>Тор!C96</f>
        <v>10</v>
      </c>
      <c r="ER22" s="228">
        <f>Тор!D96</f>
        <v>10</v>
      </c>
      <c r="ES22" s="227">
        <f t="shared" si="51"/>
        <v>100</v>
      </c>
      <c r="ET22" s="227">
        <f>Тор!C94</f>
        <v>0</v>
      </c>
      <c r="EU22" s="227">
        <f>Тор!D94</f>
        <v>0</v>
      </c>
      <c r="EV22" s="227" t="e">
        <f t="shared" si="52"/>
        <v>#DIV/0!</v>
      </c>
      <c r="EW22" s="231">
        <f t="shared" si="12"/>
        <v>-307.037229999999</v>
      </c>
      <c r="EX22" s="231">
        <f t="shared" si="13"/>
        <v>-334.38728999999967</v>
      </c>
      <c r="EY22" s="227">
        <f t="shared" si="54"/>
        <v>108.90773408814324</v>
      </c>
      <c r="EZ22" s="232"/>
      <c r="FA22" s="233"/>
      <c r="FC22" s="233"/>
      <c r="FF22" s="325"/>
      <c r="FG22" s="325"/>
      <c r="FH22" s="325"/>
      <c r="FI22" s="325"/>
      <c r="FJ22" s="325"/>
      <c r="FK22" s="325"/>
      <c r="FL22" s="325"/>
      <c r="FM22" s="325"/>
      <c r="FN22" s="325"/>
    </row>
    <row r="23" spans="1:170" s="169" customFormat="1" ht="15" customHeight="1">
      <c r="A23" s="181">
        <v>10</v>
      </c>
      <c r="B23" s="194" t="s">
        <v>313</v>
      </c>
      <c r="C23" s="183">
        <f t="shared" si="14"/>
        <v>3801.5540000000001</v>
      </c>
      <c r="D23" s="404">
        <f t="shared" si="0"/>
        <v>2952.8290899999997</v>
      </c>
      <c r="E23" s="187">
        <f t="shared" si="1"/>
        <v>77.674263998354348</v>
      </c>
      <c r="F23" s="185">
        <f t="shared" si="2"/>
        <v>967.7</v>
      </c>
      <c r="G23" s="185">
        <f t="shared" si="3"/>
        <v>685.50708999999995</v>
      </c>
      <c r="H23" s="187">
        <f t="shared" si="15"/>
        <v>70.838802314766966</v>
      </c>
      <c r="I23" s="195">
        <f>Хор!C6</f>
        <v>85.8</v>
      </c>
      <c r="J23" s="195">
        <f>Хор!D6</f>
        <v>81.068619999999996</v>
      </c>
      <c r="K23" s="187">
        <f t="shared" si="16"/>
        <v>94.485571095571103</v>
      </c>
      <c r="L23" s="187">
        <f>Хор!C8</f>
        <v>123.43</v>
      </c>
      <c r="M23" s="187">
        <f>Хор!D8</f>
        <v>127.5562</v>
      </c>
      <c r="N23" s="184">
        <f t="shared" si="17"/>
        <v>103.34294741959005</v>
      </c>
      <c r="O23" s="184">
        <f>Хор!C9</f>
        <v>1.32</v>
      </c>
      <c r="P23" s="184">
        <f>Хор!D9</f>
        <v>1.1835100000000001</v>
      </c>
      <c r="Q23" s="184">
        <f t="shared" si="18"/>
        <v>89.659848484848482</v>
      </c>
      <c r="R23" s="184">
        <f>Хор!C10</f>
        <v>206.15</v>
      </c>
      <c r="S23" s="184">
        <f>Хор!D10</f>
        <v>189.26438999999999</v>
      </c>
      <c r="T23" s="184">
        <f t="shared" si="19"/>
        <v>91.809066213921895</v>
      </c>
      <c r="U23" s="184">
        <f>Хор!C11</f>
        <v>0</v>
      </c>
      <c r="V23" s="184">
        <f>Хор!D11</f>
        <v>-28.812560000000001</v>
      </c>
      <c r="W23" s="184" t="e">
        <f t="shared" si="20"/>
        <v>#DIV/0!</v>
      </c>
      <c r="X23" s="195">
        <f>Хор!C13</f>
        <v>10</v>
      </c>
      <c r="Y23" s="195">
        <f>Хор!D13</f>
        <v>4.3319999999999999</v>
      </c>
      <c r="Z23" s="187">
        <f t="shared" si="21"/>
        <v>43.32</v>
      </c>
      <c r="AA23" s="195">
        <f>Хор!C15</f>
        <v>98</v>
      </c>
      <c r="AB23" s="195">
        <f>Хор!D15</f>
        <v>22.412990000000001</v>
      </c>
      <c r="AC23" s="187">
        <f t="shared" si="22"/>
        <v>22.870397959183673</v>
      </c>
      <c r="AD23" s="195">
        <f>Хор!C16</f>
        <v>390</v>
      </c>
      <c r="AE23" s="195">
        <f>Хор!D16</f>
        <v>263.36504000000002</v>
      </c>
      <c r="AF23" s="187">
        <f t="shared" si="4"/>
        <v>67.52949743589744</v>
      </c>
      <c r="AG23" s="187">
        <f>Хор!C18</f>
        <v>20</v>
      </c>
      <c r="AH23" s="187">
        <f>Хор!D18</f>
        <v>20.100000000000001</v>
      </c>
      <c r="AI23" s="187">
        <f t="shared" si="23"/>
        <v>100.50000000000001</v>
      </c>
      <c r="AJ23" s="187"/>
      <c r="AK23" s="187"/>
      <c r="AL23" s="187" t="e">
        <f t="shared" si="5"/>
        <v>#DIV/0!</v>
      </c>
      <c r="AM23" s="195">
        <v>0</v>
      </c>
      <c r="AN23" s="195">
        <v>0</v>
      </c>
      <c r="AO23" s="187" t="e">
        <f t="shared" si="6"/>
        <v>#DIV/0!</v>
      </c>
      <c r="AP23" s="195">
        <f>Хор!C27</f>
        <v>33</v>
      </c>
      <c r="AQ23" s="195">
        <f>Хор!D27</f>
        <v>5.0369000000000002</v>
      </c>
      <c r="AR23" s="187">
        <f t="shared" si="24"/>
        <v>15.263333333333334</v>
      </c>
      <c r="AS23" s="188">
        <f>Хор!C28</f>
        <v>0</v>
      </c>
      <c r="AT23" s="195">
        <f>Хор!D28</f>
        <v>0</v>
      </c>
      <c r="AU23" s="187" t="e">
        <f t="shared" si="25"/>
        <v>#DIV/0!</v>
      </c>
      <c r="AV23" s="195"/>
      <c r="AW23" s="195"/>
      <c r="AX23" s="187" t="e">
        <f t="shared" si="26"/>
        <v>#DIV/0!</v>
      </c>
      <c r="AY23" s="187"/>
      <c r="AZ23" s="187">
        <f>Хор!D29</f>
        <v>0</v>
      </c>
      <c r="BA23" s="187" t="e">
        <f t="shared" si="27"/>
        <v>#DIV/0!</v>
      </c>
      <c r="BB23" s="187"/>
      <c r="BC23" s="187"/>
      <c r="BD23" s="187"/>
      <c r="BE23" s="187">
        <f>Хор!C33</f>
        <v>0</v>
      </c>
      <c r="BF23" s="187">
        <f>Хор!D33</f>
        <v>0</v>
      </c>
      <c r="BG23" s="187" t="e">
        <f t="shared" si="28"/>
        <v>#DIV/0!</v>
      </c>
      <c r="BH23" s="187"/>
      <c r="BI23" s="187"/>
      <c r="BJ23" s="187" t="e">
        <f t="shared" si="29"/>
        <v>#DIV/0!</v>
      </c>
      <c r="BK23" s="187"/>
      <c r="BL23" s="187"/>
      <c r="BM23" s="187"/>
      <c r="BN23" s="187"/>
      <c r="BO23" s="357"/>
      <c r="BP23" s="187" t="e">
        <f t="shared" si="30"/>
        <v>#DIV/0!</v>
      </c>
      <c r="BQ23" s="187">
        <f>Хор!C34</f>
        <v>0</v>
      </c>
      <c r="BR23" s="187">
        <f>Хор!D34</f>
        <v>0</v>
      </c>
      <c r="BS23" s="187" t="e">
        <f t="shared" si="31"/>
        <v>#DIV/0!</v>
      </c>
      <c r="BT23" s="187"/>
      <c r="BU23" s="187"/>
      <c r="BV23" s="196" t="e">
        <f t="shared" si="32"/>
        <v>#DIV/0!</v>
      </c>
      <c r="BW23" s="196"/>
      <c r="BX23" s="196"/>
      <c r="BY23" s="196" t="e">
        <f t="shared" si="33"/>
        <v>#DIV/0!</v>
      </c>
      <c r="BZ23" s="186">
        <f t="shared" si="34"/>
        <v>2833.8540000000003</v>
      </c>
      <c r="CA23" s="186">
        <f t="shared" si="35"/>
        <v>2267.3219999999997</v>
      </c>
      <c r="CB23" s="187">
        <f t="shared" si="53"/>
        <v>80.008426686766484</v>
      </c>
      <c r="CC23" s="187">
        <f>Хор!C39</f>
        <v>1258.9960000000001</v>
      </c>
      <c r="CD23" s="187">
        <f>Хор!D39</f>
        <v>1109.8150000000001</v>
      </c>
      <c r="CE23" s="187">
        <f t="shared" si="36"/>
        <v>88.150796348836693</v>
      </c>
      <c r="CF23" s="187">
        <f>Хор!C41</f>
        <v>930</v>
      </c>
      <c r="CG23" s="187">
        <f>Хор!D41</f>
        <v>564.75</v>
      </c>
      <c r="CH23" s="187">
        <f t="shared" si="37"/>
        <v>60.725806451612904</v>
      </c>
      <c r="CI23" s="187">
        <f>Хор!C42</f>
        <v>480.904</v>
      </c>
      <c r="CJ23" s="187">
        <f>Хор!D42</f>
        <v>435.16199999999998</v>
      </c>
      <c r="CK23" s="187">
        <f t="shared" si="7"/>
        <v>90.48833031124714</v>
      </c>
      <c r="CL23" s="187">
        <f>Хор!C43</f>
        <v>73.953999999999994</v>
      </c>
      <c r="CM23" s="187">
        <f>Хор!D43</f>
        <v>70.594999999999999</v>
      </c>
      <c r="CN23" s="187">
        <f t="shared" si="8"/>
        <v>95.457987397571472</v>
      </c>
      <c r="CO23" s="187">
        <f>Хор!C44</f>
        <v>0</v>
      </c>
      <c r="CP23" s="187">
        <f>Хор!D44</f>
        <v>0</v>
      </c>
      <c r="CQ23" s="187"/>
      <c r="CR23" s="187">
        <f>Хор!C45</f>
        <v>90</v>
      </c>
      <c r="CS23" s="187">
        <f>Хор!D45</f>
        <v>87</v>
      </c>
      <c r="CT23" s="187">
        <f t="shared" si="9"/>
        <v>96.666666666666671</v>
      </c>
      <c r="CU23" s="187"/>
      <c r="CV23" s="187"/>
      <c r="CW23" s="187"/>
      <c r="CX23" s="195"/>
      <c r="CY23" s="195"/>
      <c r="CZ23" s="187" t="e">
        <f t="shared" si="38"/>
        <v>#DIV/0!</v>
      </c>
      <c r="DA23" s="187"/>
      <c r="DB23" s="187"/>
      <c r="DC23" s="187"/>
      <c r="DD23" s="187"/>
      <c r="DE23" s="187">
        <f>Хор!D48</f>
        <v>0</v>
      </c>
      <c r="DF23" s="187"/>
      <c r="DG23" s="195">
        <f t="shared" si="39"/>
        <v>3784.7935600000001</v>
      </c>
      <c r="DH23" s="195">
        <f t="shared" si="39"/>
        <v>2700.5719200000003</v>
      </c>
      <c r="DI23" s="187">
        <f t="shared" si="40"/>
        <v>71.353215893761984</v>
      </c>
      <c r="DJ23" s="195">
        <f t="shared" si="41"/>
        <v>1135.8050000000001</v>
      </c>
      <c r="DK23" s="195">
        <f t="shared" si="41"/>
        <v>712.53911999999991</v>
      </c>
      <c r="DL23" s="187">
        <f t="shared" si="42"/>
        <v>62.734282733391723</v>
      </c>
      <c r="DM23" s="187">
        <f>Хор!C56</f>
        <v>1128.096</v>
      </c>
      <c r="DN23" s="187">
        <f>Хор!D56</f>
        <v>709.83061999999995</v>
      </c>
      <c r="DO23" s="187">
        <f t="shared" si="43"/>
        <v>62.92289131421439</v>
      </c>
      <c r="DP23" s="187">
        <f>Хор!C59</f>
        <v>0</v>
      </c>
      <c r="DQ23" s="187">
        <f>Хор!D59</f>
        <v>0</v>
      </c>
      <c r="DR23" s="187" t="e">
        <f t="shared" si="44"/>
        <v>#DIV/0!</v>
      </c>
      <c r="DS23" s="187">
        <f>Хор!C60</f>
        <v>5</v>
      </c>
      <c r="DT23" s="187">
        <f>Хор!D60</f>
        <v>0</v>
      </c>
      <c r="DU23" s="187">
        <f t="shared" si="45"/>
        <v>0</v>
      </c>
      <c r="DV23" s="187">
        <f>Хор!C61</f>
        <v>2.7090000000000001</v>
      </c>
      <c r="DW23" s="187">
        <f>Хор!D61</f>
        <v>2.7084999999999999</v>
      </c>
      <c r="DX23" s="187">
        <f t="shared" si="46"/>
        <v>99.981543004798809</v>
      </c>
      <c r="DY23" s="187">
        <f>Хор!C63</f>
        <v>70.594999999999999</v>
      </c>
      <c r="DZ23" s="187">
        <f>Хор!D63</f>
        <v>54.679189999999998</v>
      </c>
      <c r="EA23" s="187">
        <f t="shared" si="47"/>
        <v>77.454763085204334</v>
      </c>
      <c r="EB23" s="187">
        <f>Хор!C64</f>
        <v>4.8029999999999999</v>
      </c>
      <c r="EC23" s="187">
        <f>Хор!D64</f>
        <v>2</v>
      </c>
      <c r="ED23" s="187">
        <f t="shared" si="48"/>
        <v>41.640641265875495</v>
      </c>
      <c r="EE23" s="195">
        <f>Хор!C69</f>
        <v>906.68255999999997</v>
      </c>
      <c r="EF23" s="195">
        <f>Хор!D69</f>
        <v>758.28727000000003</v>
      </c>
      <c r="EG23" s="187">
        <f t="shared" si="49"/>
        <v>83.633159327560023</v>
      </c>
      <c r="EH23" s="195">
        <f>Хор!C74</f>
        <v>186.208</v>
      </c>
      <c r="EI23" s="195">
        <f>Хор!D74</f>
        <v>122.06634</v>
      </c>
      <c r="EJ23" s="187">
        <f t="shared" si="50"/>
        <v>65.553757088846879</v>
      </c>
      <c r="EK23" s="195">
        <f>Хор!C78</f>
        <v>1477.7</v>
      </c>
      <c r="EL23" s="197">
        <f>Хор!D78</f>
        <v>1049</v>
      </c>
      <c r="EM23" s="187">
        <f t="shared" si="10"/>
        <v>70.988698653312582</v>
      </c>
      <c r="EN23" s="187">
        <f>Хор!C80</f>
        <v>0</v>
      </c>
      <c r="EO23" s="187">
        <f>Хор!D80</f>
        <v>0</v>
      </c>
      <c r="EP23" s="187" t="e">
        <f t="shared" si="11"/>
        <v>#DIV/0!</v>
      </c>
      <c r="EQ23" s="198">
        <f>Хор!C85</f>
        <v>3</v>
      </c>
      <c r="ER23" s="198">
        <f>Хор!D85</f>
        <v>2</v>
      </c>
      <c r="ES23" s="187">
        <f t="shared" si="51"/>
        <v>66.666666666666657</v>
      </c>
      <c r="ET23" s="187">
        <f>Хор!C91</f>
        <v>0</v>
      </c>
      <c r="EU23" s="187">
        <f>Хор!D91</f>
        <v>0</v>
      </c>
      <c r="EV23" s="184" t="e">
        <f t="shared" si="52"/>
        <v>#DIV/0!</v>
      </c>
      <c r="EW23" s="191">
        <f t="shared" si="12"/>
        <v>16.760440000000017</v>
      </c>
      <c r="EX23" s="191">
        <f t="shared" si="13"/>
        <v>252.25716999999941</v>
      </c>
      <c r="EY23" s="184">
        <f t="shared" si="54"/>
        <v>1505.0748667696023</v>
      </c>
      <c r="EZ23" s="192"/>
      <c r="FA23" s="193"/>
      <c r="FC23" s="193"/>
    </row>
    <row r="24" spans="1:170" s="402" customFormat="1" ht="15" customHeight="1">
      <c r="A24" s="398">
        <v>11</v>
      </c>
      <c r="B24" s="194" t="s">
        <v>314</v>
      </c>
      <c r="C24" s="404">
        <f t="shared" si="14"/>
        <v>3713.627</v>
      </c>
      <c r="D24" s="404">
        <f t="shared" si="0"/>
        <v>2822.6574099999998</v>
      </c>
      <c r="E24" s="187">
        <f t="shared" si="1"/>
        <v>76.008102321530941</v>
      </c>
      <c r="F24" s="198">
        <f t="shared" si="2"/>
        <v>1126.1199999999999</v>
      </c>
      <c r="G24" s="198">
        <f t="shared" si="3"/>
        <v>901.00630999999998</v>
      </c>
      <c r="H24" s="187">
        <f t="shared" si="15"/>
        <v>80.009795581287975</v>
      </c>
      <c r="I24" s="195">
        <f>Чум!C6</f>
        <v>95.3</v>
      </c>
      <c r="J24" s="195">
        <f>Чум!D6</f>
        <v>63.22296</v>
      </c>
      <c r="K24" s="187">
        <f t="shared" si="16"/>
        <v>66.340986358866743</v>
      </c>
      <c r="L24" s="187">
        <f>Чум!C8</f>
        <v>117.05</v>
      </c>
      <c r="M24" s="187">
        <f>Чум!D8</f>
        <v>120.9726</v>
      </c>
      <c r="N24" s="187">
        <f t="shared" si="17"/>
        <v>103.35121742844939</v>
      </c>
      <c r="O24" s="187">
        <f>Чум!C9</f>
        <v>1.26</v>
      </c>
      <c r="P24" s="187">
        <f>Чум!D9</f>
        <v>1.1223799999999999</v>
      </c>
      <c r="Q24" s="187">
        <f t="shared" si="18"/>
        <v>89.077777777777769</v>
      </c>
      <c r="R24" s="187">
        <f>Чум!C10</f>
        <v>195.51</v>
      </c>
      <c r="S24" s="187">
        <f>Чум!D10</f>
        <v>179.49589</v>
      </c>
      <c r="T24" s="187">
        <f t="shared" si="19"/>
        <v>91.809058360186185</v>
      </c>
      <c r="U24" s="187">
        <f>Чум!C11</f>
        <v>0</v>
      </c>
      <c r="V24" s="187">
        <f>Чум!D11</f>
        <v>-27.32545</v>
      </c>
      <c r="W24" s="187" t="e">
        <f t="shared" si="20"/>
        <v>#DIV/0!</v>
      </c>
      <c r="X24" s="195">
        <f>Чум!C13</f>
        <v>65</v>
      </c>
      <c r="Y24" s="195">
        <f>Чум!D13</f>
        <v>82.355969999999999</v>
      </c>
      <c r="Z24" s="187">
        <f t="shared" si="21"/>
        <v>126.70149230769229</v>
      </c>
      <c r="AA24" s="195">
        <f>Чум!C15</f>
        <v>75</v>
      </c>
      <c r="AB24" s="195">
        <f>Чум!D15</f>
        <v>64.304720000000003</v>
      </c>
      <c r="AC24" s="187">
        <f t="shared" si="22"/>
        <v>85.739626666666666</v>
      </c>
      <c r="AD24" s="195">
        <f>Чум!C16</f>
        <v>460</v>
      </c>
      <c r="AE24" s="195">
        <f>Чум!D16</f>
        <v>343.04196999999999</v>
      </c>
      <c r="AF24" s="187">
        <f t="shared" si="4"/>
        <v>74.574341304347826</v>
      </c>
      <c r="AG24" s="187">
        <f>Чум!C18</f>
        <v>10</v>
      </c>
      <c r="AH24" s="187">
        <f>Чум!D18</f>
        <v>8.9</v>
      </c>
      <c r="AI24" s="187">
        <f t="shared" si="23"/>
        <v>89</v>
      </c>
      <c r="AJ24" s="187">
        <f>Чум!C22</f>
        <v>0</v>
      </c>
      <c r="AK24" s="187">
        <f>Чум!D20</f>
        <v>0</v>
      </c>
      <c r="AL24" s="187" t="e">
        <f>AK24/AJ24*100</f>
        <v>#DIV/0!</v>
      </c>
      <c r="AM24" s="195">
        <v>0</v>
      </c>
      <c r="AN24" s="195"/>
      <c r="AO24" s="187" t="e">
        <f t="shared" si="6"/>
        <v>#DIV/0!</v>
      </c>
      <c r="AP24" s="195">
        <f>Чум!C27</f>
        <v>80</v>
      </c>
      <c r="AQ24" s="195">
        <f>Чум!D27</f>
        <v>33.747</v>
      </c>
      <c r="AR24" s="187">
        <f t="shared" si="24"/>
        <v>42.183749999999996</v>
      </c>
      <c r="AS24" s="195">
        <f>Чум!C28</f>
        <v>2</v>
      </c>
      <c r="AT24" s="195">
        <f>Чум!D28</f>
        <v>0</v>
      </c>
      <c r="AU24" s="187">
        <f t="shared" si="25"/>
        <v>0</v>
      </c>
      <c r="AV24" s="195"/>
      <c r="AW24" s="195"/>
      <c r="AX24" s="187" t="e">
        <f t="shared" si="26"/>
        <v>#DIV/0!</v>
      </c>
      <c r="AY24" s="187">
        <f>Чум!C30</f>
        <v>25</v>
      </c>
      <c r="AZ24" s="187">
        <f>Чум!D30</f>
        <v>31.169429999999998</v>
      </c>
      <c r="BA24" s="187">
        <f t="shared" si="27"/>
        <v>124.67771999999999</v>
      </c>
      <c r="BB24" s="187"/>
      <c r="BC24" s="187"/>
      <c r="BD24" s="187"/>
      <c r="BE24" s="187">
        <f>Чум!C33</f>
        <v>0</v>
      </c>
      <c r="BF24" s="187">
        <f>Чум!D33</f>
        <v>0</v>
      </c>
      <c r="BG24" s="187" t="e">
        <f t="shared" si="28"/>
        <v>#DIV/0!</v>
      </c>
      <c r="BH24" s="187"/>
      <c r="BI24" s="187"/>
      <c r="BJ24" s="187" t="e">
        <f t="shared" si="29"/>
        <v>#DIV/0!</v>
      </c>
      <c r="BK24" s="187"/>
      <c r="BL24" s="187"/>
      <c r="BM24" s="187"/>
      <c r="BN24" s="187"/>
      <c r="BO24" s="357">
        <f>Чум!D34</f>
        <v>0</v>
      </c>
      <c r="BP24" s="187" t="e">
        <f t="shared" si="30"/>
        <v>#DIV/0!</v>
      </c>
      <c r="BQ24" s="187">
        <f>Чум!C37</f>
        <v>0</v>
      </c>
      <c r="BR24" s="187">
        <f>Чум!D37</f>
        <v>-1.16E-3</v>
      </c>
      <c r="BS24" s="187" t="e">
        <f t="shared" si="31"/>
        <v>#DIV/0!</v>
      </c>
      <c r="BT24" s="187"/>
      <c r="BU24" s="187"/>
      <c r="BV24" s="196" t="e">
        <f t="shared" si="32"/>
        <v>#DIV/0!</v>
      </c>
      <c r="BW24" s="196"/>
      <c r="BX24" s="196"/>
      <c r="BY24" s="196" t="e">
        <f t="shared" si="33"/>
        <v>#DIV/0!</v>
      </c>
      <c r="BZ24" s="195">
        <f t="shared" si="34"/>
        <v>2587.5070000000001</v>
      </c>
      <c r="CA24" s="195">
        <f t="shared" si="35"/>
        <v>1921.6511</v>
      </c>
      <c r="CB24" s="187">
        <f t="shared" si="53"/>
        <v>74.266508264518706</v>
      </c>
      <c r="CC24" s="187">
        <f>Чум!C42</f>
        <v>1906.663</v>
      </c>
      <c r="CD24" s="187">
        <f>Чум!D42</f>
        <v>1674.921</v>
      </c>
      <c r="CE24" s="187">
        <f t="shared" si="36"/>
        <v>87.845675926999164</v>
      </c>
      <c r="CF24" s="187">
        <f>Чум!C43</f>
        <v>0</v>
      </c>
      <c r="CG24" s="187">
        <f>Чум!D43</f>
        <v>0</v>
      </c>
      <c r="CH24" s="187" t="e">
        <f t="shared" si="37"/>
        <v>#DIV/0!</v>
      </c>
      <c r="CI24" s="187">
        <f>Чум!C44</f>
        <v>573.79</v>
      </c>
      <c r="CJ24" s="187">
        <f>Чум!D44</f>
        <v>142.03800000000001</v>
      </c>
      <c r="CK24" s="187">
        <f t="shared" si="7"/>
        <v>24.754352637724605</v>
      </c>
      <c r="CL24" s="187">
        <f>Чум!C45</f>
        <v>73.953999999999994</v>
      </c>
      <c r="CM24" s="187">
        <f>Чум!D45</f>
        <v>71.632099999999994</v>
      </c>
      <c r="CN24" s="187">
        <f t="shared" si="8"/>
        <v>96.860345620250428</v>
      </c>
      <c r="CO24" s="187">
        <f>Чум!C46</f>
        <v>0</v>
      </c>
      <c r="CP24" s="187">
        <f>Чум!D46</f>
        <v>0</v>
      </c>
      <c r="CQ24" s="187"/>
      <c r="CR24" s="187">
        <f>Чум!C50</f>
        <v>33.1</v>
      </c>
      <c r="CS24" s="187">
        <f>Чум!D50</f>
        <v>33.06</v>
      </c>
      <c r="CT24" s="187">
        <f t="shared" si="9"/>
        <v>99.879154078549846</v>
      </c>
      <c r="CU24" s="187"/>
      <c r="CV24" s="187"/>
      <c r="CW24" s="187"/>
      <c r="CX24" s="195"/>
      <c r="CY24" s="195"/>
      <c r="CZ24" s="187" t="e">
        <f t="shared" si="38"/>
        <v>#DIV/0!</v>
      </c>
      <c r="DA24" s="187"/>
      <c r="DB24" s="187"/>
      <c r="DC24" s="187"/>
      <c r="DD24" s="187"/>
      <c r="DE24" s="187"/>
      <c r="DF24" s="187"/>
      <c r="DG24" s="195">
        <f t="shared" si="39"/>
        <v>3787.2935300000008</v>
      </c>
      <c r="DH24" s="195">
        <f t="shared" si="39"/>
        <v>2537.3398299999999</v>
      </c>
      <c r="DI24" s="187">
        <f t="shared" si="40"/>
        <v>66.996122954325102</v>
      </c>
      <c r="DJ24" s="195">
        <f t="shared" si="41"/>
        <v>1294.8660000000002</v>
      </c>
      <c r="DK24" s="195">
        <f t="shared" si="41"/>
        <v>1024.0689600000001</v>
      </c>
      <c r="DL24" s="187">
        <f t="shared" si="42"/>
        <v>79.086867675883056</v>
      </c>
      <c r="DM24" s="187">
        <f>Чум!C58</f>
        <v>1274.5630000000001</v>
      </c>
      <c r="DN24" s="187">
        <f>Чум!D58</f>
        <v>1009.22146</v>
      </c>
      <c r="DO24" s="187">
        <f t="shared" si="43"/>
        <v>79.181763475010641</v>
      </c>
      <c r="DP24" s="187">
        <f>Чум!C61</f>
        <v>0</v>
      </c>
      <c r="DQ24" s="187">
        <f>Чум!D61</f>
        <v>0</v>
      </c>
      <c r="DR24" s="187" t="e">
        <f t="shared" si="44"/>
        <v>#DIV/0!</v>
      </c>
      <c r="DS24" s="187">
        <f>Чум!C62</f>
        <v>5</v>
      </c>
      <c r="DT24" s="187">
        <f>Чум!D62</f>
        <v>0</v>
      </c>
      <c r="DU24" s="187">
        <f t="shared" si="45"/>
        <v>0</v>
      </c>
      <c r="DV24" s="187">
        <f>Чум!C63</f>
        <v>15.303000000000001</v>
      </c>
      <c r="DW24" s="187">
        <f>Чум!D63</f>
        <v>14.8475</v>
      </c>
      <c r="DX24" s="187">
        <f t="shared" si="46"/>
        <v>97.02345945239496</v>
      </c>
      <c r="DY24" s="187">
        <f>Чум!C65</f>
        <v>70.594999999999999</v>
      </c>
      <c r="DZ24" s="187">
        <f>Чум!D65</f>
        <v>66.859790000000004</v>
      </c>
      <c r="EA24" s="187">
        <f t="shared" si="47"/>
        <v>94.708959558042366</v>
      </c>
      <c r="EB24" s="187">
        <f>Чум!C66</f>
        <v>4.25</v>
      </c>
      <c r="EC24" s="187">
        <f>Чум!D66</f>
        <v>2.0499999999999998</v>
      </c>
      <c r="ED24" s="187">
        <f t="shared" si="48"/>
        <v>48.235294117647051</v>
      </c>
      <c r="EE24" s="195">
        <f>Чум!C71</f>
        <v>1016.83253</v>
      </c>
      <c r="EF24" s="195">
        <f>Чум!D71</f>
        <v>320.4599</v>
      </c>
      <c r="EG24" s="187">
        <f t="shared" si="49"/>
        <v>31.515504327934906</v>
      </c>
      <c r="EH24" s="195">
        <f>Чум!C76</f>
        <v>525.95000000000005</v>
      </c>
      <c r="EI24" s="195">
        <f>Чум!D76</f>
        <v>395.71418</v>
      </c>
      <c r="EJ24" s="187">
        <f t="shared" si="50"/>
        <v>75.23798459929651</v>
      </c>
      <c r="EK24" s="195">
        <f>Чум!C80</f>
        <v>872.8</v>
      </c>
      <c r="EL24" s="197">
        <f>Чум!D80</f>
        <v>727.47199999999998</v>
      </c>
      <c r="EM24" s="187">
        <f t="shared" si="10"/>
        <v>83.34922089825848</v>
      </c>
      <c r="EN24" s="187">
        <f>Чум!C82</f>
        <v>0</v>
      </c>
      <c r="EO24" s="187">
        <f>Чум!D82</f>
        <v>0</v>
      </c>
      <c r="EP24" s="187" t="e">
        <f t="shared" si="11"/>
        <v>#DIV/0!</v>
      </c>
      <c r="EQ24" s="198">
        <f>Чум!C87</f>
        <v>2</v>
      </c>
      <c r="ER24" s="198">
        <f>Чум!D87</f>
        <v>0.71499999999999997</v>
      </c>
      <c r="ES24" s="187">
        <f t="shared" si="51"/>
        <v>35.75</v>
      </c>
      <c r="ET24" s="187">
        <f>Чум!C93</f>
        <v>0</v>
      </c>
      <c r="EU24" s="187">
        <f>Чум!D93</f>
        <v>0</v>
      </c>
      <c r="EV24" s="187" t="e">
        <f t="shared" si="52"/>
        <v>#DIV/0!</v>
      </c>
      <c r="EW24" s="399">
        <f t="shared" si="12"/>
        <v>-73.666530000000876</v>
      </c>
      <c r="EX24" s="399">
        <f t="shared" si="13"/>
        <v>285.31757999999991</v>
      </c>
      <c r="EY24" s="187">
        <f t="shared" si="54"/>
        <v>-387.30965066495804</v>
      </c>
      <c r="EZ24" s="400"/>
      <c r="FA24" s="401"/>
      <c r="FC24" s="401"/>
    </row>
    <row r="25" spans="1:170" s="234" customFormat="1" ht="15" customHeight="1">
      <c r="A25" s="225">
        <v>12</v>
      </c>
      <c r="B25" s="226" t="s">
        <v>315</v>
      </c>
      <c r="C25" s="405">
        <f t="shared" si="14"/>
        <v>3728.0690000000004</v>
      </c>
      <c r="D25" s="405">
        <f t="shared" si="0"/>
        <v>2709.1209800000001</v>
      </c>
      <c r="E25" s="227">
        <f t="shared" si="1"/>
        <v>72.668209198917722</v>
      </c>
      <c r="F25" s="228">
        <f t="shared" si="2"/>
        <v>909.76</v>
      </c>
      <c r="G25" s="228">
        <f t="shared" si="3"/>
        <v>575.61988000000008</v>
      </c>
      <c r="H25" s="227">
        <f t="shared" si="15"/>
        <v>63.271618888498068</v>
      </c>
      <c r="I25" s="188">
        <f>Шать!C6</f>
        <v>33.4</v>
      </c>
      <c r="J25" s="188">
        <f>Шать!D6</f>
        <v>28.643170000000001</v>
      </c>
      <c r="K25" s="227">
        <f t="shared" si="16"/>
        <v>85.757994011976052</v>
      </c>
      <c r="L25" s="227">
        <f>Шать!C8</f>
        <v>120.24</v>
      </c>
      <c r="M25" s="227">
        <f>Шать!D8</f>
        <v>124.26442</v>
      </c>
      <c r="N25" s="227">
        <f t="shared" si="17"/>
        <v>103.3469893546241</v>
      </c>
      <c r="O25" s="227">
        <f>Шать!C9</f>
        <v>1.29</v>
      </c>
      <c r="P25" s="227">
        <f>Шать!D9</f>
        <v>1.15293</v>
      </c>
      <c r="Q25" s="227">
        <f t="shared" si="18"/>
        <v>89.374418604651169</v>
      </c>
      <c r="R25" s="227">
        <f>Шать!C10</f>
        <v>200.83</v>
      </c>
      <c r="S25" s="227">
        <f>Шать!D10</f>
        <v>184.38015999999999</v>
      </c>
      <c r="T25" s="227">
        <f t="shared" si="19"/>
        <v>91.809072349748533</v>
      </c>
      <c r="U25" s="227">
        <f>Шать!C11</f>
        <v>0</v>
      </c>
      <c r="V25" s="227">
        <f>Шать!D11</f>
        <v>-28.06908</v>
      </c>
      <c r="W25" s="227" t="e">
        <f t="shared" si="20"/>
        <v>#DIV/0!</v>
      </c>
      <c r="X25" s="188">
        <f>Шать!C13</f>
        <v>10</v>
      </c>
      <c r="Y25" s="188">
        <f>Шать!D13</f>
        <v>9.2697500000000002</v>
      </c>
      <c r="Z25" s="227">
        <f t="shared" si="21"/>
        <v>92.697500000000005</v>
      </c>
      <c r="AA25" s="188">
        <f>Шать!C15</f>
        <v>40</v>
      </c>
      <c r="AB25" s="188">
        <f>Шать!D15</f>
        <v>22.415089999999999</v>
      </c>
      <c r="AC25" s="227">
        <f t="shared" si="22"/>
        <v>56.037724999999995</v>
      </c>
      <c r="AD25" s="188">
        <f>Шать!C16</f>
        <v>315</v>
      </c>
      <c r="AE25" s="188">
        <f>Шать!D16</f>
        <v>176.39992000000001</v>
      </c>
      <c r="AF25" s="227">
        <f t="shared" si="4"/>
        <v>55.999974603174607</v>
      </c>
      <c r="AG25" s="227">
        <f>Шать!C18</f>
        <v>7</v>
      </c>
      <c r="AH25" s="227">
        <f>Шать!D18</f>
        <v>1.4</v>
      </c>
      <c r="AI25" s="227">
        <f t="shared" si="23"/>
        <v>20</v>
      </c>
      <c r="AJ25" s="227"/>
      <c r="AK25" s="227"/>
      <c r="AL25" s="227" t="e">
        <f>AJ25/AK25*100</f>
        <v>#DIV/0!</v>
      </c>
      <c r="AM25" s="188">
        <v>0</v>
      </c>
      <c r="AN25" s="188">
        <f>0</f>
        <v>0</v>
      </c>
      <c r="AO25" s="227" t="e">
        <f t="shared" si="6"/>
        <v>#DIV/0!</v>
      </c>
      <c r="AP25" s="188">
        <f>Шать!C27</f>
        <v>115</v>
      </c>
      <c r="AQ25" s="195">
        <f>Шать!D27</f>
        <v>6.5140000000000002</v>
      </c>
      <c r="AR25" s="227">
        <f t="shared" si="24"/>
        <v>5.6643478260869564</v>
      </c>
      <c r="AS25" s="188">
        <f>Шать!C28</f>
        <v>17</v>
      </c>
      <c r="AT25" s="188">
        <f>Шать!D28</f>
        <v>21.675999999999998</v>
      </c>
      <c r="AU25" s="227">
        <f t="shared" si="25"/>
        <v>127.50588235294116</v>
      </c>
      <c r="AV25" s="188"/>
      <c r="AW25" s="188"/>
      <c r="AX25" s="227" t="e">
        <f t="shared" si="26"/>
        <v>#DIV/0!</v>
      </c>
      <c r="AY25" s="227">
        <f>Шать!C29</f>
        <v>50</v>
      </c>
      <c r="AZ25" s="227">
        <f>Шать!D29</f>
        <v>21.386410000000001</v>
      </c>
      <c r="BA25" s="227">
        <f t="shared" si="27"/>
        <v>42.772820000000003</v>
      </c>
      <c r="BB25" s="227"/>
      <c r="BC25" s="227"/>
      <c r="BD25" s="227"/>
      <c r="BE25" s="227">
        <f>Шать!C33</f>
        <v>0</v>
      </c>
      <c r="BF25" s="227">
        <f>Шать!D33</f>
        <v>0</v>
      </c>
      <c r="BG25" s="227" t="e">
        <f t="shared" si="28"/>
        <v>#DIV/0!</v>
      </c>
      <c r="BH25" s="227"/>
      <c r="BI25" s="227"/>
      <c r="BJ25" s="227" t="e">
        <f t="shared" si="29"/>
        <v>#DIV/0!</v>
      </c>
      <c r="BK25" s="227"/>
      <c r="BL25" s="227"/>
      <c r="BM25" s="227"/>
      <c r="BN25" s="227">
        <f>Шать!C34</f>
        <v>0</v>
      </c>
      <c r="BO25" s="358">
        <f>Шать!D34</f>
        <v>8.7899999999999992E-3</v>
      </c>
      <c r="BP25" s="227" t="e">
        <f t="shared" si="30"/>
        <v>#DIV/0!</v>
      </c>
      <c r="BQ25" s="227">
        <f>Шать!C37</f>
        <v>0</v>
      </c>
      <c r="BR25" s="227">
        <f>Шать!D39</f>
        <v>6.1783200000000003</v>
      </c>
      <c r="BS25" s="227" t="e">
        <f t="shared" si="31"/>
        <v>#DIV/0!</v>
      </c>
      <c r="BT25" s="227"/>
      <c r="BU25" s="227"/>
      <c r="BV25" s="229" t="e">
        <f t="shared" si="32"/>
        <v>#DIV/0!</v>
      </c>
      <c r="BW25" s="229"/>
      <c r="BX25" s="229"/>
      <c r="BY25" s="229" t="e">
        <f t="shared" si="33"/>
        <v>#DIV/0!</v>
      </c>
      <c r="BZ25" s="188">
        <f t="shared" si="34"/>
        <v>2818.3090000000002</v>
      </c>
      <c r="CA25" s="186">
        <f t="shared" si="35"/>
        <v>2133.5011</v>
      </c>
      <c r="CB25" s="227">
        <f t="shared" si="53"/>
        <v>75.701461408241599</v>
      </c>
      <c r="CC25" s="227">
        <f>Шать!C42</f>
        <v>1243.7660000000001</v>
      </c>
      <c r="CD25" s="227">
        <f>Шать!D42</f>
        <v>1096.0450000000001</v>
      </c>
      <c r="CE25" s="227">
        <f t="shared" si="36"/>
        <v>88.123087461789439</v>
      </c>
      <c r="CF25" s="227">
        <f>Шать!C43</f>
        <v>400</v>
      </c>
      <c r="CG25" s="227">
        <f>Шать!D43</f>
        <v>300</v>
      </c>
      <c r="CH25" s="227">
        <f t="shared" si="37"/>
        <v>75</v>
      </c>
      <c r="CI25" s="227">
        <f>Шать!C44</f>
        <v>1004.188</v>
      </c>
      <c r="CJ25" s="227">
        <f>Шать!D44</f>
        <v>568.72299999999996</v>
      </c>
      <c r="CK25" s="227">
        <f t="shared" si="7"/>
        <v>56.635112150314484</v>
      </c>
      <c r="CL25" s="227">
        <f>Шать!C45</f>
        <v>73.254999999999995</v>
      </c>
      <c r="CM25" s="227">
        <f>Шать!D45</f>
        <v>71.633099999999999</v>
      </c>
      <c r="CN25" s="227">
        <f t="shared" si="8"/>
        <v>97.785953177257539</v>
      </c>
      <c r="CO25" s="227">
        <f>Шать!C46</f>
        <v>0</v>
      </c>
      <c r="CP25" s="227">
        <f>Шать!D46</f>
        <v>0</v>
      </c>
      <c r="CQ25" s="227"/>
      <c r="CR25" s="227">
        <f>Шать!C50</f>
        <v>97.1</v>
      </c>
      <c r="CS25" s="227">
        <f>Шать!D50</f>
        <v>97.1</v>
      </c>
      <c r="CT25" s="227">
        <f t="shared" si="9"/>
        <v>100</v>
      </c>
      <c r="CU25" s="227"/>
      <c r="CV25" s="227"/>
      <c r="CW25" s="227"/>
      <c r="CX25" s="188"/>
      <c r="CY25" s="188"/>
      <c r="CZ25" s="227" t="e">
        <f t="shared" si="38"/>
        <v>#DIV/0!</v>
      </c>
      <c r="DA25" s="227"/>
      <c r="DB25" s="227"/>
      <c r="DC25" s="227"/>
      <c r="DD25" s="227"/>
      <c r="DE25" s="227"/>
      <c r="DF25" s="227"/>
      <c r="DG25" s="188">
        <f t="shared" si="39"/>
        <v>3674.6755299999995</v>
      </c>
      <c r="DH25" s="188">
        <f t="shared" si="39"/>
        <v>2525.7189800000001</v>
      </c>
      <c r="DI25" s="227">
        <f>DH25/DG25*100</f>
        <v>68.733115601093644</v>
      </c>
      <c r="DJ25" s="188">
        <f t="shared" si="41"/>
        <v>1139.7604999999999</v>
      </c>
      <c r="DK25" s="188">
        <f t="shared" si="41"/>
        <v>859.71104000000014</v>
      </c>
      <c r="DL25" s="227">
        <f t="shared" si="42"/>
        <v>75.429095849522795</v>
      </c>
      <c r="DM25" s="227">
        <f>Шать!C58</f>
        <v>1100.9659999999999</v>
      </c>
      <c r="DN25" s="227">
        <f>Шать!D58</f>
        <v>821.91654000000005</v>
      </c>
      <c r="DO25" s="227">
        <f t="shared" si="43"/>
        <v>74.654125558827445</v>
      </c>
      <c r="DP25" s="227">
        <f>Шать!C61</f>
        <v>32.152000000000001</v>
      </c>
      <c r="DQ25" s="227">
        <f>Шать!D61</f>
        <v>32.152000000000001</v>
      </c>
      <c r="DR25" s="227">
        <f t="shared" si="44"/>
        <v>100</v>
      </c>
      <c r="DS25" s="227">
        <f>Шать!C62</f>
        <v>1</v>
      </c>
      <c r="DT25" s="227">
        <f>Шать!D62</f>
        <v>0</v>
      </c>
      <c r="DU25" s="227">
        <f t="shared" si="45"/>
        <v>0</v>
      </c>
      <c r="DV25" s="227">
        <f>Шать!C63</f>
        <v>5.6425000000000001</v>
      </c>
      <c r="DW25" s="227">
        <f>Шать!D63</f>
        <v>5.6425000000000001</v>
      </c>
      <c r="DX25" s="227">
        <f t="shared" si="46"/>
        <v>100</v>
      </c>
      <c r="DY25" s="227">
        <f>Шать!C65</f>
        <v>70.596000000000004</v>
      </c>
      <c r="DZ25" s="227">
        <f>Шать!D65</f>
        <v>64.453280000000007</v>
      </c>
      <c r="EA25" s="227">
        <f t="shared" si="47"/>
        <v>91.298770468581793</v>
      </c>
      <c r="EB25" s="227">
        <f>Шать!C66</f>
        <v>8</v>
      </c>
      <c r="EC25" s="227">
        <f>Шать!D66</f>
        <v>7.931</v>
      </c>
      <c r="ED25" s="227">
        <f t="shared" si="48"/>
        <v>99.137500000000003</v>
      </c>
      <c r="EE25" s="188">
        <f>Шать!C71</f>
        <v>1549.45453</v>
      </c>
      <c r="EF25" s="188">
        <f>Шать!D71</f>
        <v>929.34582999999998</v>
      </c>
      <c r="EG25" s="227">
        <f t="shared" si="49"/>
        <v>59.978903027247924</v>
      </c>
      <c r="EH25" s="188">
        <f>Шать!C76</f>
        <v>208.36099999999999</v>
      </c>
      <c r="EI25" s="188">
        <f>Шать!D76</f>
        <v>106.57683</v>
      </c>
      <c r="EJ25" s="227">
        <f t="shared" si="50"/>
        <v>51.150085668623213</v>
      </c>
      <c r="EK25" s="188">
        <f>Шать!C80</f>
        <v>689.50350000000003</v>
      </c>
      <c r="EL25" s="230">
        <f>Шать!D80</f>
        <v>548.70299999999997</v>
      </c>
      <c r="EM25" s="227">
        <f t="shared" si="10"/>
        <v>79.579436507573917</v>
      </c>
      <c r="EN25" s="227">
        <f>Шать!C82</f>
        <v>5</v>
      </c>
      <c r="EO25" s="227">
        <f>Шать!D82</f>
        <v>5</v>
      </c>
      <c r="EP25" s="227">
        <f t="shared" si="11"/>
        <v>100</v>
      </c>
      <c r="EQ25" s="228">
        <f>Шать!C87</f>
        <v>4</v>
      </c>
      <c r="ER25" s="228">
        <f>Шать!D87</f>
        <v>3.9980000000000002</v>
      </c>
      <c r="ES25" s="227">
        <f t="shared" si="51"/>
        <v>99.95</v>
      </c>
      <c r="ET25" s="227">
        <f>Шать!C93</f>
        <v>0</v>
      </c>
      <c r="EU25" s="227">
        <f>Шать!D93</f>
        <v>0</v>
      </c>
      <c r="EV25" s="227" t="e">
        <f t="shared" si="52"/>
        <v>#DIV/0!</v>
      </c>
      <c r="EW25" s="231">
        <f t="shared" si="12"/>
        <v>53.393470000000889</v>
      </c>
      <c r="EX25" s="231">
        <f t="shared" si="13"/>
        <v>183.40200000000004</v>
      </c>
      <c r="EY25" s="227">
        <f t="shared" si="54"/>
        <v>343.49144193100204</v>
      </c>
      <c r="EZ25" s="232"/>
      <c r="FA25" s="233"/>
      <c r="FC25" s="233"/>
    </row>
    <row r="26" spans="1:170" s="402" customFormat="1" ht="15" customHeight="1">
      <c r="A26" s="403">
        <v>13</v>
      </c>
      <c r="B26" s="194" t="s">
        <v>316</v>
      </c>
      <c r="C26" s="404">
        <f t="shared" si="14"/>
        <v>4973.3999999999996</v>
      </c>
      <c r="D26" s="404">
        <f t="shared" si="0"/>
        <v>3357.5066700000002</v>
      </c>
      <c r="E26" s="187">
        <f t="shared" si="1"/>
        <v>67.509282784413088</v>
      </c>
      <c r="F26" s="198">
        <f t="shared" si="2"/>
        <v>2725.4100000000003</v>
      </c>
      <c r="G26" s="198">
        <f t="shared" si="3"/>
        <v>2120.2494200000001</v>
      </c>
      <c r="H26" s="187">
        <f t="shared" si="15"/>
        <v>77.795613137105974</v>
      </c>
      <c r="I26" s="195">
        <f>Юнг!C6</f>
        <v>114.5</v>
      </c>
      <c r="J26" s="195">
        <f>Юнг!D6</f>
        <v>98.722260000000006</v>
      </c>
      <c r="K26" s="187">
        <f t="shared" si="16"/>
        <v>86.220314410480356</v>
      </c>
      <c r="L26" s="187">
        <f>Юнг!C8</f>
        <v>185.53</v>
      </c>
      <c r="M26" s="187">
        <f>Юнг!D8</f>
        <v>191.74575999999999</v>
      </c>
      <c r="N26" s="187">
        <f t="shared" si="17"/>
        <v>103.35027219317629</v>
      </c>
      <c r="O26" s="187">
        <f>Юнг!C9</f>
        <v>2</v>
      </c>
      <c r="P26" s="187">
        <f>Юнг!D9</f>
        <v>1.7790299999999999</v>
      </c>
      <c r="Q26" s="187">
        <f t="shared" si="18"/>
        <v>88.951499999999996</v>
      </c>
      <c r="R26" s="187">
        <f>Юнг!C10</f>
        <v>309.88</v>
      </c>
      <c r="S26" s="187">
        <f>Юнг!D10</f>
        <v>284.50709000000001</v>
      </c>
      <c r="T26" s="187">
        <f t="shared" si="19"/>
        <v>91.812020782238292</v>
      </c>
      <c r="U26" s="187">
        <f>Юнг!C11</f>
        <v>0</v>
      </c>
      <c r="V26" s="187">
        <f>Юнг!D11</f>
        <v>-43.311799999999998</v>
      </c>
      <c r="W26" s="187" t="e">
        <f t="shared" si="20"/>
        <v>#DIV/0!</v>
      </c>
      <c r="X26" s="195">
        <f>Юнг!C13</f>
        <v>40</v>
      </c>
      <c r="Y26" s="195">
        <f>Юнг!D13</f>
        <v>42.170999999999999</v>
      </c>
      <c r="Z26" s="187">
        <f t="shared" si="21"/>
        <v>105.42750000000001</v>
      </c>
      <c r="AA26" s="195">
        <f>Юнг!C15</f>
        <v>150</v>
      </c>
      <c r="AB26" s="195">
        <f>Юнг!D15</f>
        <v>143.89569</v>
      </c>
      <c r="AC26" s="187">
        <f t="shared" si="22"/>
        <v>95.930460000000011</v>
      </c>
      <c r="AD26" s="195">
        <f>Юнг!C16</f>
        <v>1611.5</v>
      </c>
      <c r="AE26" s="195">
        <f>Юнг!D16</f>
        <v>1177.0896</v>
      </c>
      <c r="AF26" s="187">
        <f t="shared" si="4"/>
        <v>73.043102699348438</v>
      </c>
      <c r="AG26" s="187">
        <f>Юнг!C18</f>
        <v>12</v>
      </c>
      <c r="AH26" s="187">
        <f>Юнг!D18</f>
        <v>7.65</v>
      </c>
      <c r="AI26" s="187">
        <f t="shared" si="23"/>
        <v>63.750000000000007</v>
      </c>
      <c r="AJ26" s="187"/>
      <c r="AK26" s="187"/>
      <c r="AL26" s="187" t="e">
        <f>AJ26/AK26*100</f>
        <v>#DIV/0!</v>
      </c>
      <c r="AM26" s="195">
        <v>0</v>
      </c>
      <c r="AN26" s="195"/>
      <c r="AO26" s="187" t="e">
        <f t="shared" si="6"/>
        <v>#DIV/0!</v>
      </c>
      <c r="AP26" s="195">
        <f>Юнг!C27</f>
        <v>220</v>
      </c>
      <c r="AQ26" s="195">
        <f>Юнг!D27</f>
        <v>65.813000000000002</v>
      </c>
      <c r="AR26" s="187">
        <f t="shared" si="24"/>
        <v>29.915000000000003</v>
      </c>
      <c r="AS26" s="195">
        <f>Юнг!C28</f>
        <v>30</v>
      </c>
      <c r="AT26" s="195">
        <f>Юнг!D28</f>
        <v>36.922499999999999</v>
      </c>
      <c r="AU26" s="187">
        <f t="shared" si="25"/>
        <v>123.075</v>
      </c>
      <c r="AV26" s="195"/>
      <c r="AW26" s="195"/>
      <c r="AX26" s="187" t="e">
        <f t="shared" si="26"/>
        <v>#DIV/0!</v>
      </c>
      <c r="AY26" s="187">
        <f>Юнг!C30</f>
        <v>50</v>
      </c>
      <c r="AZ26" s="187">
        <f>Юнг!D30</f>
        <v>59.210509999999999</v>
      </c>
      <c r="BA26" s="187">
        <f t="shared" si="27"/>
        <v>118.42101999999998</v>
      </c>
      <c r="BB26" s="187"/>
      <c r="BC26" s="187"/>
      <c r="BD26" s="187"/>
      <c r="BE26" s="187">
        <f>Юнг!C33</f>
        <v>0</v>
      </c>
      <c r="BF26" s="187">
        <f>Юнг!D31</f>
        <v>18.815999999999999</v>
      </c>
      <c r="BG26" s="187" t="e">
        <f t="shared" si="28"/>
        <v>#DIV/0!</v>
      </c>
      <c r="BH26" s="187"/>
      <c r="BI26" s="187"/>
      <c r="BJ26" s="187" t="e">
        <f t="shared" si="29"/>
        <v>#DIV/0!</v>
      </c>
      <c r="BK26" s="187"/>
      <c r="BL26" s="187"/>
      <c r="BM26" s="187"/>
      <c r="BN26" s="187"/>
      <c r="BO26" s="357">
        <f>Юнг!D34</f>
        <v>1.17597</v>
      </c>
      <c r="BP26" s="187" t="e">
        <f t="shared" si="30"/>
        <v>#DIV/0!</v>
      </c>
      <c r="BQ26" s="187">
        <f>Юнг!C36</f>
        <v>0</v>
      </c>
      <c r="BR26" s="187">
        <f>Юнг!D36</f>
        <v>34.062809999999999</v>
      </c>
      <c r="BS26" s="187" t="e">
        <f t="shared" si="31"/>
        <v>#DIV/0!</v>
      </c>
      <c r="BT26" s="187"/>
      <c r="BU26" s="187"/>
      <c r="BV26" s="196" t="e">
        <f t="shared" si="32"/>
        <v>#DIV/0!</v>
      </c>
      <c r="BW26" s="196"/>
      <c r="BX26" s="196"/>
      <c r="BY26" s="196" t="e">
        <f t="shared" si="33"/>
        <v>#DIV/0!</v>
      </c>
      <c r="BZ26" s="195">
        <f t="shared" si="34"/>
        <v>2247.9899999999998</v>
      </c>
      <c r="CA26" s="195">
        <f t="shared" si="35"/>
        <v>1237.2572500000001</v>
      </c>
      <c r="CB26" s="187">
        <f t="shared" si="53"/>
        <v>55.038378729442762</v>
      </c>
      <c r="CC26" s="187">
        <f>Юнг!C41</f>
        <v>859.154</v>
      </c>
      <c r="CD26" s="187">
        <f>Юнг!D41</f>
        <v>847.83699999999999</v>
      </c>
      <c r="CE26" s="187">
        <f t="shared" si="36"/>
        <v>98.682773984640704</v>
      </c>
      <c r="CF26" s="187">
        <f>Юнг!C42</f>
        <v>700</v>
      </c>
      <c r="CG26" s="187">
        <f>Юнг!D42</f>
        <v>0</v>
      </c>
      <c r="CH26" s="187">
        <f t="shared" si="37"/>
        <v>0</v>
      </c>
      <c r="CI26" s="187">
        <f>Юнг!C43</f>
        <v>457.16199999999998</v>
      </c>
      <c r="CJ26" s="187">
        <f>Юнг!D43</f>
        <v>421.51100000000002</v>
      </c>
      <c r="CK26" s="187">
        <f t="shared" si="7"/>
        <v>92.201670305055984</v>
      </c>
      <c r="CL26" s="187">
        <f>Юнг!C44</f>
        <v>71.573999999999998</v>
      </c>
      <c r="CM26" s="187">
        <f>Юнг!D44</f>
        <v>70.594999999999999</v>
      </c>
      <c r="CN26" s="187">
        <f t="shared" si="8"/>
        <v>98.632184871601424</v>
      </c>
      <c r="CO26" s="187">
        <f>Юнг!C45</f>
        <v>120</v>
      </c>
      <c r="CP26" s="187">
        <f>Юнг!D45</f>
        <v>120</v>
      </c>
      <c r="CQ26" s="187"/>
      <c r="CR26" s="187">
        <f>Юнг!C48</f>
        <v>40.1</v>
      </c>
      <c r="CS26" s="187">
        <f>Юнг!D48</f>
        <v>40.055</v>
      </c>
      <c r="CT26" s="187">
        <f t="shared" si="9"/>
        <v>99.887780548628427</v>
      </c>
      <c r="CU26" s="187"/>
      <c r="CV26" s="187">
        <f>Юнг!D47</f>
        <v>-262.74074999999999</v>
      </c>
      <c r="CW26" s="187"/>
      <c r="CX26" s="195"/>
      <c r="CY26" s="195"/>
      <c r="CZ26" s="187" t="e">
        <f t="shared" si="38"/>
        <v>#DIV/0!</v>
      </c>
      <c r="DA26" s="187"/>
      <c r="DB26" s="187"/>
      <c r="DC26" s="187"/>
      <c r="DD26" s="187"/>
      <c r="DE26" s="187"/>
      <c r="DF26" s="187"/>
      <c r="DG26" s="195">
        <f t="shared" si="39"/>
        <v>5620.0489200000002</v>
      </c>
      <c r="DH26" s="195">
        <f t="shared" si="39"/>
        <v>3512.6661900000004</v>
      </c>
      <c r="DI26" s="187">
        <f t="shared" si="40"/>
        <v>62.502413057287058</v>
      </c>
      <c r="DJ26" s="195">
        <f t="shared" si="41"/>
        <v>1444.78</v>
      </c>
      <c r="DK26" s="195">
        <f t="shared" si="41"/>
        <v>1092.19883</v>
      </c>
      <c r="DL26" s="187">
        <f t="shared" si="42"/>
        <v>75.596203574246601</v>
      </c>
      <c r="DM26" s="187">
        <f>Юнг!C57</f>
        <v>1429.154</v>
      </c>
      <c r="DN26" s="187">
        <f>Юнг!D57</f>
        <v>1082.0003300000001</v>
      </c>
      <c r="DO26" s="187">
        <f t="shared" si="43"/>
        <v>75.709148909074884</v>
      </c>
      <c r="DP26" s="187">
        <f>Юнг!C60</f>
        <v>0</v>
      </c>
      <c r="DQ26" s="187">
        <f>Юнг!D60</f>
        <v>0</v>
      </c>
      <c r="DR26" s="187" t="e">
        <f t="shared" si="44"/>
        <v>#DIV/0!</v>
      </c>
      <c r="DS26" s="187">
        <f>Юнг!C61</f>
        <v>5</v>
      </c>
      <c r="DT26" s="187">
        <f>Юнг!D61</f>
        <v>0</v>
      </c>
      <c r="DU26" s="187">
        <f t="shared" si="45"/>
        <v>0</v>
      </c>
      <c r="DV26" s="187">
        <f>Юнг!C62</f>
        <v>10.625999999999999</v>
      </c>
      <c r="DW26" s="187">
        <f>Юнг!D62</f>
        <v>10.198499999999999</v>
      </c>
      <c r="DX26" s="187">
        <f t="shared" si="46"/>
        <v>95.976849237718795</v>
      </c>
      <c r="DY26" s="187">
        <f>Юнг!C64</f>
        <v>70.594999999999999</v>
      </c>
      <c r="DZ26" s="187">
        <f>Юнг!D64</f>
        <v>60.150849999999998</v>
      </c>
      <c r="EA26" s="187">
        <f t="shared" si="47"/>
        <v>85.205538635880728</v>
      </c>
      <c r="EB26" s="187">
        <f>Юнг!C65</f>
        <v>198.8</v>
      </c>
      <c r="EC26" s="187">
        <f>Юнг!D65</f>
        <v>88.250739999999993</v>
      </c>
      <c r="ED26" s="187">
        <f t="shared" si="48"/>
        <v>44.391720321931579</v>
      </c>
      <c r="EE26" s="195">
        <f>Юнг!C70</f>
        <v>2186.6479199999999</v>
      </c>
      <c r="EF26" s="195">
        <f>Юнг!D70</f>
        <v>1181.2325900000001</v>
      </c>
      <c r="EG26" s="187">
        <f t="shared" si="49"/>
        <v>54.020246204061969</v>
      </c>
      <c r="EH26" s="195">
        <f>Юнг!C75</f>
        <v>759.98599999999999</v>
      </c>
      <c r="EI26" s="195">
        <f>Юнг!D75</f>
        <v>486.51121000000001</v>
      </c>
      <c r="EJ26" s="187">
        <f t="shared" si="50"/>
        <v>64.015812133381417</v>
      </c>
      <c r="EK26" s="195">
        <f>Юнг!C79</f>
        <v>949.6</v>
      </c>
      <c r="EL26" s="197">
        <f>Юнг!D79</f>
        <v>599.68196999999998</v>
      </c>
      <c r="EM26" s="187">
        <f t="shared" si="10"/>
        <v>63.151007792754839</v>
      </c>
      <c r="EN26" s="187">
        <f>Юнг!C81</f>
        <v>0</v>
      </c>
      <c r="EO26" s="187">
        <f>Юнг!D81</f>
        <v>0</v>
      </c>
      <c r="EP26" s="187" t="e">
        <f t="shared" si="11"/>
        <v>#DIV/0!</v>
      </c>
      <c r="EQ26" s="198">
        <f>Юнг!C86</f>
        <v>9.64</v>
      </c>
      <c r="ER26" s="198">
        <f>Юнг!D86</f>
        <v>4.6399999999999997</v>
      </c>
      <c r="ES26" s="187">
        <f t="shared" si="51"/>
        <v>48.132780082987544</v>
      </c>
      <c r="ET26" s="187">
        <f>Юнг!C92</f>
        <v>0</v>
      </c>
      <c r="EU26" s="187">
        <f>Юнг!D92</f>
        <v>0</v>
      </c>
      <c r="EV26" s="187" t="e">
        <f t="shared" si="52"/>
        <v>#DIV/0!</v>
      </c>
      <c r="EW26" s="399">
        <f t="shared" si="12"/>
        <v>-646.64892000000054</v>
      </c>
      <c r="EX26" s="399">
        <f t="shared" si="13"/>
        <v>-155.15952000000016</v>
      </c>
      <c r="EY26" s="187">
        <f t="shared" si="54"/>
        <v>23.994398691642449</v>
      </c>
      <c r="EZ26" s="400"/>
      <c r="FA26" s="401"/>
      <c r="FC26" s="401"/>
    </row>
    <row r="27" spans="1:170" s="169" customFormat="1" ht="15" customHeight="1">
      <c r="A27" s="181">
        <v>14</v>
      </c>
      <c r="B27" s="194" t="s">
        <v>317</v>
      </c>
      <c r="C27" s="183">
        <f t="shared" si="14"/>
        <v>6777.0421000000006</v>
      </c>
      <c r="D27" s="404">
        <f t="shared" si="0"/>
        <v>6367.1700099999998</v>
      </c>
      <c r="E27" s="187">
        <f t="shared" si="1"/>
        <v>93.952050408540316</v>
      </c>
      <c r="F27" s="185">
        <f>I27+X27+AA27+AD27+AG27+AM27+AS27+BE27+BQ27+BN27+AJ27+AY27+L27+R27+O27+U27+AP27</f>
        <v>1723.5400000000002</v>
      </c>
      <c r="G27" s="185">
        <f t="shared" si="3"/>
        <v>1360.7974100000001</v>
      </c>
      <c r="H27" s="187">
        <f t="shared" si="15"/>
        <v>78.953630899195844</v>
      </c>
      <c r="I27" s="195">
        <f>Юсь!C6</f>
        <v>130.19999999999999</v>
      </c>
      <c r="J27" s="195">
        <f>Юсь!D6</f>
        <v>97.652820000000006</v>
      </c>
      <c r="K27" s="187">
        <f t="shared" si="16"/>
        <v>75.00216589861752</v>
      </c>
      <c r="L27" s="187">
        <f>Юсь!C8</f>
        <v>250.04</v>
      </c>
      <c r="M27" s="187">
        <f>Юсь!D8</f>
        <v>258.40415000000002</v>
      </c>
      <c r="N27" s="184">
        <f t="shared" si="17"/>
        <v>103.34512478003521</v>
      </c>
      <c r="O27" s="184">
        <f>Юсь!C9</f>
        <v>2.68</v>
      </c>
      <c r="P27" s="184">
        <f>Юсь!D9</f>
        <v>2.3974899999999999</v>
      </c>
      <c r="Q27" s="184">
        <f t="shared" si="18"/>
        <v>89.458582089552223</v>
      </c>
      <c r="R27" s="184">
        <f>Юсь!C10</f>
        <v>417.62</v>
      </c>
      <c r="S27" s="184">
        <f>Юсь!D10</f>
        <v>383.41302000000002</v>
      </c>
      <c r="T27" s="184">
        <f t="shared" si="19"/>
        <v>91.809065657775008</v>
      </c>
      <c r="U27" s="184">
        <f>Юсь!C11</f>
        <v>0</v>
      </c>
      <c r="V27" s="184">
        <f>Юсь!D11</f>
        <v>-58.368630000000003</v>
      </c>
      <c r="W27" s="184" t="e">
        <f t="shared" si="20"/>
        <v>#DIV/0!</v>
      </c>
      <c r="X27" s="195">
        <f>Юсь!C13</f>
        <v>30</v>
      </c>
      <c r="Y27" s="195">
        <f>Юсь!D13</f>
        <v>1.6573199999999999</v>
      </c>
      <c r="Z27" s="187">
        <f t="shared" si="21"/>
        <v>5.5243999999999991</v>
      </c>
      <c r="AA27" s="195">
        <f>Юсь!C15</f>
        <v>105</v>
      </c>
      <c r="AB27" s="195">
        <f>Юсь!D15</f>
        <v>66.865979999999993</v>
      </c>
      <c r="AC27" s="187">
        <f t="shared" si="22"/>
        <v>63.681885714285713</v>
      </c>
      <c r="AD27" s="195">
        <f>Юсь!C16</f>
        <v>420</v>
      </c>
      <c r="AE27" s="195">
        <f>Юсь!D16</f>
        <v>222.91756000000001</v>
      </c>
      <c r="AF27" s="187">
        <f t="shared" si="4"/>
        <v>53.075609523809533</v>
      </c>
      <c r="AG27" s="187">
        <f>Юсь!C18</f>
        <v>8</v>
      </c>
      <c r="AH27" s="187">
        <f>Юсь!D18</f>
        <v>4.75</v>
      </c>
      <c r="AI27" s="187">
        <f t="shared" si="23"/>
        <v>59.375</v>
      </c>
      <c r="AJ27" s="187"/>
      <c r="AK27" s="187"/>
      <c r="AL27" s="187" t="e">
        <f>AJ27/AK27*100</f>
        <v>#DIV/0!</v>
      </c>
      <c r="AM27" s="195">
        <v>0</v>
      </c>
      <c r="AN27" s="195">
        <v>0</v>
      </c>
      <c r="AO27" s="187" t="e">
        <f t="shared" si="6"/>
        <v>#DIV/0!</v>
      </c>
      <c r="AP27" s="195">
        <f>Юсь!C27</f>
        <v>0</v>
      </c>
      <c r="AQ27" s="195">
        <f>Юсь!D27</f>
        <v>0</v>
      </c>
      <c r="AR27" s="187" t="e">
        <f t="shared" si="24"/>
        <v>#DIV/0!</v>
      </c>
      <c r="AS27" s="188">
        <f>Юсь!C28</f>
        <v>60</v>
      </c>
      <c r="AT27" s="195">
        <f>Юсь!D28</f>
        <v>55</v>
      </c>
      <c r="AU27" s="187">
        <f t="shared" si="25"/>
        <v>91.666666666666657</v>
      </c>
      <c r="AV27" s="195"/>
      <c r="AW27" s="195"/>
      <c r="AX27" s="187" t="e">
        <f t="shared" si="26"/>
        <v>#DIV/0!</v>
      </c>
      <c r="AY27" s="187">
        <f>Юсь!C30</f>
        <v>300</v>
      </c>
      <c r="AZ27" s="187">
        <f>Юсь!D30</f>
        <v>326.34780000000001</v>
      </c>
      <c r="BA27" s="187">
        <f t="shared" si="27"/>
        <v>108.7826</v>
      </c>
      <c r="BB27" s="187"/>
      <c r="BC27" s="187"/>
      <c r="BD27" s="187"/>
      <c r="BE27" s="187">
        <f>Юсь!C31</f>
        <v>0</v>
      </c>
      <c r="BF27" s="187">
        <f>Юсь!D31</f>
        <v>0</v>
      </c>
      <c r="BG27" s="187" t="e">
        <f t="shared" si="28"/>
        <v>#DIV/0!</v>
      </c>
      <c r="BH27" s="187"/>
      <c r="BI27" s="187"/>
      <c r="BJ27" s="187" t="e">
        <f t="shared" si="29"/>
        <v>#DIV/0!</v>
      </c>
      <c r="BK27" s="187"/>
      <c r="BL27" s="187"/>
      <c r="BM27" s="187"/>
      <c r="BN27" s="187"/>
      <c r="BO27" s="357"/>
      <c r="BP27" s="187" t="e">
        <f t="shared" si="30"/>
        <v>#DIV/0!</v>
      </c>
      <c r="BQ27" s="187">
        <f>Юсь!C34</f>
        <v>0</v>
      </c>
      <c r="BR27" s="187">
        <f>Юсь!D34</f>
        <v>-0.24010000000000001</v>
      </c>
      <c r="BS27" s="187" t="e">
        <f t="shared" si="31"/>
        <v>#DIV/0!</v>
      </c>
      <c r="BT27" s="187"/>
      <c r="BU27" s="187"/>
      <c r="BV27" s="196" t="e">
        <f t="shared" si="32"/>
        <v>#DIV/0!</v>
      </c>
      <c r="BW27" s="196"/>
      <c r="BX27" s="196"/>
      <c r="BY27" s="196" t="e">
        <f t="shared" si="33"/>
        <v>#DIV/0!</v>
      </c>
      <c r="BZ27" s="186">
        <f t="shared" si="34"/>
        <v>5053.5021000000006</v>
      </c>
      <c r="CA27" s="186">
        <f t="shared" si="35"/>
        <v>5006.3725999999997</v>
      </c>
      <c r="CB27" s="187">
        <f t="shared" si="53"/>
        <v>99.067389325909232</v>
      </c>
      <c r="CC27" s="187">
        <f>Юсь!C39</f>
        <v>2768.5630000000001</v>
      </c>
      <c r="CD27" s="187">
        <f>Юсь!D39</f>
        <v>2768.5630000000001</v>
      </c>
      <c r="CE27" s="187">
        <f t="shared" si="36"/>
        <v>100</v>
      </c>
      <c r="CF27" s="357">
        <f>Юсь!C41</f>
        <v>546.88009999999997</v>
      </c>
      <c r="CG27" s="187">
        <f>Юсь!D41</f>
        <v>546.88009999999997</v>
      </c>
      <c r="CH27" s="187">
        <f t="shared" si="37"/>
        <v>100</v>
      </c>
      <c r="CI27" s="187">
        <f>Юсь!C42</f>
        <v>1502.36</v>
      </c>
      <c r="CJ27" s="187">
        <f>Юсь!D42</f>
        <v>1460.22</v>
      </c>
      <c r="CK27" s="187">
        <f t="shared" si="7"/>
        <v>97.195079741207181</v>
      </c>
      <c r="CL27" s="187">
        <f>Юсь!C43</f>
        <v>157.59899999999999</v>
      </c>
      <c r="CM27" s="187">
        <f>Юсь!D43</f>
        <v>152.6095</v>
      </c>
      <c r="CN27" s="187">
        <f t="shared" si="8"/>
        <v>96.834053515568002</v>
      </c>
      <c r="CO27" s="187">
        <f>Юсь!C50</f>
        <v>0</v>
      </c>
      <c r="CP27" s="187">
        <f>Юсь!D50</f>
        <v>0</v>
      </c>
      <c r="CQ27" s="187"/>
      <c r="CR27" s="187">
        <f>Юсь!C51</f>
        <v>78.099999999999994</v>
      </c>
      <c r="CS27" s="187">
        <f>Юсь!D51</f>
        <v>78.099999999999994</v>
      </c>
      <c r="CT27" s="187">
        <f t="shared" si="9"/>
        <v>100</v>
      </c>
      <c r="CU27" s="187"/>
      <c r="CV27" s="187"/>
      <c r="CW27" s="187"/>
      <c r="CX27" s="195"/>
      <c r="CY27" s="195"/>
      <c r="CZ27" s="187" t="e">
        <f t="shared" si="38"/>
        <v>#DIV/0!</v>
      </c>
      <c r="DA27" s="187"/>
      <c r="DB27" s="187"/>
      <c r="DC27" s="187"/>
      <c r="DD27" s="187"/>
      <c r="DE27" s="187"/>
      <c r="DF27" s="187"/>
      <c r="DG27" s="195">
        <f t="shared" si="39"/>
        <v>7476.8584799999999</v>
      </c>
      <c r="DH27" s="195">
        <f t="shared" si="39"/>
        <v>6290.9750999999997</v>
      </c>
      <c r="DI27" s="187">
        <f t="shared" si="40"/>
        <v>84.139282786050543</v>
      </c>
      <c r="DJ27" s="195">
        <f t="shared" si="41"/>
        <v>1272.5335</v>
      </c>
      <c r="DK27" s="195">
        <f t="shared" si="41"/>
        <v>1046.3231899999998</v>
      </c>
      <c r="DL27" s="187">
        <f t="shared" si="42"/>
        <v>82.223626332823443</v>
      </c>
      <c r="DM27" s="187">
        <f>Юсь!C59</f>
        <v>1247.5630000000001</v>
      </c>
      <c r="DN27" s="187">
        <f>Юсь!D59</f>
        <v>1026.3526899999999</v>
      </c>
      <c r="DO27" s="187">
        <f t="shared" si="43"/>
        <v>82.268606074402641</v>
      </c>
      <c r="DP27" s="187">
        <f>Юсь!C62</f>
        <v>15.714</v>
      </c>
      <c r="DQ27" s="187">
        <f>Юсь!D62</f>
        <v>15.714</v>
      </c>
      <c r="DR27" s="187">
        <f t="shared" si="44"/>
        <v>100</v>
      </c>
      <c r="DS27" s="187">
        <f>Юсь!C63</f>
        <v>5</v>
      </c>
      <c r="DT27" s="187">
        <f>Юсь!D63</f>
        <v>0</v>
      </c>
      <c r="DU27" s="187">
        <f t="shared" si="45"/>
        <v>0</v>
      </c>
      <c r="DV27" s="187">
        <f>Юсь!C64</f>
        <v>4.2565</v>
      </c>
      <c r="DW27" s="187">
        <f>Юсь!D64</f>
        <v>4.2565</v>
      </c>
      <c r="DX27" s="187">
        <f t="shared" si="46"/>
        <v>100</v>
      </c>
      <c r="DY27" s="187">
        <f>Юсь!C66</f>
        <v>150.881</v>
      </c>
      <c r="DZ27" s="187">
        <f>Юсь!D66</f>
        <v>126.04170999999999</v>
      </c>
      <c r="EA27" s="187">
        <f t="shared" si="47"/>
        <v>83.537165050602795</v>
      </c>
      <c r="EB27" s="187">
        <f>Юсь!C67</f>
        <v>3</v>
      </c>
      <c r="EC27" s="187">
        <f>Юсь!D67</f>
        <v>0</v>
      </c>
      <c r="ED27" s="187">
        <f t="shared" si="48"/>
        <v>0</v>
      </c>
      <c r="EE27" s="195">
        <f>Юсь!C72</f>
        <v>1575.7813799999999</v>
      </c>
      <c r="EF27" s="195">
        <f>Юсь!D72</f>
        <v>1308.21623</v>
      </c>
      <c r="EG27" s="187">
        <f t="shared" si="49"/>
        <v>83.02016044890695</v>
      </c>
      <c r="EH27" s="195">
        <f>Юсь!C77</f>
        <v>756.24</v>
      </c>
      <c r="EI27" s="195">
        <f>Юсь!D77</f>
        <v>634.94888000000003</v>
      </c>
      <c r="EJ27" s="187">
        <f t="shared" si="50"/>
        <v>83.961292711308573</v>
      </c>
      <c r="EK27" s="195">
        <f>Юсь!C81</f>
        <v>3714.4225999999999</v>
      </c>
      <c r="EL27" s="197">
        <f>Юсь!D81</f>
        <v>3175.4450900000002</v>
      </c>
      <c r="EM27" s="187">
        <f t="shared" si="10"/>
        <v>85.489601802444355</v>
      </c>
      <c r="EN27" s="187">
        <f>Юсь!C83</f>
        <v>0</v>
      </c>
      <c r="EO27" s="187">
        <f>Юсь!D83</f>
        <v>0</v>
      </c>
      <c r="EP27" s="187" t="e">
        <f t="shared" si="11"/>
        <v>#DIV/0!</v>
      </c>
      <c r="EQ27" s="198">
        <f>Юсь!C88</f>
        <v>4</v>
      </c>
      <c r="ER27" s="198">
        <f>Юсь!D88</f>
        <v>0</v>
      </c>
      <c r="ES27" s="187">
        <f t="shared" si="51"/>
        <v>0</v>
      </c>
      <c r="ET27" s="187">
        <f>Юсь!C94</f>
        <v>0</v>
      </c>
      <c r="EU27" s="187">
        <f>Юсь!D94</f>
        <v>0</v>
      </c>
      <c r="EV27" s="184" t="e">
        <f t="shared" si="52"/>
        <v>#DIV/0!</v>
      </c>
      <c r="EW27" s="191">
        <f t="shared" si="12"/>
        <v>-699.8163799999993</v>
      </c>
      <c r="EX27" s="191">
        <f t="shared" si="13"/>
        <v>76.194910000000164</v>
      </c>
      <c r="EY27" s="184">
        <f t="shared" si="54"/>
        <v>-10.88784317966382</v>
      </c>
      <c r="EZ27" s="192"/>
      <c r="FA27" s="193"/>
      <c r="FC27" s="193"/>
    </row>
    <row r="28" spans="1:170" s="169" customFormat="1" ht="15" customHeight="1">
      <c r="A28" s="181">
        <v>15</v>
      </c>
      <c r="B28" s="194" t="s">
        <v>318</v>
      </c>
      <c r="C28" s="404">
        <f t="shared" si="14"/>
        <v>8695.4784899999995</v>
      </c>
      <c r="D28" s="404">
        <f>G28+CA28+CY28</f>
        <v>6412.3052400000006</v>
      </c>
      <c r="E28" s="187">
        <f>D28/C28*100</f>
        <v>73.742983176535944</v>
      </c>
      <c r="F28" s="185">
        <f t="shared" si="2"/>
        <v>2660.75</v>
      </c>
      <c r="G28" s="185">
        <f>J28+Y28+AB28+AE28+AH28+AN28+AT28+BF28+AK28+BR28+BO28+AZ28+M28+S28+P28+V28+AQ28</f>
        <v>1751.7723100000003</v>
      </c>
      <c r="H28" s="187">
        <f>G28/F28*100</f>
        <v>65.837538663910564</v>
      </c>
      <c r="I28" s="195">
        <f>Яра!C6</f>
        <v>121.5</v>
      </c>
      <c r="J28" s="195">
        <f>Яра!D6</f>
        <v>96.578519999999997</v>
      </c>
      <c r="K28" s="187">
        <f t="shared" si="16"/>
        <v>79.488493827160482</v>
      </c>
      <c r="L28" s="187">
        <f>Яра!C8</f>
        <v>273.13</v>
      </c>
      <c r="M28" s="187">
        <f>Яра!D8</f>
        <v>282.26952999999997</v>
      </c>
      <c r="N28" s="184">
        <f t="shared" si="17"/>
        <v>103.34621974883756</v>
      </c>
      <c r="O28" s="184">
        <f>Яра!C9</f>
        <v>2.93</v>
      </c>
      <c r="P28" s="184">
        <f>Яра!D9</f>
        <v>2.6189300000000002</v>
      </c>
      <c r="Q28" s="184">
        <f t="shared" si="18"/>
        <v>89.383276450511957</v>
      </c>
      <c r="R28" s="184">
        <f>Яра!C10</f>
        <v>456.19</v>
      </c>
      <c r="S28" s="184">
        <f>Яра!D10</f>
        <v>418.82375999999999</v>
      </c>
      <c r="T28" s="184">
        <f t="shared" si="19"/>
        <v>91.809062013634673</v>
      </c>
      <c r="U28" s="184">
        <f>Яра!C11</f>
        <v>0</v>
      </c>
      <c r="V28" s="184">
        <f>Яра!D11</f>
        <v>-63.75947</v>
      </c>
      <c r="W28" s="184" t="e">
        <f t="shared" si="20"/>
        <v>#DIV/0!</v>
      </c>
      <c r="X28" s="195">
        <f>Яра!C13</f>
        <v>25</v>
      </c>
      <c r="Y28" s="195">
        <f>Яра!D13</f>
        <v>21.4968</v>
      </c>
      <c r="Z28" s="187">
        <f t="shared" si="21"/>
        <v>85.987200000000001</v>
      </c>
      <c r="AA28" s="195">
        <f>Яра!C15</f>
        <v>155</v>
      </c>
      <c r="AB28" s="195">
        <f>Яра!D15</f>
        <v>87.259159999999994</v>
      </c>
      <c r="AC28" s="187">
        <f t="shared" si="22"/>
        <v>56.296232258064514</v>
      </c>
      <c r="AD28" s="195">
        <f>Яра!C16</f>
        <v>1500</v>
      </c>
      <c r="AE28" s="195">
        <f>Яра!D16</f>
        <v>785.70788000000005</v>
      </c>
      <c r="AF28" s="187">
        <f t="shared" si="4"/>
        <v>52.380525333333338</v>
      </c>
      <c r="AG28" s="187">
        <f>Яра!C18</f>
        <v>12</v>
      </c>
      <c r="AH28" s="187">
        <f>Яра!D18</f>
        <v>13.63721</v>
      </c>
      <c r="AI28" s="187">
        <f t="shared" si="23"/>
        <v>113.64341666666667</v>
      </c>
      <c r="AJ28" s="187"/>
      <c r="AK28" s="187"/>
      <c r="AL28" s="187" t="e">
        <f>AJ28/AK28*100</f>
        <v>#DIV/0!</v>
      </c>
      <c r="AM28" s="195">
        <v>0</v>
      </c>
      <c r="AN28" s="195">
        <v>0</v>
      </c>
      <c r="AO28" s="187" t="e">
        <f t="shared" si="6"/>
        <v>#DIV/0!</v>
      </c>
      <c r="AP28" s="195">
        <f>Яра!C27</f>
        <v>30</v>
      </c>
      <c r="AQ28" s="195">
        <f>Яра!D27</f>
        <v>8.5763599999999993</v>
      </c>
      <c r="AR28" s="187">
        <f t="shared" si="24"/>
        <v>28.587866666666667</v>
      </c>
      <c r="AS28" s="188">
        <f>Яра!C28</f>
        <v>55</v>
      </c>
      <c r="AT28" s="195">
        <f>Яра!D28</f>
        <v>53.003459999999997</v>
      </c>
      <c r="AU28" s="187">
        <f t="shared" si="25"/>
        <v>96.369927272727267</v>
      </c>
      <c r="AV28" s="195"/>
      <c r="AW28" s="195"/>
      <c r="AX28" s="187" t="e">
        <f t="shared" si="26"/>
        <v>#DIV/0!</v>
      </c>
      <c r="AY28" s="187">
        <f>Яра!C31</f>
        <v>30</v>
      </c>
      <c r="AZ28" s="187">
        <f>Яра!D31</f>
        <v>31.73629</v>
      </c>
      <c r="BA28" s="187">
        <f t="shared" si="27"/>
        <v>105.78763333333335</v>
      </c>
      <c r="BB28" s="187"/>
      <c r="BC28" s="187"/>
      <c r="BD28" s="187"/>
      <c r="BE28" s="187"/>
      <c r="BF28" s="187">
        <v>0</v>
      </c>
      <c r="BG28" s="187" t="e">
        <f t="shared" si="28"/>
        <v>#DIV/0!</v>
      </c>
      <c r="BH28" s="187"/>
      <c r="BI28" s="187"/>
      <c r="BJ28" s="187" t="e">
        <f t="shared" si="29"/>
        <v>#DIV/0!</v>
      </c>
      <c r="BK28" s="187"/>
      <c r="BL28" s="187"/>
      <c r="BM28" s="187"/>
      <c r="BN28" s="187">
        <f>Яра!C35</f>
        <v>0</v>
      </c>
      <c r="BO28" s="357">
        <f>Яра!D35</f>
        <v>12.99113</v>
      </c>
      <c r="BP28" s="187" t="e">
        <f t="shared" si="30"/>
        <v>#DIV/0!</v>
      </c>
      <c r="BQ28" s="187">
        <f>Яра!C37</f>
        <v>0</v>
      </c>
      <c r="BR28" s="187">
        <f>Яра!D37</f>
        <v>0.83274999999999999</v>
      </c>
      <c r="BS28" s="187" t="e">
        <f t="shared" si="31"/>
        <v>#DIV/0!</v>
      </c>
      <c r="BT28" s="187"/>
      <c r="BU28" s="187"/>
      <c r="BV28" s="196" t="e">
        <f t="shared" si="32"/>
        <v>#DIV/0!</v>
      </c>
      <c r="BW28" s="196"/>
      <c r="BX28" s="196"/>
      <c r="BY28" s="196" t="e">
        <f t="shared" si="33"/>
        <v>#DIV/0!</v>
      </c>
      <c r="BZ28" s="186">
        <f t="shared" si="34"/>
        <v>6034.7284899999995</v>
      </c>
      <c r="CA28" s="186">
        <f t="shared" si="35"/>
        <v>4660.5329300000003</v>
      </c>
      <c r="CB28" s="187">
        <f t="shared" si="53"/>
        <v>77.228543715311389</v>
      </c>
      <c r="CC28" s="187">
        <f>Яра!C42</f>
        <v>1821.173</v>
      </c>
      <c r="CD28" s="187">
        <f>Яра!D42</f>
        <v>1545.145</v>
      </c>
      <c r="CE28" s="187">
        <f t="shared" si="36"/>
        <v>84.84339488889853</v>
      </c>
      <c r="CF28" s="187">
        <f>Яра!C43</f>
        <v>154.66300000000001</v>
      </c>
      <c r="CG28" s="187">
        <f>Яра!D43</f>
        <v>0</v>
      </c>
      <c r="CH28" s="187">
        <f t="shared" si="37"/>
        <v>0</v>
      </c>
      <c r="CI28" s="187">
        <f>Яра!C44</f>
        <v>3239.2814899999998</v>
      </c>
      <c r="CJ28" s="187">
        <f>Яра!D44</f>
        <v>2299.77783</v>
      </c>
      <c r="CK28" s="187">
        <f t="shared" si="7"/>
        <v>70.996541581818505</v>
      </c>
      <c r="CL28" s="187">
        <f>Яра!C45</f>
        <v>155.91800000000001</v>
      </c>
      <c r="CM28" s="187">
        <f>Яра!D45</f>
        <v>151.9171</v>
      </c>
      <c r="CN28" s="187">
        <f t="shared" si="8"/>
        <v>97.43397170307469</v>
      </c>
      <c r="CO28" s="187">
        <f>Яра!C47</f>
        <v>0</v>
      </c>
      <c r="CP28" s="187">
        <f>Яра!D47</f>
        <v>0</v>
      </c>
      <c r="CQ28" s="187"/>
      <c r="CR28" s="187">
        <f>Яра!C51</f>
        <v>663.69299999999998</v>
      </c>
      <c r="CS28" s="187">
        <f>Яра!D51</f>
        <v>663.69299999999998</v>
      </c>
      <c r="CT28" s="187">
        <f t="shared" si="9"/>
        <v>100</v>
      </c>
      <c r="CU28" s="187"/>
      <c r="CV28" s="187"/>
      <c r="CW28" s="187"/>
      <c r="CX28" s="195"/>
      <c r="CY28" s="195"/>
      <c r="CZ28" s="187" t="e">
        <f t="shared" si="38"/>
        <v>#DIV/0!</v>
      </c>
      <c r="DA28" s="187"/>
      <c r="DB28" s="187">
        <f>Яра!D46</f>
        <v>0</v>
      </c>
      <c r="DC28" s="187" t="e">
        <f>DB28/DA28</f>
        <v>#DIV/0!</v>
      </c>
      <c r="DD28" s="187"/>
      <c r="DE28" s="187"/>
      <c r="DF28" s="187"/>
      <c r="DG28" s="195">
        <f t="shared" si="39"/>
        <v>10894.063819999999</v>
      </c>
      <c r="DH28" s="195">
        <f t="shared" si="39"/>
        <v>7826.2822500000002</v>
      </c>
      <c r="DI28" s="187">
        <f t="shared" si="40"/>
        <v>71.839878848809619</v>
      </c>
      <c r="DJ28" s="195">
        <f t="shared" si="41"/>
        <v>1309.998</v>
      </c>
      <c r="DK28" s="195">
        <f t="shared" si="41"/>
        <v>909.51863000000003</v>
      </c>
      <c r="DL28" s="187">
        <f t="shared" si="42"/>
        <v>69.429009051922222</v>
      </c>
      <c r="DM28" s="187">
        <f>Яра!C59</f>
        <v>1283.673</v>
      </c>
      <c r="DN28" s="187">
        <f>Яра!D59</f>
        <v>889.21163000000001</v>
      </c>
      <c r="DO28" s="187">
        <f t="shared" si="43"/>
        <v>69.270883628463011</v>
      </c>
      <c r="DP28" s="187">
        <f>Яра!C62</f>
        <v>0</v>
      </c>
      <c r="DQ28" s="187">
        <f>Яра!D62</f>
        <v>0</v>
      </c>
      <c r="DR28" s="187" t="e">
        <f t="shared" si="44"/>
        <v>#DIV/0!</v>
      </c>
      <c r="DS28" s="187">
        <f>Яра!C63</f>
        <v>5</v>
      </c>
      <c r="DT28" s="187">
        <f>Яра!D63</f>
        <v>0</v>
      </c>
      <c r="DU28" s="187">
        <f t="shared" si="45"/>
        <v>0</v>
      </c>
      <c r="DV28" s="187">
        <f>Яра!C64</f>
        <v>21.324999999999999</v>
      </c>
      <c r="DW28" s="187">
        <f>Яра!D64</f>
        <v>20.306999999999999</v>
      </c>
      <c r="DX28" s="187">
        <f t="shared" si="46"/>
        <v>95.226260257913239</v>
      </c>
      <c r="DY28" s="187">
        <f>Яра!C66</f>
        <v>150.88</v>
      </c>
      <c r="DZ28" s="187">
        <f>Яра!D65</f>
        <v>127.58141999999999</v>
      </c>
      <c r="EA28" s="187">
        <f t="shared" si="47"/>
        <v>84.558205196182385</v>
      </c>
      <c r="EB28" s="187">
        <f>Яра!C67</f>
        <v>43.72813</v>
      </c>
      <c r="EC28" s="187">
        <f>Яра!D67</f>
        <v>39.530230000000003</v>
      </c>
      <c r="ED28" s="187">
        <f t="shared" si="48"/>
        <v>90.400001097691586</v>
      </c>
      <c r="EE28" s="195">
        <f>Яра!C73</f>
        <v>5740.15769</v>
      </c>
      <c r="EF28" s="195">
        <f>Яра!D73</f>
        <v>4042.50162</v>
      </c>
      <c r="EG28" s="187">
        <f t="shared" si="49"/>
        <v>70.424922768977112</v>
      </c>
      <c r="EH28" s="195">
        <f>Яра!C78</f>
        <v>513.27499999999998</v>
      </c>
      <c r="EI28" s="195">
        <f>Яра!D78</f>
        <v>328.38184000000001</v>
      </c>
      <c r="EJ28" s="187">
        <f t="shared" si="50"/>
        <v>63.97775851151917</v>
      </c>
      <c r="EK28" s="195">
        <f>Яра!C82</f>
        <v>3080.5250000000001</v>
      </c>
      <c r="EL28" s="197">
        <f>Яра!D82</f>
        <v>2336.4465100000002</v>
      </c>
      <c r="EM28" s="187">
        <f t="shared" si="10"/>
        <v>75.845724673554031</v>
      </c>
      <c r="EN28" s="187">
        <f>Яра!C84</f>
        <v>0</v>
      </c>
      <c r="EO28" s="187">
        <f>Яра!D84</f>
        <v>0</v>
      </c>
      <c r="EP28" s="187" t="e">
        <f t="shared" si="11"/>
        <v>#DIV/0!</v>
      </c>
      <c r="EQ28" s="198">
        <f>Яра!C89</f>
        <v>55.5</v>
      </c>
      <c r="ER28" s="198">
        <f>Яра!D89</f>
        <v>42.322000000000003</v>
      </c>
      <c r="ES28" s="187">
        <f t="shared" si="51"/>
        <v>76.255855855855856</v>
      </c>
      <c r="ET28" s="187">
        <f>Яра!C95</f>
        <v>0</v>
      </c>
      <c r="EU28" s="187">
        <f>Яра!D95</f>
        <v>0</v>
      </c>
      <c r="EV28" s="184" t="e">
        <f t="shared" si="52"/>
        <v>#DIV/0!</v>
      </c>
      <c r="EW28" s="191">
        <f t="shared" si="12"/>
        <v>-2198.5853299999999</v>
      </c>
      <c r="EX28" s="191">
        <f t="shared" si="13"/>
        <v>-1413.9770099999996</v>
      </c>
      <c r="EY28" s="184">
        <f t="shared" si="54"/>
        <v>64.313037602229414</v>
      </c>
      <c r="EZ28" s="192"/>
      <c r="FA28" s="193"/>
      <c r="FC28" s="193"/>
    </row>
    <row r="29" spans="1:170" s="169" customFormat="1" ht="15" customHeight="1">
      <c r="A29" s="181">
        <v>16</v>
      </c>
      <c r="B29" s="182" t="s">
        <v>319</v>
      </c>
      <c r="C29" s="183">
        <f t="shared" si="14"/>
        <v>9261.3479999999981</v>
      </c>
      <c r="D29" s="404">
        <f t="shared" si="0"/>
        <v>7491.6715099999992</v>
      </c>
      <c r="E29" s="184">
        <f t="shared" si="1"/>
        <v>80.891804411193718</v>
      </c>
      <c r="F29" s="185">
        <f t="shared" si="2"/>
        <v>1870.1619999999998</v>
      </c>
      <c r="G29" s="185">
        <f t="shared" si="3"/>
        <v>1248.51728</v>
      </c>
      <c r="H29" s="184">
        <f t="shared" si="15"/>
        <v>66.759846473193235</v>
      </c>
      <c r="I29" s="186">
        <f>Яро!C6</f>
        <v>101.6</v>
      </c>
      <c r="J29" s="195">
        <f>Яро!D6</f>
        <v>81.015739999999994</v>
      </c>
      <c r="K29" s="184">
        <f t="shared" si="16"/>
        <v>79.739901574803156</v>
      </c>
      <c r="L29" s="184">
        <f>Яро!C8</f>
        <v>156.87</v>
      </c>
      <c r="M29" s="184">
        <f>Яро!D8</f>
        <v>162.11981</v>
      </c>
      <c r="N29" s="184">
        <f t="shared" si="17"/>
        <v>103.34659909479187</v>
      </c>
      <c r="O29" s="184">
        <f>Яро!C9</f>
        <v>1.68</v>
      </c>
      <c r="P29" s="184">
        <f>Яро!D9</f>
        <v>1.50421</v>
      </c>
      <c r="Q29" s="184">
        <f t="shared" si="18"/>
        <v>89.536309523809535</v>
      </c>
      <c r="R29" s="184">
        <f>Яро!C10</f>
        <v>262.01</v>
      </c>
      <c r="S29" s="184">
        <f>Яро!D10</f>
        <v>240.54893000000001</v>
      </c>
      <c r="T29" s="184">
        <f t="shared" si="19"/>
        <v>91.809064539521401</v>
      </c>
      <c r="U29" s="184">
        <f>Яро!C11</f>
        <v>0</v>
      </c>
      <c r="V29" s="184">
        <f>Яро!D11</f>
        <v>-36.619880000000002</v>
      </c>
      <c r="W29" s="184" t="e">
        <f t="shared" si="20"/>
        <v>#DIV/0!</v>
      </c>
      <c r="X29" s="186">
        <f>Яро!C13</f>
        <v>5</v>
      </c>
      <c r="Y29" s="186">
        <f>Яро!D13</f>
        <v>0.1038</v>
      </c>
      <c r="Z29" s="184">
        <f t="shared" si="21"/>
        <v>2.0760000000000001</v>
      </c>
      <c r="AA29" s="186">
        <f>Яро!C15</f>
        <v>235</v>
      </c>
      <c r="AB29" s="186">
        <f>Яро!D15</f>
        <v>52.647179999999999</v>
      </c>
      <c r="AC29" s="184">
        <f t="shared" si="22"/>
        <v>22.403055319148933</v>
      </c>
      <c r="AD29" s="186">
        <f>Яро!C16</f>
        <v>1000</v>
      </c>
      <c r="AE29" s="186">
        <f>Яро!D16</f>
        <v>638.41936999999996</v>
      </c>
      <c r="AF29" s="184">
        <f t="shared" si="4"/>
        <v>63.841936999999994</v>
      </c>
      <c r="AG29" s="184">
        <f>Яро!C18</f>
        <v>8.0020000000000007</v>
      </c>
      <c r="AH29" s="184">
        <f>Яро!D18</f>
        <v>3.6309999999999998</v>
      </c>
      <c r="AI29" s="184">
        <f t="shared" si="23"/>
        <v>45.376155961009736</v>
      </c>
      <c r="AJ29" s="184"/>
      <c r="AK29" s="184"/>
      <c r="AL29" s="184" t="e">
        <f>AJ29/AK29*100</f>
        <v>#DIV/0!</v>
      </c>
      <c r="AM29" s="186">
        <v>0</v>
      </c>
      <c r="AN29" s="186">
        <v>0</v>
      </c>
      <c r="AO29" s="184" t="e">
        <f t="shared" si="6"/>
        <v>#DIV/0!</v>
      </c>
      <c r="AP29" s="186">
        <f>Яро!C26</f>
        <v>100</v>
      </c>
      <c r="AQ29" s="186">
        <f>Яро!D27</f>
        <v>105.14712</v>
      </c>
      <c r="AR29" s="184">
        <f t="shared" si="24"/>
        <v>105.14712</v>
      </c>
      <c r="AS29" s="188">
        <v>0</v>
      </c>
      <c r="AT29" s="186">
        <f>Яро!D28</f>
        <v>0</v>
      </c>
      <c r="AU29" s="184" t="e">
        <f t="shared" si="25"/>
        <v>#DIV/0!</v>
      </c>
      <c r="AV29" s="186"/>
      <c r="AW29" s="186"/>
      <c r="AX29" s="184" t="e">
        <f t="shared" si="26"/>
        <v>#DIV/0!</v>
      </c>
      <c r="AY29" s="184"/>
      <c r="AZ29" s="184"/>
      <c r="BA29" s="184" t="e">
        <f t="shared" si="27"/>
        <v>#DIV/0!</v>
      </c>
      <c r="BB29" s="184"/>
      <c r="BC29" s="184"/>
      <c r="BD29" s="184"/>
      <c r="BE29" s="184">
        <f>Яро!C33</f>
        <v>0</v>
      </c>
      <c r="BF29" s="184">
        <f>Яро!D31</f>
        <v>0</v>
      </c>
      <c r="BG29" s="184" t="e">
        <f t="shared" si="28"/>
        <v>#DIV/0!</v>
      </c>
      <c r="BH29" s="184"/>
      <c r="BI29" s="184"/>
      <c r="BJ29" s="184" t="e">
        <f t="shared" si="29"/>
        <v>#DIV/0!</v>
      </c>
      <c r="BK29" s="184"/>
      <c r="BL29" s="184"/>
      <c r="BM29" s="184"/>
      <c r="BN29" s="184"/>
      <c r="BO29" s="184"/>
      <c r="BP29" s="184" t="e">
        <f t="shared" si="30"/>
        <v>#DIV/0!</v>
      </c>
      <c r="BQ29" s="184">
        <f>Яро!C34</f>
        <v>0</v>
      </c>
      <c r="BR29" s="184">
        <f>Яро!D34</f>
        <v>0</v>
      </c>
      <c r="BS29" s="184" t="e">
        <f t="shared" si="31"/>
        <v>#DIV/0!</v>
      </c>
      <c r="BT29" s="184"/>
      <c r="BU29" s="184"/>
      <c r="BV29" s="189" t="e">
        <f t="shared" si="32"/>
        <v>#DIV/0!</v>
      </c>
      <c r="BW29" s="189"/>
      <c r="BX29" s="189"/>
      <c r="BY29" s="189" t="e">
        <f t="shared" si="33"/>
        <v>#DIV/0!</v>
      </c>
      <c r="BZ29" s="186">
        <f t="shared" si="34"/>
        <v>7391.1859999999988</v>
      </c>
      <c r="CA29" s="186">
        <f t="shared" si="35"/>
        <v>6243.1542299999992</v>
      </c>
      <c r="CB29" s="184">
        <f t="shared" si="53"/>
        <v>84.467556762879468</v>
      </c>
      <c r="CC29" s="187">
        <f>Яро!C39</f>
        <v>975.07100000000003</v>
      </c>
      <c r="CD29" s="187">
        <f>Яро!D39</f>
        <v>860.26199999999994</v>
      </c>
      <c r="CE29" s="184">
        <f t="shared" si="36"/>
        <v>88.225575368357781</v>
      </c>
      <c r="CF29" s="184">
        <f>Яро!C40</f>
        <v>584</v>
      </c>
      <c r="CG29" s="184">
        <f>Яро!D40</f>
        <v>584</v>
      </c>
      <c r="CH29" s="184">
        <f t="shared" si="37"/>
        <v>100</v>
      </c>
      <c r="CI29" s="184">
        <f>Яро!C41</f>
        <v>5457.0300900000002</v>
      </c>
      <c r="CJ29" s="184">
        <f>Яро!D41</f>
        <v>4478.3000300000003</v>
      </c>
      <c r="CK29" s="184">
        <f t="shared" si="7"/>
        <v>82.064785352869478</v>
      </c>
      <c r="CL29" s="184">
        <f>Яро!C42</f>
        <v>74.096000000000004</v>
      </c>
      <c r="CM29" s="184">
        <f>Яро!D42</f>
        <v>72.670199999999994</v>
      </c>
      <c r="CN29" s="184">
        <f t="shared" si="8"/>
        <v>98.075739581083994</v>
      </c>
      <c r="CO29" s="184">
        <f>Яро!C44</f>
        <v>46.06691</v>
      </c>
      <c r="CP29" s="184">
        <f>Яро!D44</f>
        <v>0</v>
      </c>
      <c r="CQ29" s="184">
        <f>Яро!E44</f>
        <v>0</v>
      </c>
      <c r="CR29" s="184">
        <f>Яро!C45</f>
        <v>254.922</v>
      </c>
      <c r="CS29" s="184">
        <f>Яро!D45</f>
        <v>247.922</v>
      </c>
      <c r="CT29" s="184">
        <f t="shared" si="9"/>
        <v>97.254062026816044</v>
      </c>
      <c r="CU29" s="184"/>
      <c r="CV29" s="184"/>
      <c r="CW29" s="184"/>
      <c r="CX29" s="186"/>
      <c r="CY29" s="186"/>
      <c r="CZ29" s="184" t="e">
        <f t="shared" si="38"/>
        <v>#DIV/0!</v>
      </c>
      <c r="DA29" s="184"/>
      <c r="DB29" s="184"/>
      <c r="DC29" s="184"/>
      <c r="DD29" s="184"/>
      <c r="DE29" s="184"/>
      <c r="DF29" s="184"/>
      <c r="DG29" s="186">
        <f t="shared" si="39"/>
        <v>9315.0078699999995</v>
      </c>
      <c r="DH29" s="186">
        <f t="shared" si="39"/>
        <v>3328.6624499999998</v>
      </c>
      <c r="DI29" s="184">
        <f t="shared" si="40"/>
        <v>35.734402981239775</v>
      </c>
      <c r="DJ29" s="186">
        <f t="shared" si="41"/>
        <v>1308.865</v>
      </c>
      <c r="DK29" s="186">
        <f t="shared" si="41"/>
        <v>1030.0139299999998</v>
      </c>
      <c r="DL29" s="184">
        <f t="shared" si="42"/>
        <v>78.695200039729059</v>
      </c>
      <c r="DM29" s="184">
        <f>Яро!C55</f>
        <v>1295.6110000000001</v>
      </c>
      <c r="DN29" s="184">
        <f>Яро!D55</f>
        <v>1026.7999299999999</v>
      </c>
      <c r="DO29" s="184">
        <f t="shared" si="43"/>
        <v>79.252177544031326</v>
      </c>
      <c r="DP29" s="184">
        <f>Яро!C58</f>
        <v>0</v>
      </c>
      <c r="DQ29" s="184">
        <f>Яро!D58</f>
        <v>0</v>
      </c>
      <c r="DR29" s="184" t="e">
        <f t="shared" si="44"/>
        <v>#DIV/0!</v>
      </c>
      <c r="DS29" s="184">
        <f>Яро!C59</f>
        <v>5</v>
      </c>
      <c r="DT29" s="184">
        <f>Яро!D59</f>
        <v>0</v>
      </c>
      <c r="DU29" s="184">
        <f t="shared" si="45"/>
        <v>0</v>
      </c>
      <c r="DV29" s="184">
        <f>Яро!C60</f>
        <v>8.2539999999999996</v>
      </c>
      <c r="DW29" s="184">
        <f>Яро!D60</f>
        <v>3.214</v>
      </c>
      <c r="DX29" s="184">
        <f t="shared" si="46"/>
        <v>38.938696389629271</v>
      </c>
      <c r="DY29" s="184">
        <f>Яро!C61</f>
        <v>70.596000000000004</v>
      </c>
      <c r="DZ29" s="184">
        <f>Яро!D61</f>
        <v>62.032769999999999</v>
      </c>
      <c r="EA29" s="184">
        <f t="shared" si="47"/>
        <v>87.8700917899031</v>
      </c>
      <c r="EB29" s="184">
        <f>Яро!C63</f>
        <v>30.7</v>
      </c>
      <c r="EC29" s="184">
        <f>Яро!D63</f>
        <v>14.436</v>
      </c>
      <c r="ED29" s="184">
        <f t="shared" si="48"/>
        <v>47.022801302931597</v>
      </c>
      <c r="EE29" s="186">
        <f>Яро!C68</f>
        <v>2092.9008699999999</v>
      </c>
      <c r="EF29" s="186">
        <f>Яро!D68</f>
        <v>1381.2946299999999</v>
      </c>
      <c r="EG29" s="184">
        <f t="shared" si="49"/>
        <v>65.999047054722666</v>
      </c>
      <c r="EH29" s="186">
        <f>Яро!C73</f>
        <v>462.44600000000003</v>
      </c>
      <c r="EI29" s="186">
        <f>Яро!D73</f>
        <v>316.79912000000002</v>
      </c>
      <c r="EJ29" s="184">
        <f t="shared" si="50"/>
        <v>68.505105460961929</v>
      </c>
      <c r="EK29" s="186">
        <f>Яро!C78</f>
        <v>5344.5</v>
      </c>
      <c r="EL29" s="190">
        <f>Яро!D77</f>
        <v>522.07100000000003</v>
      </c>
      <c r="EM29" s="184">
        <f t="shared" si="10"/>
        <v>9.7683787070820465</v>
      </c>
      <c r="EN29" s="184">
        <f>Яро!C79</f>
        <v>0</v>
      </c>
      <c r="EO29" s="184">
        <f>Яро!D79</f>
        <v>0</v>
      </c>
      <c r="EP29" s="184" t="e">
        <f t="shared" si="11"/>
        <v>#DIV/0!</v>
      </c>
      <c r="EQ29" s="185">
        <f>Яро!C84</f>
        <v>5</v>
      </c>
      <c r="ER29" s="185">
        <f>Яро!D84</f>
        <v>2.0150000000000001</v>
      </c>
      <c r="ES29" s="184">
        <f t="shared" si="51"/>
        <v>40.300000000000004</v>
      </c>
      <c r="ET29" s="184">
        <f>Яро!C90</f>
        <v>0</v>
      </c>
      <c r="EU29" s="184">
        <f>Яро!D90</f>
        <v>0</v>
      </c>
      <c r="EV29" s="184" t="e">
        <f t="shared" si="52"/>
        <v>#DIV/0!</v>
      </c>
      <c r="EW29" s="191">
        <f t="shared" si="12"/>
        <v>-53.65987000000132</v>
      </c>
      <c r="EX29" s="191">
        <f t="shared" si="13"/>
        <v>4163.0090599999994</v>
      </c>
      <c r="EY29" s="184">
        <f t="shared" si="54"/>
        <v>-7758.142276527873</v>
      </c>
      <c r="EZ29" s="192"/>
      <c r="FA29" s="193"/>
      <c r="FC29" s="193"/>
    </row>
    <row r="30" spans="1:170" s="169" customFormat="1" ht="17.25" customHeight="1">
      <c r="A30" s="201"/>
      <c r="B30" s="202"/>
      <c r="C30" s="183"/>
      <c r="D30" s="286"/>
      <c r="E30" s="184"/>
      <c r="F30" s="185"/>
      <c r="G30" s="186"/>
      <c r="H30" s="184"/>
      <c r="I30" s="186"/>
      <c r="J30" s="186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392"/>
      <c r="W30" s="184"/>
      <c r="X30" s="186"/>
      <c r="Y30" s="186"/>
      <c r="Z30" s="184"/>
      <c r="AA30" s="186"/>
      <c r="AB30" s="186"/>
      <c r="AC30" s="184"/>
      <c r="AD30" s="186"/>
      <c r="AE30" s="186"/>
      <c r="AF30" s="184"/>
      <c r="AG30" s="184"/>
      <c r="AH30" s="184"/>
      <c r="AI30" s="184"/>
      <c r="AJ30" s="184"/>
      <c r="AK30" s="184"/>
      <c r="AL30" s="184"/>
      <c r="AM30" s="186"/>
      <c r="AN30" s="186"/>
      <c r="AO30" s="184"/>
      <c r="AP30" s="186"/>
      <c r="AQ30" s="186"/>
      <c r="AR30" s="184"/>
      <c r="AS30" s="186"/>
      <c r="AT30" s="203"/>
      <c r="AU30" s="184"/>
      <c r="AV30" s="186"/>
      <c r="AW30" s="186"/>
      <c r="AX30" s="184"/>
      <c r="AY30" s="184"/>
      <c r="AZ30" s="184"/>
      <c r="BA30" s="184" t="e">
        <f t="shared" si="27"/>
        <v>#DIV/0!</v>
      </c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9"/>
      <c r="BW30" s="189"/>
      <c r="BX30" s="189"/>
      <c r="BY30" s="189"/>
      <c r="BZ30" s="203"/>
      <c r="CA30" s="186"/>
      <c r="CB30" s="184"/>
      <c r="CC30" s="184"/>
      <c r="CD30" s="184"/>
      <c r="CE30" s="184"/>
      <c r="CF30" s="184"/>
      <c r="CG30" s="184"/>
      <c r="CH30" s="184"/>
      <c r="CI30" s="184"/>
      <c r="CJ30" s="184"/>
      <c r="CK30" s="184"/>
      <c r="CL30" s="184"/>
      <c r="CM30" s="184"/>
      <c r="CN30" s="184"/>
      <c r="CO30" s="184"/>
      <c r="CP30" s="184"/>
      <c r="CQ30" s="184"/>
      <c r="CR30" s="184"/>
      <c r="CS30" s="184"/>
      <c r="CT30" s="184"/>
      <c r="CU30" s="184"/>
      <c r="CV30" s="184"/>
      <c r="CW30" s="184"/>
      <c r="CX30" s="186"/>
      <c r="CY30" s="186"/>
      <c r="CZ30" s="184"/>
      <c r="DA30" s="184"/>
      <c r="DB30" s="184"/>
      <c r="DC30" s="184"/>
      <c r="DD30" s="184"/>
      <c r="DE30" s="184"/>
      <c r="DF30" s="184"/>
      <c r="DG30" s="186"/>
      <c r="DH30" s="186"/>
      <c r="DI30" s="184"/>
      <c r="DJ30" s="186"/>
      <c r="DK30" s="203"/>
      <c r="DL30" s="184"/>
      <c r="DM30" s="184"/>
      <c r="DN30" s="184"/>
      <c r="DO30" s="184"/>
      <c r="DP30" s="184"/>
      <c r="DQ30" s="184"/>
      <c r="DR30" s="184"/>
      <c r="DS30" s="184"/>
      <c r="DT30" s="184"/>
      <c r="DU30" s="184"/>
      <c r="DV30" s="184"/>
      <c r="DW30" s="184"/>
      <c r="DX30" s="184"/>
      <c r="DY30" s="184"/>
      <c r="DZ30" s="222"/>
      <c r="EA30" s="184"/>
      <c r="EB30" s="184"/>
      <c r="EC30" s="184"/>
      <c r="ED30" s="184"/>
      <c r="EE30" s="186"/>
      <c r="EF30" s="186"/>
      <c r="EG30" s="184"/>
      <c r="EH30" s="186"/>
      <c r="EI30" s="186"/>
      <c r="EJ30" s="184"/>
      <c r="EK30" s="186"/>
      <c r="EL30" s="186"/>
      <c r="EM30" s="184"/>
      <c r="EN30" s="184"/>
      <c r="EO30" s="184"/>
      <c r="EP30" s="184"/>
      <c r="EQ30" s="185"/>
      <c r="ER30" s="185"/>
      <c r="ES30" s="184"/>
      <c r="ET30" s="184"/>
      <c r="EU30" s="184"/>
      <c r="EV30" s="184"/>
      <c r="EW30" s="191"/>
      <c r="EX30" s="191"/>
      <c r="EY30" s="184" t="e">
        <f t="shared" si="54"/>
        <v>#DIV/0!</v>
      </c>
      <c r="FA30" s="193"/>
      <c r="FC30" s="193"/>
    </row>
    <row r="31" spans="1:170" s="205" customFormat="1" ht="17.25" customHeight="1">
      <c r="A31" s="444" t="s">
        <v>180</v>
      </c>
      <c r="B31" s="445"/>
      <c r="C31" s="287">
        <f>SUM(C14:C29)</f>
        <v>106436.18333</v>
      </c>
      <c r="D31" s="287">
        <f>SUM(D14:D29)</f>
        <v>81306.592810000002</v>
      </c>
      <c r="E31" s="204">
        <f>D31/C31*100</f>
        <v>76.389992825948127</v>
      </c>
      <c r="F31" s="236">
        <f>SUM(F14:F29)</f>
        <v>37950.171999999991</v>
      </c>
      <c r="G31" s="235">
        <f>SUM(G14:G29)</f>
        <v>27758.631499999996</v>
      </c>
      <c r="H31" s="238">
        <f>G31/F31*100</f>
        <v>73.144942531485768</v>
      </c>
      <c r="I31" s="235">
        <f>SUM(I14:I29)</f>
        <v>5201.9000000000005</v>
      </c>
      <c r="J31" s="235">
        <f>SUM(J14:J29)</f>
        <v>4072.3759499999992</v>
      </c>
      <c r="K31" s="238">
        <f>J31/I31*100</f>
        <v>78.286317499375201</v>
      </c>
      <c r="L31" s="238">
        <f>SUM(L14:L29)</f>
        <v>3011.7400000000002</v>
      </c>
      <c r="M31" s="238">
        <f>SUM(M14:M29)</f>
        <v>3105.7876099999999</v>
      </c>
      <c r="N31" s="238">
        <f>M31/L31*100</f>
        <v>103.12270016668104</v>
      </c>
      <c r="O31" s="238">
        <f>SUM(O14:O29)</f>
        <v>32.24</v>
      </c>
      <c r="P31" s="238">
        <f>SUM(P14:P29)</f>
        <v>28.815870000000004</v>
      </c>
      <c r="Q31" s="238">
        <f>P31/O31*100</f>
        <v>89.37924937965262</v>
      </c>
      <c r="R31" s="238">
        <f>SUM(R14:R29)</f>
        <v>5019.3900000000003</v>
      </c>
      <c r="S31" s="238">
        <f>SUM(S14:S29)</f>
        <v>4608.2825999999995</v>
      </c>
      <c r="T31" s="238">
        <f>S31/R31*100</f>
        <v>91.80961431568376</v>
      </c>
      <c r="U31" s="238">
        <f>SUM(U14:U29)</f>
        <v>0</v>
      </c>
      <c r="V31" s="393">
        <f>SUM(V14:V29)</f>
        <v>-701.53951999999992</v>
      </c>
      <c r="W31" s="238" t="e">
        <f>V31/U31*100</f>
        <v>#DIV/0!</v>
      </c>
      <c r="X31" s="235">
        <f>SUM(X14:X29)</f>
        <v>470</v>
      </c>
      <c r="Y31" s="235">
        <f>SUM(Y14:Y29)</f>
        <v>424.64823000000001</v>
      </c>
      <c r="Z31" s="238">
        <f>Y31/X31*100</f>
        <v>90.350687234042553</v>
      </c>
      <c r="AA31" s="235">
        <f>SUM(AA14:AA29)</f>
        <v>2821.4</v>
      </c>
      <c r="AB31" s="235">
        <f>SUM(AB14:AB29)</f>
        <v>2137.5949799999999</v>
      </c>
      <c r="AC31" s="238">
        <f>AB31/AA31*100</f>
        <v>75.763627277238243</v>
      </c>
      <c r="AD31" s="235">
        <f>SUM(AD14:AD29)</f>
        <v>17949.2</v>
      </c>
      <c r="AE31" s="235">
        <f>SUM(AE14:AE29)</f>
        <v>11973.784639999998</v>
      </c>
      <c r="AF31" s="238">
        <f>AE31/AD31*100</f>
        <v>66.709294230383506</v>
      </c>
      <c r="AG31" s="359">
        <f>SUM(AG14:AG29)</f>
        <v>162.00200000000001</v>
      </c>
      <c r="AH31" s="238">
        <f>SUM(AH14:AH29)</f>
        <v>117.75321000000001</v>
      </c>
      <c r="AI31" s="184">
        <f t="shared" si="23"/>
        <v>72.686269305317225</v>
      </c>
      <c r="AJ31" s="235">
        <f>AJ14+AJ15+AJ16+AJ17+AJ18+AJ19+AJ20+AJ21+AJ22+AJ23+AJ24+AJ25+AJ26+AJ27+AJ28+AJ29</f>
        <v>0</v>
      </c>
      <c r="AK31" s="235">
        <f>AK14+AK15+AK16+AK17+AK18+AK19+AK20+AK21+AK22+AK23+AK24+AK25+AK26+AK27+AK28+AK29</f>
        <v>0</v>
      </c>
      <c r="AL31" s="184" t="e">
        <f>AK31/AJ31*100</f>
        <v>#DIV/0!</v>
      </c>
      <c r="AM31" s="235">
        <f>SUM(AM14:AM29)</f>
        <v>0</v>
      </c>
      <c r="AN31" s="235">
        <f>SUM(AN14:AN29)</f>
        <v>0</v>
      </c>
      <c r="AO31" s="238" t="e">
        <f>AN31/AM31*100</f>
        <v>#DIV/0!</v>
      </c>
      <c r="AP31" s="235">
        <f>SUM(AP14:AP29)</f>
        <v>1571.3</v>
      </c>
      <c r="AQ31" s="235">
        <f>SUM(AQ14:AQ29)</f>
        <v>366.24330000000009</v>
      </c>
      <c r="AR31" s="238">
        <f>AQ31/AP31*100</f>
        <v>23.308298860815889</v>
      </c>
      <c r="AS31" s="235">
        <f>SUM(AS14:AS29)</f>
        <v>360</v>
      </c>
      <c r="AT31" s="383">
        <f>SUM(AT14:AT29)</f>
        <v>341.16289</v>
      </c>
      <c r="AU31" s="238">
        <f>AT31/AS31*100</f>
        <v>94.767469444444444</v>
      </c>
      <c r="AV31" s="235">
        <f>SUM(AV14:AV29)</f>
        <v>0</v>
      </c>
      <c r="AW31" s="235">
        <f>SUM(AW14:AW29)</f>
        <v>0</v>
      </c>
      <c r="AX31" s="238" t="e">
        <f>AW31/AV31*100</f>
        <v>#DIV/0!</v>
      </c>
      <c r="AY31" s="238">
        <f>SUM(AY14:AY29)</f>
        <v>765</v>
      </c>
      <c r="AZ31" s="238">
        <f>SUM(AZ14:AZ29)</f>
        <v>721.47167000000013</v>
      </c>
      <c r="BA31" s="184">
        <f t="shared" si="27"/>
        <v>94.31002222222223</v>
      </c>
      <c r="BB31" s="184">
        <f>SUM(BB14:BB29)</f>
        <v>0</v>
      </c>
      <c r="BC31" s="184">
        <f>SUM(BC14:BC29)</f>
        <v>0</v>
      </c>
      <c r="BD31" s="184" t="e">
        <f>BC31/BB31*100</f>
        <v>#DIV/0!</v>
      </c>
      <c r="BE31" s="236">
        <f>SUM(BE14:BE29)</f>
        <v>586</v>
      </c>
      <c r="BF31" s="235">
        <f>SUM(BF14:BF29)</f>
        <v>610.01600000000008</v>
      </c>
      <c r="BG31" s="235">
        <f t="shared" si="28"/>
        <v>104.09829351535838</v>
      </c>
      <c r="BH31" s="235">
        <f>SUM(BH14:BH29)</f>
        <v>0</v>
      </c>
      <c r="BI31" s="235">
        <f>SUM(BI14:BI29)</f>
        <v>0</v>
      </c>
      <c r="BJ31" s="238" t="e">
        <f>BI31/BH31*100</f>
        <v>#DIV/0!</v>
      </c>
      <c r="BK31" s="238">
        <f>SUM(BK14:BK29)</f>
        <v>0</v>
      </c>
      <c r="BL31" s="238">
        <f>BL15+BL27+BL28+BL19+BL22+BL26+BL18</f>
        <v>0</v>
      </c>
      <c r="BM31" s="238" t="e">
        <f>BL31/BK31*100</f>
        <v>#DIV/0!</v>
      </c>
      <c r="BN31" s="238">
        <f>BN14+BN15+BN16+BN17+BN18+BN19+BN20+BN21+BN22+BN23+BN24+BN25+BN26+BN27+BN28+BN29</f>
        <v>0</v>
      </c>
      <c r="BO31" s="238">
        <f>BO14+BO15+BO16+BO17+BO18+BO19+BO20+BO21+BO22+BO23+BO24+BO25+BO26+BO27+BO28+BO29</f>
        <v>14.175890000000001</v>
      </c>
      <c r="BP31" s="238" t="e">
        <f>BO31/BN31*100</f>
        <v>#DIV/0!</v>
      </c>
      <c r="BQ31" s="235">
        <f>SUM(BQ14:BQ29)</f>
        <v>0</v>
      </c>
      <c r="BR31" s="355">
        <f>SUM(BR14:BR29)</f>
        <v>-61.94182</v>
      </c>
      <c r="BS31" s="238" t="e">
        <f>BR31/BQ31*100</f>
        <v>#DIV/0!</v>
      </c>
      <c r="BT31" s="238">
        <f t="shared" ref="BT31:BY31" si="55">SUM(BT14:BT29)</f>
        <v>0</v>
      </c>
      <c r="BU31" s="238"/>
      <c r="BV31" s="238" t="e">
        <f t="shared" si="55"/>
        <v>#DIV/0!</v>
      </c>
      <c r="BW31" s="238">
        <f t="shared" si="55"/>
        <v>0</v>
      </c>
      <c r="BX31" s="238">
        <f t="shared" si="55"/>
        <v>0</v>
      </c>
      <c r="BY31" s="289" t="e">
        <f t="shared" si="55"/>
        <v>#DIV/0!</v>
      </c>
      <c r="BZ31" s="236">
        <f>SUM(BZ14:BZ29)</f>
        <v>68486.011329999994</v>
      </c>
      <c r="CA31" s="235">
        <f>SUM(CA14:CA29)</f>
        <v>53547.961310000013</v>
      </c>
      <c r="CB31" s="235">
        <f t="shared" si="53"/>
        <v>78.188173424174238</v>
      </c>
      <c r="CC31" s="235">
        <f>SUM(CC14:CC29)</f>
        <v>28718.623999999996</v>
      </c>
      <c r="CD31" s="235">
        <f>SUM(CD14:CD29)</f>
        <v>25582.932000000001</v>
      </c>
      <c r="CE31" s="235">
        <f>CD31/CC31*100</f>
        <v>89.081329244743785</v>
      </c>
      <c r="CF31" s="394">
        <f>SUM(CF14:CF29)</f>
        <v>5786.1481000000003</v>
      </c>
      <c r="CG31" s="235">
        <f>SUM(CG14:CG29)</f>
        <v>3281.1300999999999</v>
      </c>
      <c r="CH31" s="235">
        <f>CG31/CF31*100</f>
        <v>56.706638739509621</v>
      </c>
      <c r="CI31" s="235">
        <f>SUM(CI14:CI29)</f>
        <v>28520.162340000003</v>
      </c>
      <c r="CJ31" s="235">
        <f>SUM(CJ14:CJ29)</f>
        <v>19937.120869999999</v>
      </c>
      <c r="CK31" s="235">
        <f>CJ31/CI31*100</f>
        <v>69.905355489641991</v>
      </c>
      <c r="CL31" s="235">
        <f>SUM(CL14:CL29)</f>
        <v>1856.7999999999997</v>
      </c>
      <c r="CM31" s="235">
        <f>SUM(CM14:CM29)</f>
        <v>1794.8580000000002</v>
      </c>
      <c r="CN31" s="235">
        <f t="shared" si="8"/>
        <v>96.664045669969866</v>
      </c>
      <c r="CO31" s="235">
        <f>SUM(CO14:CO29)</f>
        <v>390.00589000000002</v>
      </c>
      <c r="CP31" s="235">
        <f>SUM(CP14:CP29)</f>
        <v>120</v>
      </c>
      <c r="CQ31" s="235">
        <f>CP31/CO31*100</f>
        <v>30.768766081968657</v>
      </c>
      <c r="CR31" s="235">
        <f>SUM(CR14:CR29)</f>
        <v>3214.2710000000002</v>
      </c>
      <c r="CS31" s="235">
        <f>SUM(CS14:CS29)</f>
        <v>3198.8895799999996</v>
      </c>
      <c r="CT31" s="235">
        <f t="shared" si="9"/>
        <v>99.521464742705248</v>
      </c>
      <c r="CU31" s="235">
        <f>SUM(CU14:CU29)</f>
        <v>0</v>
      </c>
      <c r="CV31" s="235">
        <f>SUM(CV14:CV29)</f>
        <v>-366.96924000000001</v>
      </c>
      <c r="CW31" s="235" t="e">
        <f>CV31/CU31*100</f>
        <v>#DIV/0!</v>
      </c>
      <c r="CX31" s="235">
        <f>SUM(CX14:CX29)</f>
        <v>0</v>
      </c>
      <c r="CY31" s="235">
        <f>SUM(CY14:CY29)</f>
        <v>0</v>
      </c>
      <c r="CZ31" s="238" t="e">
        <f>CY31/CX31*100</f>
        <v>#DIV/0!</v>
      </c>
      <c r="DA31" s="238">
        <f>DA14+DA15+DA16+DA17+DA18+DA19+DA20+DA21+DA22+DA23+DA24+DA25+DA26+DA27+DA28+DA29</f>
        <v>0</v>
      </c>
      <c r="DB31" s="238">
        <f>DB14+DB15+DB16+DB17+DB18+DB19+DB20+DB21+DB22+DB23+DB24+DB25+DB26+DB27+DB28+DB29</f>
        <v>0</v>
      </c>
      <c r="DC31" s="238" t="e">
        <f>DB31/DA31*100</f>
        <v>#DIV/0!</v>
      </c>
      <c r="DD31" s="238">
        <f>DD14+DD15+DD16+DD17+DD18+DD19+DD20+DD21+DD22+DD23+DD24+DD25+DD26+DD27+DD28+DD29</f>
        <v>0</v>
      </c>
      <c r="DE31" s="238">
        <f>DE14+DE15+DE16+DE17+DE18+DE19+DE20+DE21+DE22+DE23+DE24+DE25+DE26+DE27+DE28+DE29</f>
        <v>0</v>
      </c>
      <c r="DF31" s="238">
        <v>0</v>
      </c>
      <c r="DG31" s="236">
        <f>SUM(DG14:DG29)</f>
        <v>112198.29979999998</v>
      </c>
      <c r="DH31" s="236">
        <f>SUM(DH14:DH29)</f>
        <v>75647.84812000001</v>
      </c>
      <c r="DI31" s="238">
        <f>DH31/DG31*100</f>
        <v>67.423346213665198</v>
      </c>
      <c r="DJ31" s="236">
        <f>SUM(DJ14:DJ29)</f>
        <v>22309.701500000003</v>
      </c>
      <c r="DK31" s="236">
        <f>SUM(DK14:DK29)</f>
        <v>16809.507309999997</v>
      </c>
      <c r="DL31" s="238">
        <f>DK31/DJ31*100</f>
        <v>75.346177581085044</v>
      </c>
      <c r="DM31" s="235">
        <f>SUM(DM14:DM29)</f>
        <v>21854.038</v>
      </c>
      <c r="DN31" s="236">
        <f>SUM(DN14:DN29)</f>
        <v>16480.065849999999</v>
      </c>
      <c r="DO31" s="238">
        <f>DN31/DM31*100</f>
        <v>75.409706206239775</v>
      </c>
      <c r="DP31" s="235">
        <f>SUM(DP14:DP29)</f>
        <v>168.8</v>
      </c>
      <c r="DQ31" s="235">
        <f>SUM(DQ14:DQ29)</f>
        <v>168.8</v>
      </c>
      <c r="DR31" s="238">
        <f>DQ31/DP31*100</f>
        <v>100</v>
      </c>
      <c r="DS31" s="253">
        <f>SUM(DS14:DS29)</f>
        <v>106.01</v>
      </c>
      <c r="DT31" s="238">
        <f>SUM(DT14:DT29)</f>
        <v>0</v>
      </c>
      <c r="DU31" s="238">
        <f>DT31/DS31*100</f>
        <v>0</v>
      </c>
      <c r="DV31" s="360">
        <f>SUM(DV14:DV29)</f>
        <v>180.8535</v>
      </c>
      <c r="DW31" s="238">
        <f>SUM(DW14:DW29)</f>
        <v>160.64145999999997</v>
      </c>
      <c r="DX31" s="184">
        <f>DW31/DV31*100</f>
        <v>88.824081369727409</v>
      </c>
      <c r="DY31" s="238">
        <f>SUM(DY14:DY29)</f>
        <v>1781.5</v>
      </c>
      <c r="DZ31" s="253">
        <f>SUM(DZ14:DZ29)</f>
        <v>1511.0572499999998</v>
      </c>
      <c r="EA31" s="235">
        <f t="shared" si="47"/>
        <v>84.819379736177368</v>
      </c>
      <c r="EB31" s="253">
        <f>SUM(EB14:EB29)</f>
        <v>409.02954999999997</v>
      </c>
      <c r="EC31" s="253">
        <f>SUM(EC14:EC29)</f>
        <v>204.62737999999999</v>
      </c>
      <c r="ED31" s="184">
        <f t="shared" si="48"/>
        <v>50.027529795830148</v>
      </c>
      <c r="EE31" s="235">
        <f>SUM(EE14:EE29)</f>
        <v>35927.201839999994</v>
      </c>
      <c r="EF31" s="236">
        <f>SUM(EF14:EF29)</f>
        <v>22188.484380000002</v>
      </c>
      <c r="EG31" s="238">
        <f>EF31/EE31*100</f>
        <v>61.759567246053038</v>
      </c>
      <c r="EH31" s="235">
        <f>SUM(EH14:EH29)</f>
        <v>19072.975810000004</v>
      </c>
      <c r="EI31" s="236">
        <f>SUM(EI14:EI29)</f>
        <v>14099.127400000001</v>
      </c>
      <c r="EJ31" s="238">
        <f>EI31/EH31*100</f>
        <v>73.922011648584999</v>
      </c>
      <c r="EK31" s="236">
        <f>SUM(EK14:EK29)</f>
        <v>32471.449099999998</v>
      </c>
      <c r="EL31" s="236">
        <f>SUM(EL14:EL29)</f>
        <v>20702.054400000001</v>
      </c>
      <c r="EM31" s="238">
        <f>EL31/EK31*100</f>
        <v>63.754636684816148</v>
      </c>
      <c r="EN31" s="236">
        <f>SUM(EN14:EN29)</f>
        <v>10</v>
      </c>
      <c r="EO31" s="236">
        <f>SUM(EO14:EO29)</f>
        <v>10</v>
      </c>
      <c r="EP31" s="238">
        <f>EO31/EN31*100</f>
        <v>100</v>
      </c>
      <c r="EQ31" s="235">
        <f>SUM(EQ14:EQ29)</f>
        <v>216.44200000000001</v>
      </c>
      <c r="ER31" s="235">
        <f>SUM(ER14:ER29)</f>
        <v>122.99000000000002</v>
      </c>
      <c r="ES31" s="238">
        <f>ER31/EQ31*100</f>
        <v>56.823537021465341</v>
      </c>
      <c r="ET31" s="238">
        <f>SUM(ET14:ET29)</f>
        <v>0</v>
      </c>
      <c r="EU31" s="288">
        <f>SUM(EU14:EU29)</f>
        <v>0</v>
      </c>
      <c r="EV31" s="184" t="e">
        <f>EU31/ET31*100</f>
        <v>#DIV/0!</v>
      </c>
      <c r="EW31" s="253">
        <f>SUM(EW14:EW29)</f>
        <v>-5762.116469999999</v>
      </c>
      <c r="EX31" s="238">
        <f>SUM(EX14:EX29)</f>
        <v>5658.7446899999995</v>
      </c>
      <c r="EY31" s="184">
        <f>EX31/EW31*100</f>
        <v>-98.206010230126438</v>
      </c>
    </row>
    <row r="32" spans="1:170" ht="0.75" customHeight="1">
      <c r="C32" s="206">
        <v>85422.769</v>
      </c>
      <c r="D32" s="207">
        <v>6971.8725999999997</v>
      </c>
      <c r="F32" s="208">
        <v>29714</v>
      </c>
      <c r="G32" s="209">
        <v>2141.1016</v>
      </c>
      <c r="I32" s="209">
        <v>4023</v>
      </c>
      <c r="J32" s="209">
        <v>517.83318999999995</v>
      </c>
      <c r="L32" s="153">
        <v>2648.3</v>
      </c>
      <c r="M32" s="210">
        <v>275.27994000000001</v>
      </c>
      <c r="O32" s="153">
        <v>72.06</v>
      </c>
      <c r="P32" s="211">
        <v>5.5919400000000001</v>
      </c>
      <c r="R32" s="212">
        <v>5285.44</v>
      </c>
      <c r="S32" s="153">
        <v>437.64443</v>
      </c>
      <c r="V32" s="211">
        <v>-57.366509999999998</v>
      </c>
      <c r="X32" s="209">
        <v>450</v>
      </c>
      <c r="Y32" s="209">
        <v>50.572130000000001</v>
      </c>
      <c r="AA32" s="209">
        <v>1552</v>
      </c>
      <c r="AB32" s="209">
        <v>33.929760000000002</v>
      </c>
      <c r="AD32" s="209">
        <v>14314</v>
      </c>
      <c r="AE32" s="213">
        <v>765.26733999999999</v>
      </c>
      <c r="AG32" s="209">
        <v>264</v>
      </c>
      <c r="AH32" s="209">
        <v>28.45</v>
      </c>
      <c r="AJ32" s="209"/>
      <c r="AK32" s="213">
        <v>4.1130100000000001</v>
      </c>
      <c r="AM32" s="209">
        <v>2902</v>
      </c>
      <c r="AN32" s="209"/>
      <c r="AP32" s="153">
        <v>400</v>
      </c>
      <c r="AQ32" s="153">
        <v>102</v>
      </c>
      <c r="AS32" s="214">
        <v>325.2</v>
      </c>
      <c r="AT32" s="214">
        <v>214</v>
      </c>
      <c r="AY32" s="211"/>
      <c r="AZ32" s="211"/>
      <c r="BC32" s="215"/>
      <c r="BE32" s="216">
        <v>380</v>
      </c>
      <c r="BF32" s="209">
        <v>0</v>
      </c>
      <c r="BH32" s="217"/>
      <c r="BI32" s="209"/>
      <c r="BL32" s="216"/>
      <c r="BN32" s="209"/>
      <c r="BO32" s="209">
        <v>20</v>
      </c>
      <c r="BQ32" s="212"/>
      <c r="BR32" s="214">
        <v>13.81555</v>
      </c>
      <c r="BZ32" s="218">
        <v>55708.769</v>
      </c>
      <c r="CA32" s="209">
        <v>4830.7709999999997</v>
      </c>
      <c r="CC32" s="216">
        <v>26193.4</v>
      </c>
      <c r="CD32" s="216">
        <v>4365.5829999999996</v>
      </c>
      <c r="CE32" s="214"/>
      <c r="CF32" s="218">
        <v>2800</v>
      </c>
      <c r="CG32" s="209">
        <v>0</v>
      </c>
      <c r="CH32" s="214"/>
      <c r="CI32" s="209">
        <v>20988.289000000001</v>
      </c>
      <c r="CJ32" s="209">
        <v>226.78800000000001</v>
      </c>
      <c r="CK32" s="214"/>
      <c r="CL32" s="209">
        <v>5727.08</v>
      </c>
      <c r="CM32" s="209">
        <v>238.4</v>
      </c>
      <c r="CN32" s="214"/>
      <c r="CO32" s="214"/>
      <c r="CP32" s="214"/>
      <c r="CQ32" s="214"/>
      <c r="CR32" s="214"/>
      <c r="CS32" s="214"/>
      <c r="CT32" s="214"/>
      <c r="CU32" s="214"/>
      <c r="CV32" s="214"/>
      <c r="CW32" s="214"/>
      <c r="CX32" s="214"/>
      <c r="DA32" s="212"/>
      <c r="DB32" s="212"/>
      <c r="DD32" s="208"/>
      <c r="DE32" s="218">
        <v>0</v>
      </c>
      <c r="DG32" s="218">
        <v>86467.619000000006</v>
      </c>
      <c r="DH32" s="218">
        <v>8044.3139600000004</v>
      </c>
      <c r="DJ32" s="214">
        <v>18659.286</v>
      </c>
      <c r="DK32" s="208">
        <v>1993.6542099999999</v>
      </c>
      <c r="DM32" s="209">
        <v>18579.286</v>
      </c>
      <c r="DN32" s="209">
        <v>1993.6542099999999</v>
      </c>
      <c r="DP32" s="218"/>
      <c r="DQ32" s="216"/>
      <c r="DS32" s="209">
        <v>80</v>
      </c>
      <c r="DT32" s="209"/>
      <c r="DV32" s="209">
        <v>0</v>
      </c>
      <c r="DW32" s="218">
        <v>0</v>
      </c>
      <c r="DY32" s="208">
        <v>1682.5</v>
      </c>
      <c r="DZ32" s="208">
        <v>141.53659999999999</v>
      </c>
      <c r="EB32" s="209">
        <v>191.3</v>
      </c>
      <c r="EC32" s="218">
        <v>8.5</v>
      </c>
      <c r="EE32" s="214">
        <v>29388.388999999999</v>
      </c>
      <c r="EF32" s="208">
        <v>1077.7133699999999</v>
      </c>
      <c r="EH32" s="208">
        <v>15404.812</v>
      </c>
      <c r="EI32" s="208">
        <v>1328.9402500000001</v>
      </c>
      <c r="EK32" s="208">
        <v>24128.7</v>
      </c>
      <c r="EL32" s="208">
        <v>3489.1705299999999</v>
      </c>
      <c r="EN32" s="209">
        <v>0</v>
      </c>
      <c r="EO32" s="209">
        <v>0</v>
      </c>
      <c r="EQ32" s="209">
        <v>112</v>
      </c>
      <c r="ER32" s="219">
        <v>4.8</v>
      </c>
      <c r="ET32" s="209"/>
      <c r="EU32" s="209"/>
      <c r="EW32" s="214"/>
    </row>
    <row r="33" spans="3:155" ht="27" hidden="1" customHeight="1">
      <c r="C33" s="209">
        <f>C32-C31</f>
        <v>-21013.41433</v>
      </c>
      <c r="D33" s="209">
        <f t="shared" ref="D33:BO33" si="56">D32-D31</f>
        <v>-74334.720209999999</v>
      </c>
      <c r="E33" s="209"/>
      <c r="F33" s="209">
        <f t="shared" si="56"/>
        <v>-8236.1719999999914</v>
      </c>
      <c r="G33" s="209">
        <f t="shared" si="56"/>
        <v>-25617.529899999994</v>
      </c>
      <c r="H33" s="209"/>
      <c r="I33" s="209">
        <f t="shared" si="56"/>
        <v>-1178.9000000000005</v>
      </c>
      <c r="J33" s="209">
        <f t="shared" si="56"/>
        <v>-3554.5427599999994</v>
      </c>
      <c r="K33" s="209"/>
      <c r="L33" s="209">
        <f t="shared" si="56"/>
        <v>-363.44000000000005</v>
      </c>
      <c r="M33" s="209">
        <f t="shared" si="56"/>
        <v>-2830.50767</v>
      </c>
      <c r="N33" s="209"/>
      <c r="O33" s="209">
        <f t="shared" si="56"/>
        <v>39.82</v>
      </c>
      <c r="P33" s="209">
        <f t="shared" si="56"/>
        <v>-23.223930000000003</v>
      </c>
      <c r="Q33" s="209"/>
      <c r="R33" s="209">
        <f t="shared" si="56"/>
        <v>266.04999999999927</v>
      </c>
      <c r="S33" s="209">
        <f t="shared" si="56"/>
        <v>-4170.6381699999993</v>
      </c>
      <c r="T33" s="209"/>
      <c r="U33" s="209">
        <f t="shared" si="56"/>
        <v>0</v>
      </c>
      <c r="V33" s="209">
        <f t="shared" si="56"/>
        <v>644.17300999999998</v>
      </c>
      <c r="W33" s="209" t="e">
        <f t="shared" si="56"/>
        <v>#DIV/0!</v>
      </c>
      <c r="X33" s="209">
        <f t="shared" si="56"/>
        <v>-20</v>
      </c>
      <c r="Y33" s="209">
        <f t="shared" si="56"/>
        <v>-374.0761</v>
      </c>
      <c r="Z33" s="209"/>
      <c r="AA33" s="209">
        <f t="shared" si="56"/>
        <v>-1269.4000000000001</v>
      </c>
      <c r="AB33" s="209">
        <f t="shared" si="56"/>
        <v>-2103.6652199999999</v>
      </c>
      <c r="AC33" s="209"/>
      <c r="AD33" s="209">
        <f t="shared" si="56"/>
        <v>-3635.2000000000007</v>
      </c>
      <c r="AE33" s="209">
        <f t="shared" si="56"/>
        <v>-11208.517299999998</v>
      </c>
      <c r="AF33" s="209"/>
      <c r="AG33" s="209">
        <f t="shared" si="56"/>
        <v>101.99799999999999</v>
      </c>
      <c r="AH33" s="209">
        <f t="shared" si="56"/>
        <v>-89.303210000000007</v>
      </c>
      <c r="AI33" s="209"/>
      <c r="AJ33" s="209">
        <f t="shared" si="56"/>
        <v>0</v>
      </c>
      <c r="AK33" s="209">
        <f t="shared" si="56"/>
        <v>4.1130100000000001</v>
      </c>
      <c r="AL33" s="209"/>
      <c r="AM33" s="209">
        <f t="shared" si="56"/>
        <v>2902</v>
      </c>
      <c r="AN33" s="209">
        <f t="shared" si="56"/>
        <v>0</v>
      </c>
      <c r="AO33" s="209" t="e">
        <f t="shared" si="56"/>
        <v>#DIV/0!</v>
      </c>
      <c r="AP33" s="209">
        <f t="shared" si="56"/>
        <v>-1171.3</v>
      </c>
      <c r="AQ33" s="209">
        <f t="shared" si="56"/>
        <v>-264.24330000000009</v>
      </c>
      <c r="AR33" s="209"/>
      <c r="AS33" s="209">
        <f t="shared" si="56"/>
        <v>-34.800000000000011</v>
      </c>
      <c r="AT33" s="209">
        <f t="shared" si="56"/>
        <v>-127.16289</v>
      </c>
      <c r="AU33" s="209"/>
      <c r="AV33" s="209">
        <f t="shared" si="56"/>
        <v>0</v>
      </c>
      <c r="AW33" s="209">
        <f t="shared" si="56"/>
        <v>0</v>
      </c>
      <c r="AX33" s="209" t="e">
        <f t="shared" si="56"/>
        <v>#DIV/0!</v>
      </c>
      <c r="AY33" s="209">
        <f t="shared" si="56"/>
        <v>-765</v>
      </c>
      <c r="AZ33" s="209">
        <f t="shared" si="56"/>
        <v>-721.47167000000013</v>
      </c>
      <c r="BA33" s="209"/>
      <c r="BB33" s="209">
        <f t="shared" si="56"/>
        <v>0</v>
      </c>
      <c r="BC33" s="209">
        <f t="shared" si="56"/>
        <v>0</v>
      </c>
      <c r="BD33" s="209" t="e">
        <f t="shared" si="56"/>
        <v>#DIV/0!</v>
      </c>
      <c r="BE33" s="209">
        <f t="shared" si="56"/>
        <v>-206</v>
      </c>
      <c r="BF33" s="209">
        <f t="shared" si="56"/>
        <v>-610.01600000000008</v>
      </c>
      <c r="BG33" s="209">
        <f t="shared" si="56"/>
        <v>-104.09829351535838</v>
      </c>
      <c r="BH33" s="209">
        <f t="shared" si="56"/>
        <v>0</v>
      </c>
      <c r="BI33" s="209">
        <f t="shared" si="56"/>
        <v>0</v>
      </c>
      <c r="BJ33" s="209" t="e">
        <f t="shared" si="56"/>
        <v>#DIV/0!</v>
      </c>
      <c r="BK33" s="209">
        <f t="shared" si="56"/>
        <v>0</v>
      </c>
      <c r="BL33" s="209">
        <f t="shared" si="56"/>
        <v>0</v>
      </c>
      <c r="BM33" s="209" t="e">
        <f t="shared" si="56"/>
        <v>#DIV/0!</v>
      </c>
      <c r="BN33" s="209">
        <f t="shared" si="56"/>
        <v>0</v>
      </c>
      <c r="BO33" s="209">
        <f t="shared" si="56"/>
        <v>5.8241099999999992</v>
      </c>
      <c r="BP33" s="209"/>
      <c r="BQ33" s="209">
        <f t="shared" ref="BQ33:DZ33" si="57">BQ32-BQ31</f>
        <v>0</v>
      </c>
      <c r="BR33" s="209">
        <f t="shared" si="57"/>
        <v>75.757369999999995</v>
      </c>
      <c r="BS33" s="209"/>
      <c r="BT33" s="209">
        <f t="shared" si="57"/>
        <v>0</v>
      </c>
      <c r="BU33" s="209">
        <f t="shared" si="57"/>
        <v>0</v>
      </c>
      <c r="BV33" s="209" t="e">
        <f t="shared" si="57"/>
        <v>#DIV/0!</v>
      </c>
      <c r="BW33" s="209">
        <f t="shared" si="57"/>
        <v>0</v>
      </c>
      <c r="BX33" s="209">
        <f t="shared" si="57"/>
        <v>0</v>
      </c>
      <c r="BY33" s="209" t="e">
        <f t="shared" si="57"/>
        <v>#DIV/0!</v>
      </c>
      <c r="BZ33" s="209">
        <f t="shared" si="57"/>
        <v>-12777.242329999994</v>
      </c>
      <c r="CA33" s="209">
        <f t="shared" si="57"/>
        <v>-48717.190310000013</v>
      </c>
      <c r="CB33" s="209"/>
      <c r="CC33" s="209">
        <f t="shared" si="57"/>
        <v>-2525.2239999999947</v>
      </c>
      <c r="CD33" s="209">
        <f t="shared" si="57"/>
        <v>-21217.349000000002</v>
      </c>
      <c r="CE33" s="209"/>
      <c r="CF33" s="209">
        <f t="shared" si="57"/>
        <v>-2986.1481000000003</v>
      </c>
      <c r="CG33" s="209">
        <f t="shared" si="57"/>
        <v>-3281.1300999999999</v>
      </c>
      <c r="CH33" s="209"/>
      <c r="CI33" s="209">
        <f t="shared" si="57"/>
        <v>-7531.8733400000019</v>
      </c>
      <c r="CJ33" s="209">
        <f t="shared" si="57"/>
        <v>-19710.332869999998</v>
      </c>
      <c r="CK33" s="209"/>
      <c r="CL33" s="209">
        <f t="shared" si="57"/>
        <v>3870.28</v>
      </c>
      <c r="CM33" s="209">
        <f t="shared" si="57"/>
        <v>-1556.4580000000001</v>
      </c>
      <c r="CN33" s="209"/>
      <c r="CO33" s="209">
        <f t="shared" si="57"/>
        <v>-390.00589000000002</v>
      </c>
      <c r="CP33" s="209">
        <f t="shared" si="57"/>
        <v>-120</v>
      </c>
      <c r="CQ33" s="209"/>
      <c r="CR33" s="209">
        <f t="shared" si="57"/>
        <v>-3214.2710000000002</v>
      </c>
      <c r="CS33" s="209">
        <f t="shared" si="57"/>
        <v>-3198.8895799999996</v>
      </c>
      <c r="CT33" s="209"/>
      <c r="CU33" s="209">
        <f t="shared" si="57"/>
        <v>0</v>
      </c>
      <c r="CV33" s="209">
        <f t="shared" si="57"/>
        <v>366.96924000000001</v>
      </c>
      <c r="CW33" s="209" t="e">
        <f t="shared" si="57"/>
        <v>#DIV/0!</v>
      </c>
      <c r="CX33" s="209">
        <f t="shared" si="57"/>
        <v>0</v>
      </c>
      <c r="CY33" s="209">
        <f t="shared" si="57"/>
        <v>0</v>
      </c>
      <c r="CZ33" s="209" t="e">
        <f t="shared" si="57"/>
        <v>#DIV/0!</v>
      </c>
      <c r="DA33" s="209">
        <f t="shared" si="57"/>
        <v>0</v>
      </c>
      <c r="DB33" s="209">
        <f t="shared" si="57"/>
        <v>0</v>
      </c>
      <c r="DC33" s="209" t="e">
        <f t="shared" si="57"/>
        <v>#DIV/0!</v>
      </c>
      <c r="DD33" s="209">
        <f t="shared" si="57"/>
        <v>0</v>
      </c>
      <c r="DE33" s="209">
        <f t="shared" si="57"/>
        <v>0</v>
      </c>
      <c r="DF33" s="209">
        <f t="shared" si="57"/>
        <v>0</v>
      </c>
      <c r="DG33" s="209">
        <f t="shared" si="57"/>
        <v>-25730.680799999973</v>
      </c>
      <c r="DH33" s="209">
        <f t="shared" si="57"/>
        <v>-67603.53416000001</v>
      </c>
      <c r="DI33" s="209"/>
      <c r="DJ33" s="209">
        <f t="shared" si="57"/>
        <v>-3650.4155000000028</v>
      </c>
      <c r="DK33" s="209">
        <f t="shared" si="57"/>
        <v>-14815.853099999997</v>
      </c>
      <c r="DL33" s="209"/>
      <c r="DM33" s="209">
        <f t="shared" si="57"/>
        <v>-3274.7520000000004</v>
      </c>
      <c r="DN33" s="209">
        <f t="shared" si="57"/>
        <v>-14486.411639999998</v>
      </c>
      <c r="DO33" s="209"/>
      <c r="DP33" s="209">
        <f t="shared" si="57"/>
        <v>-168.8</v>
      </c>
      <c r="DQ33" s="209">
        <f t="shared" si="57"/>
        <v>-168.8</v>
      </c>
      <c r="DR33" s="209">
        <f t="shared" si="57"/>
        <v>-100</v>
      </c>
      <c r="DS33" s="209">
        <f t="shared" si="57"/>
        <v>-26.010000000000005</v>
      </c>
      <c r="DT33" s="209">
        <f t="shared" si="57"/>
        <v>0</v>
      </c>
      <c r="DU33" s="209">
        <f t="shared" si="57"/>
        <v>0</v>
      </c>
      <c r="DV33" s="209">
        <f t="shared" si="57"/>
        <v>-180.8535</v>
      </c>
      <c r="DW33" s="209">
        <f t="shared" si="57"/>
        <v>-160.64145999999997</v>
      </c>
      <c r="DX33" s="209"/>
      <c r="DY33" s="209">
        <f t="shared" si="57"/>
        <v>-99</v>
      </c>
      <c r="DZ33" s="209">
        <f t="shared" si="57"/>
        <v>-1369.5206499999999</v>
      </c>
      <c r="EA33" s="209"/>
      <c r="EB33" s="209">
        <f t="shared" ref="EB33:EX33" si="58">EB32-EB31</f>
        <v>-217.72954999999996</v>
      </c>
      <c r="EC33" s="209">
        <f t="shared" si="58"/>
        <v>-196.12737999999999</v>
      </c>
      <c r="ED33" s="209"/>
      <c r="EE33" s="209">
        <f t="shared" si="58"/>
        <v>-6538.812839999995</v>
      </c>
      <c r="EF33" s="209">
        <f t="shared" si="58"/>
        <v>-21110.77101</v>
      </c>
      <c r="EG33" s="209"/>
      <c r="EH33" s="209">
        <f t="shared" si="58"/>
        <v>-3668.1638100000037</v>
      </c>
      <c r="EI33" s="209">
        <f t="shared" si="58"/>
        <v>-12770.187150000002</v>
      </c>
      <c r="EJ33" s="209"/>
      <c r="EK33" s="209">
        <f t="shared" si="58"/>
        <v>-8342.7490999999973</v>
      </c>
      <c r="EL33" s="209">
        <f t="shared" si="58"/>
        <v>-17212.883870000001</v>
      </c>
      <c r="EM33" s="209"/>
      <c r="EN33" s="209">
        <f t="shared" si="58"/>
        <v>-10</v>
      </c>
      <c r="EO33" s="209">
        <f t="shared" si="58"/>
        <v>-10</v>
      </c>
      <c r="EP33" s="209"/>
      <c r="EQ33" s="209">
        <f t="shared" si="58"/>
        <v>-104.44200000000001</v>
      </c>
      <c r="ER33" s="209">
        <f t="shared" si="58"/>
        <v>-118.19000000000003</v>
      </c>
      <c r="ES33" s="209"/>
      <c r="ET33" s="209">
        <f t="shared" si="58"/>
        <v>0</v>
      </c>
      <c r="EU33" s="209">
        <f t="shared" si="58"/>
        <v>0</v>
      </c>
      <c r="EV33" s="209"/>
      <c r="EW33" s="209">
        <f t="shared" si="58"/>
        <v>5762.116469999999</v>
      </c>
      <c r="EX33" s="209">
        <f t="shared" si="58"/>
        <v>-5658.7446899999995</v>
      </c>
      <c r="EY33" s="209"/>
    </row>
    <row r="34" spans="3:155" ht="21.75" customHeight="1">
      <c r="C34" s="153">
        <v>106436.18333</v>
      </c>
      <c r="D34" s="223">
        <v>81306.592810000002</v>
      </c>
      <c r="F34" s="153">
        <v>37950.171999999999</v>
      </c>
      <c r="G34" s="153">
        <v>27758.6315</v>
      </c>
      <c r="I34" s="212">
        <v>5201.8999999999996</v>
      </c>
      <c r="J34" s="211">
        <v>4072.3759500000001</v>
      </c>
      <c r="L34" s="153">
        <v>3011.74</v>
      </c>
      <c r="M34" s="153">
        <v>3105.7876099999999</v>
      </c>
      <c r="O34" s="153">
        <v>32.24</v>
      </c>
      <c r="P34" s="153">
        <v>28.81587</v>
      </c>
      <c r="R34" s="153">
        <v>5019.3900000000003</v>
      </c>
      <c r="S34" s="153">
        <v>4608.2825999999995</v>
      </c>
      <c r="U34" s="153">
        <v>0</v>
      </c>
      <c r="V34" s="153">
        <v>-701.53952000000004</v>
      </c>
      <c r="X34" s="153">
        <v>470</v>
      </c>
      <c r="Y34" s="209">
        <v>424.64823000000001</v>
      </c>
      <c r="AA34" s="153">
        <v>2821.4</v>
      </c>
      <c r="AB34" s="153">
        <v>2137.5949799999999</v>
      </c>
      <c r="AD34" s="153">
        <v>17949.2</v>
      </c>
      <c r="AE34" s="153">
        <v>11973.78464</v>
      </c>
      <c r="AG34" s="153">
        <v>162.00200000000001</v>
      </c>
      <c r="AH34" s="153">
        <v>117.75321</v>
      </c>
      <c r="AK34" s="153">
        <v>0</v>
      </c>
      <c r="AN34" s="209"/>
      <c r="AP34" s="153">
        <v>1571.3</v>
      </c>
      <c r="AQ34" s="153">
        <v>366.24329999999998</v>
      </c>
      <c r="AS34" s="153">
        <v>360</v>
      </c>
      <c r="AT34" s="153">
        <v>288.15942999999999</v>
      </c>
      <c r="AY34" s="153">
        <v>765</v>
      </c>
      <c r="AZ34" s="153">
        <v>721.47167000000002</v>
      </c>
      <c r="BE34" s="153">
        <v>586</v>
      </c>
      <c r="BF34" s="153">
        <v>610.01599999999996</v>
      </c>
      <c r="BN34" s="153">
        <v>0</v>
      </c>
      <c r="BO34" s="153">
        <v>14.175890000000001</v>
      </c>
      <c r="BR34" s="210">
        <v>-61.94182</v>
      </c>
      <c r="BZ34" s="153">
        <v>68486.011329999994</v>
      </c>
      <c r="CA34" s="153">
        <v>53547.961309999999</v>
      </c>
      <c r="CC34" s="153">
        <v>28718.624</v>
      </c>
      <c r="CD34" s="153">
        <v>25582.932000000001</v>
      </c>
      <c r="CF34" s="153">
        <v>5786.1481000000003</v>
      </c>
      <c r="CG34" s="153">
        <v>3281.1300999999999</v>
      </c>
      <c r="CI34" s="210">
        <v>28520.162339999999</v>
      </c>
      <c r="CJ34" s="153">
        <v>19937.120869999999</v>
      </c>
      <c r="CL34" s="153">
        <v>1856.8</v>
      </c>
      <c r="CM34" s="153">
        <v>1794.8579999999999</v>
      </c>
      <c r="CO34" s="153">
        <v>390.00589000000002</v>
      </c>
      <c r="CP34" s="153">
        <v>120</v>
      </c>
      <c r="CR34" s="153">
        <v>3214.2710000000002</v>
      </c>
      <c r="CS34" s="153">
        <v>3198.88958</v>
      </c>
      <c r="CU34" s="153">
        <v>0</v>
      </c>
      <c r="CV34" s="153">
        <v>-366.96924000000001</v>
      </c>
      <c r="DG34" s="212">
        <v>112198.29979999999</v>
      </c>
      <c r="DH34" s="212">
        <v>75647.848119999995</v>
      </c>
      <c r="DI34" s="212"/>
      <c r="DJ34" s="212">
        <v>22309.701499999999</v>
      </c>
      <c r="DK34" s="212">
        <v>16809.507310000001</v>
      </c>
      <c r="DL34" s="212"/>
      <c r="DM34" s="212">
        <v>21854.038</v>
      </c>
      <c r="DN34" s="212">
        <v>16480.065849999999</v>
      </c>
      <c r="DO34" s="212"/>
      <c r="DP34" s="212">
        <v>168.8</v>
      </c>
      <c r="DQ34" s="212">
        <v>168.8</v>
      </c>
      <c r="DR34" s="212"/>
      <c r="DS34" s="212">
        <v>106.01</v>
      </c>
      <c r="DT34" s="212">
        <v>0</v>
      </c>
      <c r="DU34" s="212"/>
      <c r="DV34" s="212">
        <v>180.8535</v>
      </c>
      <c r="DW34" s="212">
        <v>160.64146</v>
      </c>
      <c r="DX34" s="212"/>
      <c r="DY34" s="212">
        <v>1781.5</v>
      </c>
      <c r="DZ34" s="212">
        <v>1511.0572500000001</v>
      </c>
      <c r="EA34" s="212"/>
      <c r="EB34" s="212">
        <v>409.02954999999997</v>
      </c>
      <c r="EC34" s="212">
        <v>204.62737999999999</v>
      </c>
      <c r="ED34" s="212"/>
      <c r="EE34" s="212">
        <v>35927.201840000002</v>
      </c>
      <c r="EF34" s="212">
        <v>22188.484380000002</v>
      </c>
      <c r="EG34" s="212"/>
      <c r="EH34" s="212">
        <v>19072.97581</v>
      </c>
      <c r="EI34" s="212">
        <v>14099.127399999999</v>
      </c>
      <c r="EJ34" s="212"/>
      <c r="EK34" s="212">
        <v>32471.449100000002</v>
      </c>
      <c r="EL34" s="212">
        <v>20702.054400000001</v>
      </c>
      <c r="EM34" s="212"/>
      <c r="EN34" s="212">
        <v>10</v>
      </c>
      <c r="EO34" s="212">
        <v>10</v>
      </c>
      <c r="EP34" s="212"/>
      <c r="EQ34" s="212">
        <v>216.44200000000001</v>
      </c>
      <c r="ER34" s="212">
        <v>122.99</v>
      </c>
      <c r="ES34" s="212"/>
      <c r="ET34" s="212">
        <v>0</v>
      </c>
      <c r="EU34" s="212">
        <v>0</v>
      </c>
      <c r="EV34" s="212"/>
      <c r="EW34" s="153">
        <v>-5762.1164699999999</v>
      </c>
      <c r="EX34" s="153">
        <v>5658.7446900000004</v>
      </c>
    </row>
    <row r="35" spans="3:155" s="220" customFormat="1" ht="27.75" customHeight="1">
      <c r="C35" s="209">
        <f>C34-C31</f>
        <v>0</v>
      </c>
      <c r="D35" s="209">
        <f>D34-D31</f>
        <v>0</v>
      </c>
      <c r="E35" s="209"/>
      <c r="F35" s="209">
        <f t="shared" ref="F35:BO35" si="59">F34-F31</f>
        <v>0</v>
      </c>
      <c r="G35" s="209">
        <f>G34-G31</f>
        <v>0</v>
      </c>
      <c r="H35" s="209"/>
      <c r="I35" s="209">
        <f t="shared" si="59"/>
        <v>0</v>
      </c>
      <c r="J35" s="209">
        <f>J34-J31</f>
        <v>0</v>
      </c>
      <c r="K35" s="209"/>
      <c r="L35" s="209">
        <f t="shared" si="59"/>
        <v>0</v>
      </c>
      <c r="M35" s="209">
        <f t="shared" si="59"/>
        <v>0</v>
      </c>
      <c r="N35" s="209"/>
      <c r="O35" s="209">
        <f t="shared" si="59"/>
        <v>0</v>
      </c>
      <c r="P35" s="209">
        <f t="shared" si="59"/>
        <v>0</v>
      </c>
      <c r="Q35" s="209"/>
      <c r="R35" s="209">
        <f t="shared" si="59"/>
        <v>0</v>
      </c>
      <c r="S35" s="209">
        <f t="shared" si="59"/>
        <v>0</v>
      </c>
      <c r="T35" s="209"/>
      <c r="U35" s="209">
        <f t="shared" si="59"/>
        <v>0</v>
      </c>
      <c r="V35" s="209">
        <f t="shared" si="59"/>
        <v>0</v>
      </c>
      <c r="W35" s="209"/>
      <c r="X35" s="209">
        <f t="shared" si="59"/>
        <v>0</v>
      </c>
      <c r="Y35" s="209">
        <f t="shared" si="59"/>
        <v>0</v>
      </c>
      <c r="Z35" s="209"/>
      <c r="AA35" s="209">
        <f t="shared" si="59"/>
        <v>0</v>
      </c>
      <c r="AB35" s="209">
        <f t="shared" si="59"/>
        <v>0</v>
      </c>
      <c r="AC35" s="209"/>
      <c r="AD35" s="209">
        <f t="shared" si="59"/>
        <v>0</v>
      </c>
      <c r="AE35" s="209">
        <f t="shared" si="59"/>
        <v>0</v>
      </c>
      <c r="AF35" s="209"/>
      <c r="AG35" s="209">
        <f t="shared" si="59"/>
        <v>0</v>
      </c>
      <c r="AH35" s="209">
        <f t="shared" si="59"/>
        <v>0</v>
      </c>
      <c r="AI35" s="209"/>
      <c r="AJ35" s="209">
        <f t="shared" si="59"/>
        <v>0</v>
      </c>
      <c r="AK35" s="209">
        <f t="shared" si="59"/>
        <v>0</v>
      </c>
      <c r="AL35" s="209"/>
      <c r="AM35" s="209">
        <f t="shared" si="59"/>
        <v>0</v>
      </c>
      <c r="AN35" s="209">
        <f t="shared" si="59"/>
        <v>0</v>
      </c>
      <c r="AO35" s="209"/>
      <c r="AP35" s="209">
        <f t="shared" si="59"/>
        <v>0</v>
      </c>
      <c r="AQ35" s="209">
        <f t="shared" si="59"/>
        <v>0</v>
      </c>
      <c r="AR35" s="209"/>
      <c r="AS35" s="209">
        <f t="shared" si="59"/>
        <v>0</v>
      </c>
      <c r="AT35" s="209">
        <f t="shared" si="59"/>
        <v>-53.003460000000018</v>
      </c>
      <c r="AU35" s="209"/>
      <c r="AV35" s="209">
        <f t="shared" si="59"/>
        <v>0</v>
      </c>
      <c r="AW35" s="209">
        <f t="shared" si="59"/>
        <v>0</v>
      </c>
      <c r="AX35" s="209" t="e">
        <f t="shared" si="59"/>
        <v>#DIV/0!</v>
      </c>
      <c r="AY35" s="209">
        <f t="shared" si="59"/>
        <v>0</v>
      </c>
      <c r="AZ35" s="209">
        <f t="shared" si="59"/>
        <v>0</v>
      </c>
      <c r="BA35" s="209"/>
      <c r="BB35" s="209">
        <f t="shared" si="59"/>
        <v>0</v>
      </c>
      <c r="BC35" s="209">
        <f t="shared" si="59"/>
        <v>0</v>
      </c>
      <c r="BD35" s="209" t="e">
        <f t="shared" si="59"/>
        <v>#DIV/0!</v>
      </c>
      <c r="BE35" s="209">
        <f>BE34-BE31</f>
        <v>0</v>
      </c>
      <c r="BF35" s="209">
        <f t="shared" si="59"/>
        <v>0</v>
      </c>
      <c r="BG35" s="209"/>
      <c r="BH35" s="209">
        <f t="shared" si="59"/>
        <v>0</v>
      </c>
      <c r="BI35" s="209">
        <f t="shared" si="59"/>
        <v>0</v>
      </c>
      <c r="BJ35" s="209" t="e">
        <f t="shared" si="59"/>
        <v>#DIV/0!</v>
      </c>
      <c r="BK35" s="209">
        <f t="shared" si="59"/>
        <v>0</v>
      </c>
      <c r="BL35" s="209">
        <f t="shared" si="59"/>
        <v>0</v>
      </c>
      <c r="BM35" s="209" t="e">
        <f t="shared" si="59"/>
        <v>#DIV/0!</v>
      </c>
      <c r="BN35" s="209">
        <f t="shared" si="59"/>
        <v>0</v>
      </c>
      <c r="BO35" s="209">
        <f t="shared" si="59"/>
        <v>0</v>
      </c>
      <c r="BP35" s="209"/>
      <c r="BQ35" s="209">
        <f t="shared" ref="BQ35:DZ35" si="60">BQ34-BQ31</f>
        <v>0</v>
      </c>
      <c r="BR35" s="209">
        <f t="shared" si="60"/>
        <v>0</v>
      </c>
      <c r="BS35" s="209"/>
      <c r="BT35" s="209">
        <f t="shared" si="60"/>
        <v>0</v>
      </c>
      <c r="BU35" s="209">
        <f t="shared" si="60"/>
        <v>0</v>
      </c>
      <c r="BV35" s="209" t="e">
        <f t="shared" si="60"/>
        <v>#DIV/0!</v>
      </c>
      <c r="BW35" s="209">
        <f t="shared" si="60"/>
        <v>0</v>
      </c>
      <c r="BX35" s="209">
        <f t="shared" si="60"/>
        <v>0</v>
      </c>
      <c r="BY35" s="209" t="e">
        <f t="shared" si="60"/>
        <v>#DIV/0!</v>
      </c>
      <c r="BZ35" s="209">
        <f t="shared" si="60"/>
        <v>0</v>
      </c>
      <c r="CA35" s="209">
        <f t="shared" si="60"/>
        <v>0</v>
      </c>
      <c r="CB35" s="209"/>
      <c r="CC35" s="209">
        <f>CC34-CC31</f>
        <v>0</v>
      </c>
      <c r="CD35" s="209">
        <f t="shared" si="60"/>
        <v>0</v>
      </c>
      <c r="CE35" s="209"/>
      <c r="CF35" s="209">
        <f t="shared" si="60"/>
        <v>0</v>
      </c>
      <c r="CG35" s="209">
        <f t="shared" si="60"/>
        <v>0</v>
      </c>
      <c r="CH35" s="209"/>
      <c r="CI35" s="209">
        <f t="shared" si="60"/>
        <v>0</v>
      </c>
      <c r="CJ35" s="209">
        <f t="shared" si="60"/>
        <v>0</v>
      </c>
      <c r="CK35" s="209"/>
      <c r="CL35" s="209">
        <f t="shared" si="60"/>
        <v>0</v>
      </c>
      <c r="CM35" s="209">
        <f t="shared" si="60"/>
        <v>0</v>
      </c>
      <c r="CN35" s="209"/>
      <c r="CO35" s="209">
        <f t="shared" si="60"/>
        <v>0</v>
      </c>
      <c r="CP35" s="209">
        <f t="shared" si="60"/>
        <v>0</v>
      </c>
      <c r="CQ35" s="209"/>
      <c r="CR35" s="209">
        <f t="shared" si="60"/>
        <v>0</v>
      </c>
      <c r="CS35" s="209">
        <f t="shared" si="60"/>
        <v>0</v>
      </c>
      <c r="CT35" s="209"/>
      <c r="CU35" s="209">
        <f t="shared" si="60"/>
        <v>0</v>
      </c>
      <c r="CV35" s="209">
        <f>-(CV34-CV31)</f>
        <v>0</v>
      </c>
      <c r="CW35" s="209"/>
      <c r="CX35" s="209">
        <f t="shared" si="60"/>
        <v>0</v>
      </c>
      <c r="CY35" s="209">
        <f t="shared" si="60"/>
        <v>0</v>
      </c>
      <c r="CZ35" s="209" t="e">
        <f t="shared" si="60"/>
        <v>#DIV/0!</v>
      </c>
      <c r="DA35" s="209">
        <f t="shared" si="60"/>
        <v>0</v>
      </c>
      <c r="DB35" s="209">
        <f t="shared" si="60"/>
        <v>0</v>
      </c>
      <c r="DC35" s="209" t="e">
        <f t="shared" si="60"/>
        <v>#DIV/0!</v>
      </c>
      <c r="DD35" s="209">
        <f t="shared" si="60"/>
        <v>0</v>
      </c>
      <c r="DE35" s="209">
        <f t="shared" si="60"/>
        <v>0</v>
      </c>
      <c r="DF35" s="209"/>
      <c r="DG35" s="209">
        <f t="shared" si="60"/>
        <v>0</v>
      </c>
      <c r="DH35" s="209">
        <f t="shared" si="60"/>
        <v>0</v>
      </c>
      <c r="DI35" s="209"/>
      <c r="DJ35" s="209">
        <f t="shared" si="60"/>
        <v>0</v>
      </c>
      <c r="DK35" s="209">
        <f t="shared" si="60"/>
        <v>0</v>
      </c>
      <c r="DL35" s="209"/>
      <c r="DM35" s="209">
        <f>DM34-DM31</f>
        <v>0</v>
      </c>
      <c r="DN35" s="209">
        <f>DN34-DN31</f>
        <v>0</v>
      </c>
      <c r="DO35" s="209"/>
      <c r="DP35" s="209">
        <f t="shared" si="60"/>
        <v>0</v>
      </c>
      <c r="DQ35" s="209">
        <f t="shared" si="60"/>
        <v>0</v>
      </c>
      <c r="DR35" s="209"/>
      <c r="DS35" s="209">
        <f t="shared" si="60"/>
        <v>0</v>
      </c>
      <c r="DT35" s="209">
        <f t="shared" si="60"/>
        <v>0</v>
      </c>
      <c r="DU35" s="209"/>
      <c r="DV35" s="209">
        <f t="shared" si="60"/>
        <v>0</v>
      </c>
      <c r="DW35" s="209">
        <f t="shared" si="60"/>
        <v>0</v>
      </c>
      <c r="DX35" s="209"/>
      <c r="DY35" s="209">
        <f t="shared" si="60"/>
        <v>0</v>
      </c>
      <c r="DZ35" s="209">
        <f t="shared" si="60"/>
        <v>0</v>
      </c>
      <c r="EA35" s="209"/>
      <c r="EB35" s="209">
        <f>EB34-EB31</f>
        <v>0</v>
      </c>
      <c r="EC35" s="209">
        <f>EC34-EC31</f>
        <v>0</v>
      </c>
      <c r="ED35" s="209"/>
      <c r="EE35" s="209">
        <f>EE34-EE31</f>
        <v>0</v>
      </c>
      <c r="EF35" s="209">
        <f>EF34-EF31</f>
        <v>0</v>
      </c>
      <c r="EG35" s="209"/>
      <c r="EH35" s="209">
        <f>EH34-EH31</f>
        <v>0</v>
      </c>
      <c r="EI35" s="209">
        <f>EI34-EI31</f>
        <v>0</v>
      </c>
      <c r="EJ35" s="209"/>
      <c r="EK35" s="209">
        <f t="shared" ref="EK35:EX35" si="61">EK34-EK31</f>
        <v>0</v>
      </c>
      <c r="EL35" s="209">
        <f t="shared" si="61"/>
        <v>0</v>
      </c>
      <c r="EM35" s="209"/>
      <c r="EN35" s="209">
        <f t="shared" si="61"/>
        <v>0</v>
      </c>
      <c r="EO35" s="209">
        <f t="shared" si="61"/>
        <v>0</v>
      </c>
      <c r="EP35" s="209"/>
      <c r="EQ35" s="209">
        <f>EQ34-EQ31</f>
        <v>0</v>
      </c>
      <c r="ER35" s="209">
        <f t="shared" si="61"/>
        <v>0</v>
      </c>
      <c r="ES35" s="209"/>
      <c r="ET35" s="209">
        <f t="shared" si="61"/>
        <v>0</v>
      </c>
      <c r="EU35" s="209">
        <f t="shared" si="61"/>
        <v>0</v>
      </c>
      <c r="EV35" s="209"/>
      <c r="EW35" s="209">
        <f t="shared" si="61"/>
        <v>0</v>
      </c>
      <c r="EX35" s="209">
        <f t="shared" si="61"/>
        <v>0</v>
      </c>
    </row>
    <row r="36" spans="3:155"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209"/>
      <c r="BU36" s="209"/>
      <c r="BV36" s="209"/>
      <c r="BW36" s="209"/>
      <c r="BX36" s="209"/>
      <c r="BY36" s="209"/>
      <c r="BZ36" s="209"/>
      <c r="CA36" s="209"/>
      <c r="CB36" s="209"/>
      <c r="CC36" s="209"/>
      <c r="CD36" s="209"/>
      <c r="CE36" s="209"/>
      <c r="CF36" s="209"/>
      <c r="CG36" s="209"/>
      <c r="CH36" s="209"/>
      <c r="CI36" s="209"/>
      <c r="CJ36" s="209"/>
      <c r="CK36" s="209"/>
      <c r="CL36" s="209"/>
      <c r="CM36" s="209"/>
      <c r="CN36" s="209"/>
      <c r="CO36" s="209"/>
      <c r="CP36" s="209"/>
      <c r="CQ36" s="209"/>
      <c r="CR36" s="209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E36" s="209"/>
      <c r="DF36" s="209"/>
      <c r="DG36" s="209"/>
      <c r="DH36" s="209"/>
      <c r="DI36" s="209"/>
      <c r="DJ36" s="209"/>
      <c r="DK36" s="209"/>
      <c r="DL36" s="209"/>
      <c r="DM36" s="209"/>
      <c r="DN36" s="209"/>
      <c r="DO36" s="209"/>
      <c r="DP36" s="209"/>
      <c r="DQ36" s="209"/>
      <c r="DR36" s="209"/>
      <c r="DS36" s="209"/>
      <c r="DT36" s="209"/>
      <c r="DU36" s="209"/>
      <c r="DV36" s="209"/>
      <c r="DW36" s="209"/>
      <c r="DX36" s="209"/>
      <c r="DY36" s="209"/>
      <c r="DZ36" s="209"/>
      <c r="EA36" s="209"/>
      <c r="EB36" s="209"/>
      <c r="EC36" s="209"/>
      <c r="ED36" s="209"/>
      <c r="EE36" s="209"/>
      <c r="EF36" s="209"/>
      <c r="EG36" s="209"/>
      <c r="EH36" s="209"/>
      <c r="EI36" s="209"/>
      <c r="EJ36" s="209"/>
      <c r="EK36" s="209"/>
      <c r="EL36" s="209"/>
      <c r="EM36" s="209"/>
      <c r="EN36" s="209"/>
      <c r="EO36" s="209"/>
      <c r="EP36" s="209"/>
      <c r="EQ36" s="209"/>
      <c r="ER36" s="209"/>
      <c r="ES36" s="209"/>
      <c r="ET36" s="209"/>
      <c r="EU36" s="209"/>
      <c r="EV36" s="209"/>
      <c r="EW36" s="209"/>
      <c r="EX36" s="209"/>
      <c r="EY36" s="221"/>
    </row>
  </sheetData>
  <customSheetViews>
    <customSheetView guid="{8E17DC23-BE06-48DD-840B-6DD85B9E86D1}" scale="75" showPageBreaks="1" printArea="1" hiddenRows="1" hiddenColumns="1" view="pageBreakPreview" topLeftCell="A10">
      <pane xSplit="2" ySplit="4" topLeftCell="C14" activePane="bottomRight" state="frozen"/>
      <selection pane="bottomRight" activeCell="AT14" sqref="AT14:AT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1"/>
    </customSheetView>
    <customSheetView guid="{5BFCA170-DEAE-4D2C-98A0-1E68B427AC01}" scale="75" showPageBreaks="1" printArea="1" hiddenRows="1" hiddenColumns="1" view="pageBreakPreview" topLeftCell="A10">
      <pane xSplit="2" ySplit="4" topLeftCell="BN14" activePane="bottomRight" state="frozen"/>
      <selection pane="bottomRight" activeCell="CG27" sqref="CG27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2"/>
    </customSheetView>
    <customSheetView guid="{3DCB9AAA-F09C-4EA6-B992-F93E466D374A}" scale="75" showPageBreaks="1" printArea="1" hiddenRows="1" hiddenColumns="1" view="pageBreakPreview" topLeftCell="A10">
      <pane xSplit="2" ySplit="4" topLeftCell="DI14" activePane="bottomRight" state="frozen"/>
      <selection pane="bottomRight" activeCell="DV34" sqref="DV34"/>
      <colBreaks count="6" manualBreakCount="6">
        <brk id="17" max="30" man="1"/>
        <brk id="35" max="30" man="1"/>
        <brk id="59" max="30" man="1"/>
        <brk id="92" max="30" man="1"/>
        <brk id="116" max="30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3"/>
    </customSheetView>
    <customSheetView guid="{1718F1EE-9F48-4DBE-9531-3B70F9C4A5DD}" scale="75" showPageBreaks="1" printArea="1" hiddenRows="1" hiddenColumns="1" view="pageBreakPreview" topLeftCell="A10">
      <pane xSplit="2" ySplit="4" topLeftCell="C14" activePane="bottomRight" state="frozen"/>
      <selection pane="bottomRight" activeCell="EZ31" sqref="EZ31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4"/>
    </customSheetView>
    <customSheetView guid="{42584DC0-1D41-4C93-9B38-C388E7B8DAC4}" scale="75" showPageBreaks="1" printArea="1" hiddenRows="1" hiddenColumns="1" view="pageBreakPreview" topLeftCell="BZ10">
      <selection activeCell="CA17" sqref="CA17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5"/>
    </customSheetView>
    <customSheetView guid="{B30CE22D-C12F-4E12-8BB9-3AAE0A6991CC}" scale="75" showPageBreaks="1" printArea="1" hiddenRows="1" hiddenColumns="1" view="pageBreakPreview" topLeftCell="A10">
      <pane xSplit="2" ySplit="4" topLeftCell="C14" activePane="bottomRight" state="frozen"/>
      <selection pane="bottomRight" activeCell="I6" sqref="I6:X6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6"/>
    </customSheetView>
    <customSheetView guid="{A54C432C-6C68-4B53-A75C-446EB3A61B2B}" scale="75" showPageBreaks="1" printArea="1" hiddenRows="1" hiddenColumns="1" view="pageBreakPreview" topLeftCell="A10">
      <pane xSplit="2" ySplit="4" topLeftCell="C14" activePane="bottomRight" state="frozen"/>
      <selection pane="bottomRight" activeCell="AT14" sqref="AT14:AT29"/>
      <colBreaks count="6" manualBreakCount="6">
        <brk id="17" max="29" man="1"/>
        <brk id="35" max="29" man="1"/>
        <brk id="59" max="29" man="1"/>
        <brk id="92" max="30" man="1"/>
        <brk id="116" max="29" man="1"/>
        <brk id="134" max="30" man="1"/>
      </colBreaks>
      <pageMargins left="0.70866141732283472" right="0.19685039370078741" top="0.74803149606299213" bottom="0.74803149606299213" header="0.31496062992125984" footer="0.31496062992125984"/>
      <pageSetup paperSize="9" scale="46" fitToWidth="0" fitToHeight="0" orientation="landscape" r:id="rId7"/>
    </customSheetView>
  </customSheetViews>
  <mergeCells count="69">
    <mergeCell ref="DD8:DF8"/>
    <mergeCell ref="AY9:BA11"/>
    <mergeCell ref="AV9:AX11"/>
    <mergeCell ref="AS9:AU11"/>
    <mergeCell ref="BB9:BD11"/>
    <mergeCell ref="CI9:CK11"/>
    <mergeCell ref="CL9:CN11"/>
    <mergeCell ref="CR9:CT11"/>
    <mergeCell ref="BW9:BY11"/>
    <mergeCell ref="DA9:DC11"/>
    <mergeCell ref="BZ8:CB11"/>
    <mergeCell ref="CC8:CN8"/>
    <mergeCell ref="CX8:CZ11"/>
    <mergeCell ref="CC9:CE11"/>
    <mergeCell ref="CF9:CH11"/>
    <mergeCell ref="DA8:DC8"/>
    <mergeCell ref="AD1:AF1"/>
    <mergeCell ref="I8:AX8"/>
    <mergeCell ref="AD2:AF2"/>
    <mergeCell ref="AD3:AF3"/>
    <mergeCell ref="X1:Z1"/>
    <mergeCell ref="B5:Z5"/>
    <mergeCell ref="I6:X6"/>
    <mergeCell ref="B4:Z4"/>
    <mergeCell ref="B7:B12"/>
    <mergeCell ref="C7:E11"/>
    <mergeCell ref="O9:Q11"/>
    <mergeCell ref="U9:W11"/>
    <mergeCell ref="X9:Z11"/>
    <mergeCell ref="F8:H11"/>
    <mergeCell ref="X3:Z3"/>
    <mergeCell ref="I9:K11"/>
    <mergeCell ref="A31:B31"/>
    <mergeCell ref="BT9:BV11"/>
    <mergeCell ref="BN9:BP11"/>
    <mergeCell ref="BE9:BG11"/>
    <mergeCell ref="BH9:BJ11"/>
    <mergeCell ref="AA9:AC11"/>
    <mergeCell ref="A7:A12"/>
    <mergeCell ref="L9:N11"/>
    <mergeCell ref="R9:T11"/>
    <mergeCell ref="BQ9:BS11"/>
    <mergeCell ref="AM9:AO11"/>
    <mergeCell ref="AD9:AF11"/>
    <mergeCell ref="AG9:AI11"/>
    <mergeCell ref="BK9:BM11"/>
    <mergeCell ref="AJ9:AL11"/>
    <mergeCell ref="AP9:AR11"/>
    <mergeCell ref="EW7:EY11"/>
    <mergeCell ref="DJ8:EV8"/>
    <mergeCell ref="DG7:DI11"/>
    <mergeCell ref="DP11:DR11"/>
    <mergeCell ref="DS11:DU11"/>
    <mergeCell ref="ET9:EV11"/>
    <mergeCell ref="EE9:EG11"/>
    <mergeCell ref="DJ7:EV7"/>
    <mergeCell ref="DJ9:DL11"/>
    <mergeCell ref="EQ9:ES11"/>
    <mergeCell ref="EN9:EP11"/>
    <mergeCell ref="DM9:DX9"/>
    <mergeCell ref="DY9:EA11"/>
    <mergeCell ref="EH9:EJ11"/>
    <mergeCell ref="EK9:EM11"/>
    <mergeCell ref="CO9:CQ11"/>
    <mergeCell ref="CU9:CW11"/>
    <mergeCell ref="DD9:DF11"/>
    <mergeCell ref="EB9:ED11"/>
    <mergeCell ref="DM11:DO11"/>
    <mergeCell ref="DV11:DX11"/>
  </mergeCells>
  <phoneticPr fontId="15" type="noConversion"/>
  <pageMargins left="0.70866141732283472" right="0.19685039370078741" top="0.74803149606299213" bottom="0.74803149606299213" header="0.31496062992125984" footer="0.31496062992125984"/>
  <pageSetup paperSize="9" scale="46" fitToWidth="0" fitToHeight="0" orientation="landscape" r:id="rId8"/>
  <colBreaks count="6" manualBreakCount="6">
    <brk id="17" max="29" man="1"/>
    <brk id="35" max="29" man="1"/>
    <brk id="59" max="29" man="1"/>
    <brk id="92" max="30" man="1"/>
    <brk id="116" max="29" man="1"/>
    <brk id="134" max="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F1:AY84"/>
  <sheetViews>
    <sheetView workbookViewId="0">
      <selection activeCell="B100" sqref="B100"/>
    </sheetView>
  </sheetViews>
  <sheetFormatPr defaultRowHeight="12.75"/>
  <sheetData>
    <row r="1" spans="32:51">
      <c r="AJ1" t="s">
        <v>364</v>
      </c>
      <c r="AO1" t="s">
        <v>365</v>
      </c>
      <c r="AP1" t="s">
        <v>366</v>
      </c>
      <c r="AS1" t="s">
        <v>367</v>
      </c>
      <c r="AW1">
        <v>187.4</v>
      </c>
      <c r="AX1" t="s">
        <v>368</v>
      </c>
      <c r="AY1" t="s">
        <v>369</v>
      </c>
    </row>
    <row r="2" spans="32:51">
      <c r="AF2" t="s">
        <v>370</v>
      </c>
      <c r="AJ2" t="s">
        <v>371</v>
      </c>
    </row>
    <row r="3" spans="32:51">
      <c r="AF3" t="s">
        <v>373</v>
      </c>
      <c r="AH3" t="s">
        <v>372</v>
      </c>
      <c r="AJ3" t="s">
        <v>373</v>
      </c>
      <c r="AN3" t="s">
        <v>372</v>
      </c>
      <c r="AO3" t="s">
        <v>372</v>
      </c>
      <c r="AP3" t="s">
        <v>372</v>
      </c>
      <c r="AS3" t="s">
        <v>374</v>
      </c>
      <c r="AT3" t="s">
        <v>375</v>
      </c>
      <c r="AU3" t="s">
        <v>376</v>
      </c>
    </row>
    <row r="4" spans="32:51">
      <c r="AH4">
        <v>0</v>
      </c>
      <c r="AN4">
        <v>0</v>
      </c>
      <c r="AO4">
        <v>1088.6666666666667</v>
      </c>
      <c r="AP4">
        <v>28196.466666666671</v>
      </c>
      <c r="AS4">
        <v>27107.800000000003</v>
      </c>
      <c r="AT4" t="s">
        <v>377</v>
      </c>
      <c r="AU4" t="s">
        <v>378</v>
      </c>
      <c r="AV4" t="s">
        <v>379</v>
      </c>
    </row>
    <row r="5" spans="32:51">
      <c r="AH5">
        <v>0</v>
      </c>
      <c r="AN5">
        <v>0</v>
      </c>
      <c r="AO5">
        <v>1088.6666666666667</v>
      </c>
      <c r="AP5">
        <v>23297.466666666667</v>
      </c>
      <c r="AS5">
        <v>22208.799999999999</v>
      </c>
      <c r="AT5" t="s">
        <v>380</v>
      </c>
      <c r="AU5" t="s">
        <v>378</v>
      </c>
      <c r="AV5" t="s">
        <v>381</v>
      </c>
    </row>
    <row r="6" spans="32:51">
      <c r="AH6">
        <v>0</v>
      </c>
      <c r="AN6">
        <v>0</v>
      </c>
      <c r="AO6">
        <v>886.83333333333337</v>
      </c>
      <c r="AP6">
        <v>17647.983333333334</v>
      </c>
      <c r="AS6">
        <v>16761.150000000001</v>
      </c>
      <c r="AT6" t="s">
        <v>382</v>
      </c>
      <c r="AU6" t="s">
        <v>378</v>
      </c>
      <c r="AV6" t="s">
        <v>381</v>
      </c>
    </row>
    <row r="7" spans="32:51">
      <c r="AH7">
        <v>0</v>
      </c>
      <c r="AN7">
        <v>0</v>
      </c>
      <c r="AO7">
        <v>886.83333333333337</v>
      </c>
      <c r="AP7">
        <v>17115.883333333331</v>
      </c>
      <c r="AS7">
        <v>16229.049999999997</v>
      </c>
      <c r="AT7" t="s">
        <v>383</v>
      </c>
      <c r="AU7" t="s">
        <v>378</v>
      </c>
      <c r="AV7" t="s">
        <v>384</v>
      </c>
      <c r="AX7">
        <v>0.5</v>
      </c>
    </row>
    <row r="8" spans="32:51">
      <c r="AH8">
        <v>0</v>
      </c>
      <c r="AN8">
        <v>0</v>
      </c>
      <c r="AO8">
        <v>886.83333333333337</v>
      </c>
      <c r="AP8">
        <v>17381.933333333331</v>
      </c>
      <c r="AS8">
        <v>16495.099999999999</v>
      </c>
      <c r="AT8" t="s">
        <v>385</v>
      </c>
      <c r="AU8" t="s">
        <v>378</v>
      </c>
      <c r="AV8" t="s">
        <v>386</v>
      </c>
    </row>
    <row r="9" spans="32:51">
      <c r="AH9">
        <v>0</v>
      </c>
      <c r="AN9">
        <v>0</v>
      </c>
      <c r="AO9">
        <v>1065.1666666666667</v>
      </c>
      <c r="AP9">
        <v>21835.916666666668</v>
      </c>
      <c r="AS9">
        <v>20770.75</v>
      </c>
      <c r="AT9" t="s">
        <v>387</v>
      </c>
      <c r="AU9" t="s">
        <v>378</v>
      </c>
      <c r="AV9" t="s">
        <v>388</v>
      </c>
      <c r="AW9" t="s">
        <v>389</v>
      </c>
    </row>
    <row r="10" spans="32:51">
      <c r="AH10">
        <v>0</v>
      </c>
      <c r="AN10">
        <v>0</v>
      </c>
      <c r="AO10">
        <v>886.83333333333337</v>
      </c>
      <c r="AP10">
        <v>17914.033333333333</v>
      </c>
      <c r="AS10">
        <v>17027.2</v>
      </c>
      <c r="AT10" t="s">
        <v>390</v>
      </c>
      <c r="AU10" t="s">
        <v>378</v>
      </c>
      <c r="AV10" t="s">
        <v>391</v>
      </c>
    </row>
    <row r="11" spans="32:51">
      <c r="AH11">
        <v>0</v>
      </c>
      <c r="AN11">
        <v>0</v>
      </c>
      <c r="AO11">
        <v>1065.1666666666667</v>
      </c>
      <c r="AP11">
        <v>22475.01666666667</v>
      </c>
      <c r="AS11">
        <v>21409.850000000002</v>
      </c>
      <c r="AT11" t="s">
        <v>392</v>
      </c>
      <c r="AU11" t="s">
        <v>378</v>
      </c>
      <c r="AV11" t="s">
        <v>393</v>
      </c>
      <c r="AW11" t="s">
        <v>389</v>
      </c>
    </row>
    <row r="12" spans="32:51">
      <c r="AH12">
        <v>0</v>
      </c>
      <c r="AN12">
        <v>0</v>
      </c>
      <c r="AO12">
        <v>886.83333333333337</v>
      </c>
      <c r="AP12">
        <v>17381.933333333331</v>
      </c>
      <c r="AS12">
        <v>16495.099999999999</v>
      </c>
      <c r="AT12" t="s">
        <v>394</v>
      </c>
      <c r="AU12" t="s">
        <v>378</v>
      </c>
      <c r="AV12" t="s">
        <v>395</v>
      </c>
    </row>
    <row r="13" spans="32:51">
      <c r="AH13">
        <v>0</v>
      </c>
      <c r="AN13">
        <v>0</v>
      </c>
      <c r="AO13">
        <v>886.83333333333337</v>
      </c>
      <c r="AP13">
        <v>15785.633333333333</v>
      </c>
      <c r="AS13">
        <v>14898.8</v>
      </c>
      <c r="AT13" t="s">
        <v>396</v>
      </c>
      <c r="AU13" t="s">
        <v>378</v>
      </c>
      <c r="AV13" t="s">
        <v>397</v>
      </c>
    </row>
    <row r="14" spans="32:51">
      <c r="AH14">
        <v>0</v>
      </c>
      <c r="AN14">
        <v>0</v>
      </c>
      <c r="AO14">
        <v>886.83333333333337</v>
      </c>
      <c r="AP14">
        <v>16583.783333333333</v>
      </c>
      <c r="AS14">
        <v>15696.949999999999</v>
      </c>
      <c r="AT14" t="s">
        <v>398</v>
      </c>
      <c r="AU14" t="s">
        <v>378</v>
      </c>
      <c r="AV14" t="s">
        <v>384</v>
      </c>
      <c r="AX14">
        <v>0.35</v>
      </c>
    </row>
    <row r="15" spans="32:51">
      <c r="AH15">
        <v>0</v>
      </c>
      <c r="AN15">
        <v>0</v>
      </c>
      <c r="AO15">
        <v>1065.1666666666667</v>
      </c>
      <c r="AP15">
        <v>21835.916666666668</v>
      </c>
      <c r="AS15">
        <v>20770.75</v>
      </c>
      <c r="AT15" t="s">
        <v>399</v>
      </c>
      <c r="AU15" t="s">
        <v>378</v>
      </c>
      <c r="AV15" t="s">
        <v>400</v>
      </c>
      <c r="AW15" t="s">
        <v>401</v>
      </c>
    </row>
    <row r="16" spans="32:51">
      <c r="AF16">
        <v>40</v>
      </c>
      <c r="AH16">
        <v>2128.4</v>
      </c>
      <c r="AN16">
        <v>0</v>
      </c>
      <c r="AO16">
        <v>886.83333333333337</v>
      </c>
      <c r="AP16">
        <v>20308.483333333334</v>
      </c>
      <c r="AS16">
        <v>19421.650000000001</v>
      </c>
      <c r="AT16" t="s">
        <v>402</v>
      </c>
      <c r="AU16" t="s">
        <v>378</v>
      </c>
      <c r="AV16" t="s">
        <v>381</v>
      </c>
      <c r="AW16" t="s">
        <v>403</v>
      </c>
    </row>
    <row r="17" spans="34:51">
      <c r="AH17">
        <v>0</v>
      </c>
      <c r="AN17">
        <v>0</v>
      </c>
      <c r="AO17">
        <v>886.83333333333337</v>
      </c>
      <c r="AP17">
        <v>16583.783333333333</v>
      </c>
      <c r="AS17">
        <v>15696.949999999999</v>
      </c>
      <c r="AT17" t="s">
        <v>404</v>
      </c>
      <c r="AU17" t="s">
        <v>378</v>
      </c>
      <c r="AV17" t="s">
        <v>405</v>
      </c>
      <c r="AX17">
        <v>0.35</v>
      </c>
    </row>
    <row r="18" spans="34:51">
      <c r="AH18">
        <v>0</v>
      </c>
      <c r="AN18">
        <v>0</v>
      </c>
      <c r="AO18">
        <v>886.83333333333337</v>
      </c>
      <c r="AP18">
        <v>17647.983333333334</v>
      </c>
      <c r="AS18">
        <v>16761.150000000001</v>
      </c>
      <c r="AT18" t="s">
        <v>406</v>
      </c>
      <c r="AU18" t="s">
        <v>378</v>
      </c>
      <c r="AV18" t="s">
        <v>381</v>
      </c>
      <c r="AX18">
        <v>0.35</v>
      </c>
    </row>
    <row r="19" spans="34:51">
      <c r="AH19">
        <v>0</v>
      </c>
      <c r="AN19">
        <v>0</v>
      </c>
      <c r="AO19">
        <v>808.33333333333337</v>
      </c>
      <c r="AP19">
        <v>16570.833333333332</v>
      </c>
      <c r="AS19">
        <v>15762.499999999998</v>
      </c>
      <c r="AT19" t="s">
        <v>407</v>
      </c>
      <c r="AU19" t="s">
        <v>408</v>
      </c>
      <c r="AV19" t="s">
        <v>391</v>
      </c>
    </row>
    <row r="20" spans="34:51">
      <c r="AH20">
        <v>2128.4</v>
      </c>
      <c r="AN20">
        <v>0</v>
      </c>
      <c r="AO20">
        <v>15049.500000000004</v>
      </c>
      <c r="AP20">
        <v>308563.05</v>
      </c>
      <c r="AS20">
        <v>293513.55</v>
      </c>
      <c r="AT20">
        <v>218266.05000000002</v>
      </c>
      <c r="AW20">
        <v>306.8</v>
      </c>
      <c r="AX20" t="s">
        <v>409</v>
      </c>
      <c r="AY20" t="s">
        <v>410</v>
      </c>
    </row>
    <row r="82" hidden="1"/>
    <row r="83" hidden="1"/>
    <row r="84" hidden="1"/>
  </sheetData>
  <customSheetViews>
    <customSheetView guid="{8E17DC23-BE06-48DD-840B-6DD85B9E86D1}" hiddenRows="1" state="hidden">
      <selection activeCell="B100" sqref="B100"/>
      <pageMargins left="0.7" right="0.7" top="0.75" bottom="0.75" header="0.3" footer="0.3"/>
      <pageSetup paperSize="9" orientation="portrait" verticalDpi="0" r:id="rId1"/>
    </customSheetView>
    <customSheetView guid="{5BFCA170-DEAE-4D2C-98A0-1E68B427AC01}" showPageBreaks="1" hiddenRows="1" state="hidden">
      <selection activeCell="B100" sqref="B100"/>
      <pageMargins left="0.7" right="0.7" top="0.75" bottom="0.75" header="0.3" footer="0.3"/>
      <pageSetup paperSize="9" orientation="portrait" verticalDpi="0" r:id="rId2"/>
    </customSheetView>
    <customSheetView guid="{3DCB9AAA-F09C-4EA6-B992-F93E466D374A}" hiddenRows="1" state="hidden">
      <selection activeCell="B100" sqref="B100"/>
      <pageMargins left="0.7" right="0.7" top="0.75" bottom="0.75" header="0.3" footer="0.3"/>
      <pageSetup paperSize="9" orientation="portrait" verticalDpi="0" r:id="rId3"/>
    </customSheetView>
    <customSheetView guid="{B30CE22D-C12F-4E12-8BB9-3AAE0A6991CC}" hiddenRows="1" state="hidden">
      <selection activeCell="B100" sqref="B100"/>
      <pageMargins left="0.7" right="0.7" top="0.75" bottom="0.75" header="0.3" footer="0.3"/>
      <pageSetup paperSize="9" orientation="portrait" verticalDpi="0" r:id="rId4"/>
    </customSheetView>
    <customSheetView guid="{A54C432C-6C68-4B53-A75C-446EB3A61B2B}" hiddenRows="1" state="hidden">
      <selection activeCell="B100" sqref="B100"/>
      <pageMargins left="0.7" right="0.7" top="0.75" bottom="0.75" header="0.3" footer="0.3"/>
      <pageSetup paperSize="9" orientation="portrait" verticalDpi="0" r:id="rId5"/>
    </customSheetView>
  </customSheetViews>
  <pageMargins left="0.7" right="0.7" top="0.75" bottom="0.75" header="0.3" footer="0.3"/>
  <pageSetup paperSize="9" orientation="portrait" verticalDpi="0" r:id="rId6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topLeftCell="A16" workbookViewId="0"/>
  </sheetViews>
  <sheetFormatPr defaultRowHeight="12.75"/>
  <sheetData/>
  <customSheetViews>
    <customSheetView guid="{8E17DC23-BE06-48DD-840B-6DD85B9E86D1}" state="hidden" topLeftCell="A16">
      <pageMargins left="0.7" right="0.7" top="0.75" bottom="0.75" header="0.3" footer="0.3"/>
    </customSheetView>
    <customSheetView guid="{5BFCA170-DEAE-4D2C-98A0-1E68B427AC01}" topLeftCell="A16">
      <pageMargins left="0.7" right="0.7" top="0.75" bottom="0.75" header="0.3" footer="0.3"/>
    </customSheetView>
    <customSheetView guid="{3DCB9AAA-F09C-4EA6-B992-F93E466D374A}" topLeftCell="A16">
      <pageMargins left="0.7" right="0.7" top="0.75" bottom="0.75" header="0.3" footer="0.3"/>
    </customSheetView>
    <customSheetView guid="{B30CE22D-C12F-4E12-8BB9-3AAE0A6991CC}" state="hidden" topLeftCell="A16">
      <pageMargins left="0.7" right="0.7" top="0.75" bottom="0.75" header="0.3" footer="0.3"/>
    </customSheetView>
    <customSheetView guid="{A54C432C-6C68-4B53-A75C-446EB3A61B2B}" state="hidden" topLeftCell="A16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H146"/>
  <sheetViews>
    <sheetView view="pageBreakPreview" topLeftCell="A128" zoomScale="60" workbookViewId="0">
      <selection activeCell="C83" sqref="C83:D84"/>
    </sheetView>
  </sheetViews>
  <sheetFormatPr defaultRowHeight="15.75"/>
  <cols>
    <col min="1" max="1" width="16.28515625" style="58" customWidth="1"/>
    <col min="2" max="2" width="57.5703125" style="59" customWidth="1"/>
    <col min="3" max="3" width="33.85546875" style="62" customWidth="1"/>
    <col min="4" max="4" width="28.28515625" style="62" customWidth="1"/>
    <col min="5" max="5" width="19" style="62" customWidth="1"/>
    <col min="6" max="6" width="22.42578125" style="62" customWidth="1"/>
    <col min="7" max="7" width="20.7109375" style="1" customWidth="1"/>
    <col min="8" max="8" width="19.140625" style="1" bestFit="1" customWidth="1"/>
    <col min="9" max="16384" width="9.140625" style="1"/>
  </cols>
  <sheetData>
    <row r="1" spans="1:6">
      <c r="A1" s="459" t="s">
        <v>0</v>
      </c>
      <c r="B1" s="459"/>
      <c r="C1" s="459"/>
      <c r="D1" s="459"/>
      <c r="E1" s="459"/>
      <c r="F1" s="459"/>
    </row>
    <row r="2" spans="1:6">
      <c r="A2" s="459" t="s">
        <v>414</v>
      </c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103" t="s">
        <v>412</v>
      </c>
      <c r="E3" s="72" t="s">
        <v>3</v>
      </c>
      <c r="F3" s="74" t="s">
        <v>4</v>
      </c>
    </row>
    <row r="4" spans="1:6" s="6" customFormat="1" ht="22.5">
      <c r="A4" s="3"/>
      <c r="B4" s="255" t="s">
        <v>5</v>
      </c>
      <c r="C4" s="294">
        <f>C5+C12+C16+C21+C23+C27+C7</f>
        <v>125474</v>
      </c>
      <c r="D4" s="294">
        <f>D5+D12+D16+D21+D23+D27+D7</f>
        <v>102307.59876999998</v>
      </c>
      <c r="E4" s="294">
        <f>SUM(D4/C4*100)</f>
        <v>81.536891124854534</v>
      </c>
      <c r="F4" s="294">
        <f>SUM(D4-C4)</f>
        <v>-23166.401230000018</v>
      </c>
    </row>
    <row r="5" spans="1:6" s="6" customFormat="1" ht="22.5">
      <c r="A5" s="68">
        <v>1010000000</v>
      </c>
      <c r="B5" s="255" t="s">
        <v>6</v>
      </c>
      <c r="C5" s="294">
        <f>C6</f>
        <v>104690</v>
      </c>
      <c r="D5" s="294">
        <f>D6</f>
        <v>83599.272129999998</v>
      </c>
      <c r="E5" s="294">
        <f t="shared" ref="E5:E82" si="0">SUM(D5/C5*100)</f>
        <v>79.854114175183881</v>
      </c>
      <c r="F5" s="294">
        <f t="shared" ref="F5:F82" si="1">SUM(D5-C5)</f>
        <v>-21090.727870000002</v>
      </c>
    </row>
    <row r="6" spans="1:6" ht="23.25">
      <c r="A6" s="7">
        <v>1010200001</v>
      </c>
      <c r="B6" s="256" t="s">
        <v>229</v>
      </c>
      <c r="C6" s="295">
        <v>104690</v>
      </c>
      <c r="D6" s="361">
        <v>83599.272129999998</v>
      </c>
      <c r="E6" s="295">
        <f t="shared" ref="E6:E11" si="2">SUM(D6/C6*100)</f>
        <v>79.854114175183881</v>
      </c>
      <c r="F6" s="295">
        <f t="shared" si="1"/>
        <v>-21090.727870000002</v>
      </c>
    </row>
    <row r="7" spans="1:6" ht="37.5">
      <c r="A7" s="68">
        <v>1030000000</v>
      </c>
      <c r="B7" s="257" t="s">
        <v>281</v>
      </c>
      <c r="C7" s="294">
        <f>C8+C10+C9</f>
        <v>4417.8600000000006</v>
      </c>
      <c r="D7" s="294">
        <f>D8+D10+D9+D11</f>
        <v>3817.3278399999995</v>
      </c>
      <c r="E7" s="295">
        <f t="shared" si="2"/>
        <v>86.406718184822495</v>
      </c>
      <c r="F7" s="295">
        <f t="shared" si="1"/>
        <v>-600.53216000000111</v>
      </c>
    </row>
    <row r="8" spans="1:6" ht="23.25">
      <c r="A8" s="7">
        <v>1030223001</v>
      </c>
      <c r="B8" s="256" t="s">
        <v>283</v>
      </c>
      <c r="C8" s="295">
        <v>1460.394</v>
      </c>
      <c r="D8" s="361">
        <v>1683.74182</v>
      </c>
      <c r="E8" s="295">
        <f t="shared" si="2"/>
        <v>115.29366869488643</v>
      </c>
      <c r="F8" s="295">
        <f>SUM(D8-C8)</f>
        <v>223.34781999999996</v>
      </c>
    </row>
    <row r="9" spans="1:6" ht="23.25">
      <c r="A9" s="7">
        <v>1030224001</v>
      </c>
      <c r="B9" s="256" t="s">
        <v>289</v>
      </c>
      <c r="C9" s="295">
        <v>25.545999999999999</v>
      </c>
      <c r="D9" s="361">
        <v>15.621980000000001</v>
      </c>
      <c r="E9" s="295">
        <f t="shared" si="2"/>
        <v>61.152352618805295</v>
      </c>
      <c r="F9" s="295">
        <f>SUM(D9-C9)</f>
        <v>-9.9240199999999987</v>
      </c>
    </row>
    <row r="10" spans="1:6" ht="23.25">
      <c r="A10" s="7">
        <v>1030225001</v>
      </c>
      <c r="B10" s="256" t="s">
        <v>282</v>
      </c>
      <c r="C10" s="295">
        <v>2931.92</v>
      </c>
      <c r="D10" s="361">
        <v>2498.2898399999999</v>
      </c>
      <c r="E10" s="295">
        <f t="shared" si="2"/>
        <v>85.210027558732833</v>
      </c>
      <c r="F10" s="295">
        <f t="shared" si="1"/>
        <v>-433.63016000000016</v>
      </c>
    </row>
    <row r="11" spans="1:6" ht="23.25">
      <c r="A11" s="7">
        <v>1030226001</v>
      </c>
      <c r="B11" s="256" t="s">
        <v>291</v>
      </c>
      <c r="C11" s="295">
        <v>0</v>
      </c>
      <c r="D11" s="361">
        <v>-380.32580000000002</v>
      </c>
      <c r="E11" s="295" t="e">
        <f t="shared" si="2"/>
        <v>#DIV/0!</v>
      </c>
      <c r="F11" s="295">
        <f t="shared" si="1"/>
        <v>-380.32580000000002</v>
      </c>
    </row>
    <row r="12" spans="1:6" s="6" customFormat="1" ht="22.5">
      <c r="A12" s="68">
        <v>1050000000</v>
      </c>
      <c r="B12" s="255" t="s">
        <v>7</v>
      </c>
      <c r="C12" s="294">
        <f>SUM(C13:C15)</f>
        <v>11852</v>
      </c>
      <c r="D12" s="294">
        <f>SUM(D13:D15)</f>
        <v>11280.285059999998</v>
      </c>
      <c r="E12" s="294">
        <f t="shared" si="0"/>
        <v>95.176215491056354</v>
      </c>
      <c r="F12" s="294">
        <f t="shared" si="1"/>
        <v>-571.71494000000166</v>
      </c>
    </row>
    <row r="13" spans="1:6" ht="23.25">
      <c r="A13" s="7">
        <v>1050200000</v>
      </c>
      <c r="B13" s="258" t="s">
        <v>239</v>
      </c>
      <c r="C13" s="362">
        <v>10415</v>
      </c>
      <c r="D13" s="361">
        <v>10174.603419999999</v>
      </c>
      <c r="E13" s="295">
        <f t="shared" si="0"/>
        <v>97.691823523763802</v>
      </c>
      <c r="F13" s="295">
        <f t="shared" si="1"/>
        <v>-240.39658000000054</v>
      </c>
    </row>
    <row r="14" spans="1:6" ht="23.25" customHeight="1">
      <c r="A14" s="7">
        <v>1050300000</v>
      </c>
      <c r="B14" s="258" t="s">
        <v>230</v>
      </c>
      <c r="C14" s="362">
        <v>1087</v>
      </c>
      <c r="D14" s="361">
        <v>990.84492999999998</v>
      </c>
      <c r="E14" s="295">
        <f t="shared" si="0"/>
        <v>91.154087396504138</v>
      </c>
      <c r="F14" s="295">
        <f t="shared" si="1"/>
        <v>-96.155070000000023</v>
      </c>
    </row>
    <row r="15" spans="1:6" ht="37.5">
      <c r="A15" s="7">
        <v>1050400002</v>
      </c>
      <c r="B15" s="256" t="s">
        <v>266</v>
      </c>
      <c r="C15" s="362">
        <v>350</v>
      </c>
      <c r="D15" s="361">
        <v>114.83671</v>
      </c>
      <c r="E15" s="295">
        <f t="shared" si="0"/>
        <v>32.810488571428571</v>
      </c>
      <c r="F15" s="295">
        <f t="shared" si="1"/>
        <v>-235.16329000000002</v>
      </c>
    </row>
    <row r="16" spans="1:6" s="6" customFormat="1" ht="24" customHeight="1">
      <c r="A16" s="68">
        <v>1060000000</v>
      </c>
      <c r="B16" s="255" t="s">
        <v>136</v>
      </c>
      <c r="C16" s="294">
        <f>SUM(C17:C20)</f>
        <v>1915</v>
      </c>
      <c r="D16" s="294">
        <f>SUM(D17:D20)</f>
        <v>1167.61511</v>
      </c>
      <c r="E16" s="294">
        <f t="shared" si="0"/>
        <v>60.972068407310701</v>
      </c>
      <c r="F16" s="294">
        <f t="shared" si="1"/>
        <v>-747.38489000000004</v>
      </c>
    </row>
    <row r="17" spans="1:6" s="6" customFormat="1" ht="18" hidden="1" customHeight="1">
      <c r="A17" s="7">
        <v>1060100000</v>
      </c>
      <c r="B17" s="258" t="s">
        <v>9</v>
      </c>
      <c r="C17" s="295"/>
      <c r="D17" s="361"/>
      <c r="E17" s="294" t="e">
        <f t="shared" si="0"/>
        <v>#DIV/0!</v>
      </c>
      <c r="F17" s="294">
        <f t="shared" si="1"/>
        <v>0</v>
      </c>
    </row>
    <row r="18" spans="1:6" s="6" customFormat="1" ht="17.25" hidden="1" customHeight="1">
      <c r="A18" s="7">
        <v>1060200000</v>
      </c>
      <c r="B18" s="258" t="s">
        <v>123</v>
      </c>
      <c r="C18" s="295"/>
      <c r="D18" s="361"/>
      <c r="E18" s="294" t="e">
        <f t="shared" si="0"/>
        <v>#DIV/0!</v>
      </c>
      <c r="F18" s="294">
        <f t="shared" si="1"/>
        <v>0</v>
      </c>
    </row>
    <row r="19" spans="1:6" s="6" customFormat="1" ht="21.75" customHeight="1">
      <c r="A19" s="7">
        <v>1060400000</v>
      </c>
      <c r="B19" s="258" t="s">
        <v>280</v>
      </c>
      <c r="C19" s="295">
        <v>1915</v>
      </c>
      <c r="D19" s="361">
        <v>1167.61511</v>
      </c>
      <c r="E19" s="295">
        <f t="shared" si="0"/>
        <v>60.972068407310701</v>
      </c>
      <c r="F19" s="295">
        <f t="shared" si="1"/>
        <v>-747.38489000000004</v>
      </c>
    </row>
    <row r="20" spans="1:6" ht="15.75" hidden="1" customHeight="1">
      <c r="A20" s="7">
        <v>1060600000</v>
      </c>
      <c r="B20" s="258" t="s">
        <v>8</v>
      </c>
      <c r="C20" s="295"/>
      <c r="D20" s="361"/>
      <c r="E20" s="295" t="e">
        <f t="shared" si="0"/>
        <v>#DIV/0!</v>
      </c>
      <c r="F20" s="295">
        <f t="shared" si="1"/>
        <v>0</v>
      </c>
    </row>
    <row r="21" spans="1:6" s="6" customFormat="1" ht="42" customHeight="1">
      <c r="A21" s="68">
        <v>1070000000</v>
      </c>
      <c r="B21" s="257" t="s">
        <v>10</v>
      </c>
      <c r="C21" s="294">
        <f>SUM(C22)</f>
        <v>399.14</v>
      </c>
      <c r="D21" s="294">
        <f>SUM(D22)</f>
        <v>151.76222999999999</v>
      </c>
      <c r="E21" s="294">
        <f t="shared" si="0"/>
        <v>38.022305456731971</v>
      </c>
      <c r="F21" s="294">
        <f t="shared" si="1"/>
        <v>-247.37777</v>
      </c>
    </row>
    <row r="22" spans="1:6" ht="41.25" customHeight="1">
      <c r="A22" s="7">
        <v>1070102001</v>
      </c>
      <c r="B22" s="256" t="s">
        <v>240</v>
      </c>
      <c r="C22" s="295">
        <v>399.14</v>
      </c>
      <c r="D22" s="361">
        <v>151.76222999999999</v>
      </c>
      <c r="E22" s="295">
        <f t="shared" si="0"/>
        <v>38.022305456731971</v>
      </c>
      <c r="F22" s="295">
        <f t="shared" si="1"/>
        <v>-247.37777</v>
      </c>
    </row>
    <row r="23" spans="1:6" s="6" customFormat="1" ht="22.5">
      <c r="A23" s="3">
        <v>1080000000</v>
      </c>
      <c r="B23" s="255" t="s">
        <v>11</v>
      </c>
      <c r="C23" s="294">
        <f>C24+C25+C26</f>
        <v>2200</v>
      </c>
      <c r="D23" s="294">
        <f>D24+D25+D26</f>
        <v>2291.3364000000001</v>
      </c>
      <c r="E23" s="294">
        <f t="shared" si="0"/>
        <v>104.15165454545455</v>
      </c>
      <c r="F23" s="294">
        <f t="shared" si="1"/>
        <v>91.33640000000014</v>
      </c>
    </row>
    <row r="24" spans="1:6" ht="36.75" customHeight="1">
      <c r="A24" s="7">
        <v>1080300001</v>
      </c>
      <c r="B24" s="256" t="s">
        <v>241</v>
      </c>
      <c r="C24" s="295">
        <v>1600</v>
      </c>
      <c r="D24" s="361">
        <v>1762.4759799999999</v>
      </c>
      <c r="E24" s="295">
        <f t="shared" si="0"/>
        <v>110.15474875</v>
      </c>
      <c r="F24" s="295">
        <f t="shared" si="1"/>
        <v>162.47597999999994</v>
      </c>
    </row>
    <row r="25" spans="1:6" ht="33.75" hidden="1" customHeight="1">
      <c r="A25" s="7">
        <v>1080600001</v>
      </c>
      <c r="B25" s="256" t="s">
        <v>228</v>
      </c>
      <c r="C25" s="295">
        <v>0</v>
      </c>
      <c r="D25" s="361">
        <v>0</v>
      </c>
      <c r="E25" s="295" t="e">
        <f>SUM(D25/C25*100)</f>
        <v>#DIV/0!</v>
      </c>
      <c r="F25" s="295">
        <f t="shared" si="1"/>
        <v>0</v>
      </c>
    </row>
    <row r="26" spans="1:6" ht="69.75" customHeight="1">
      <c r="A26" s="7">
        <v>1080714001</v>
      </c>
      <c r="B26" s="256" t="s">
        <v>227</v>
      </c>
      <c r="C26" s="295">
        <v>600</v>
      </c>
      <c r="D26" s="361">
        <v>528.86041999999998</v>
      </c>
      <c r="E26" s="295">
        <f t="shared" si="0"/>
        <v>88.143403333333325</v>
      </c>
      <c r="F26" s="295">
        <f t="shared" si="1"/>
        <v>-71.139580000000024</v>
      </c>
    </row>
    <row r="27" spans="1:6" s="15" customFormat="1" ht="0.75" hidden="1" customHeight="1">
      <c r="A27" s="68">
        <v>1090000000</v>
      </c>
      <c r="B27" s="257" t="s">
        <v>231</v>
      </c>
      <c r="C27" s="294">
        <f>C28+C29+C30+C31</f>
        <v>0</v>
      </c>
      <c r="D27" s="294">
        <f>D28+D29+D30+D31</f>
        <v>0</v>
      </c>
      <c r="E27" s="295" t="e">
        <f t="shared" si="0"/>
        <v>#DIV/0!</v>
      </c>
      <c r="F27" s="294">
        <f t="shared" si="1"/>
        <v>0</v>
      </c>
    </row>
    <row r="28" spans="1:6" s="15" customFormat="1" ht="17.25" hidden="1" customHeight="1">
      <c r="A28" s="7">
        <v>1090100000</v>
      </c>
      <c r="B28" s="256" t="s">
        <v>125</v>
      </c>
      <c r="C28" s="295">
        <v>0</v>
      </c>
      <c r="D28" s="361">
        <v>0</v>
      </c>
      <c r="E28" s="295" t="e">
        <f t="shared" si="0"/>
        <v>#DIV/0!</v>
      </c>
      <c r="F28" s="295">
        <f t="shared" si="1"/>
        <v>0</v>
      </c>
    </row>
    <row r="29" spans="1:6" s="15" customFormat="1" ht="17.25" hidden="1" customHeight="1">
      <c r="A29" s="7">
        <v>1090400000</v>
      </c>
      <c r="B29" s="256" t="s">
        <v>126</v>
      </c>
      <c r="C29" s="295">
        <v>0</v>
      </c>
      <c r="D29" s="361">
        <v>0</v>
      </c>
      <c r="E29" s="295" t="e">
        <f t="shared" si="0"/>
        <v>#DIV/0!</v>
      </c>
      <c r="F29" s="295">
        <f t="shared" si="1"/>
        <v>0</v>
      </c>
    </row>
    <row r="30" spans="1:6" s="15" customFormat="1" ht="15.75" hidden="1" customHeight="1">
      <c r="A30" s="7">
        <v>1090600000</v>
      </c>
      <c r="B30" s="256" t="s">
        <v>127</v>
      </c>
      <c r="C30" s="295">
        <v>0</v>
      </c>
      <c r="D30" s="361">
        <v>0</v>
      </c>
      <c r="E30" s="295" t="e">
        <f t="shared" si="0"/>
        <v>#DIV/0!</v>
      </c>
      <c r="F30" s="295">
        <f t="shared" si="1"/>
        <v>0</v>
      </c>
    </row>
    <row r="31" spans="1:6" s="15" customFormat="1" ht="42" hidden="1" customHeight="1">
      <c r="A31" s="7">
        <v>1090700000</v>
      </c>
      <c r="B31" s="256" t="s">
        <v>128</v>
      </c>
      <c r="C31" s="295">
        <v>0</v>
      </c>
      <c r="D31" s="361">
        <v>0</v>
      </c>
      <c r="E31" s="295" t="e">
        <f t="shared" si="0"/>
        <v>#DIV/0!</v>
      </c>
      <c r="F31" s="295">
        <f t="shared" si="1"/>
        <v>0</v>
      </c>
    </row>
    <row r="32" spans="1:6" s="6" customFormat="1" ht="33.75" customHeight="1">
      <c r="A32" s="3"/>
      <c r="B32" s="255" t="s">
        <v>13</v>
      </c>
      <c r="C32" s="294">
        <f>C33+C42+C44+C47+C50+C52+C69</f>
        <v>33910.277000000002</v>
      </c>
      <c r="D32" s="294">
        <f>D33+D42+D44+D47+D50+D52+D69</f>
        <v>20934.76698</v>
      </c>
      <c r="E32" s="294">
        <f t="shared" si="0"/>
        <v>61.735759280291333</v>
      </c>
      <c r="F32" s="294">
        <f t="shared" si="1"/>
        <v>-12975.510020000002</v>
      </c>
    </row>
    <row r="33" spans="1:6" s="6" customFormat="1" ht="60.75" customHeight="1">
      <c r="A33" s="3">
        <v>1110000000</v>
      </c>
      <c r="B33" s="257" t="s">
        <v>129</v>
      </c>
      <c r="C33" s="294">
        <f>C35+C36+C37+C39+C38+C34+C41</f>
        <v>10436.299999999999</v>
      </c>
      <c r="D33" s="294">
        <f>D35+D36+D37+D39+D38+D34+D41+D40</f>
        <v>8802.5787199999995</v>
      </c>
      <c r="E33" s="294">
        <f t="shared" si="0"/>
        <v>84.34578078437761</v>
      </c>
      <c r="F33" s="294">
        <f t="shared" si="1"/>
        <v>-1633.7212799999998</v>
      </c>
    </row>
    <row r="34" spans="1:6" s="6" customFormat="1" ht="34.5" customHeight="1">
      <c r="A34" s="7">
        <v>1110105005</v>
      </c>
      <c r="B34" s="256" t="s">
        <v>320</v>
      </c>
      <c r="C34" s="295">
        <v>10</v>
      </c>
      <c r="D34" s="295">
        <v>16.89</v>
      </c>
      <c r="E34" s="295">
        <f t="shared" si="0"/>
        <v>168.9</v>
      </c>
      <c r="F34" s="295">
        <f t="shared" si="1"/>
        <v>6.8900000000000006</v>
      </c>
    </row>
    <row r="35" spans="1:6" ht="27.75" hidden="1" customHeight="1">
      <c r="A35" s="7">
        <v>1110305005</v>
      </c>
      <c r="B35" s="258" t="s">
        <v>242</v>
      </c>
      <c r="C35" s="295">
        <v>0</v>
      </c>
      <c r="D35" s="361">
        <v>0</v>
      </c>
      <c r="E35" s="295" t="e">
        <f t="shared" si="0"/>
        <v>#DIV/0!</v>
      </c>
      <c r="F35" s="295">
        <f t="shared" si="1"/>
        <v>0</v>
      </c>
    </row>
    <row r="36" spans="1:6" ht="23.25">
      <c r="A36" s="16">
        <v>1110501101</v>
      </c>
      <c r="B36" s="259" t="s">
        <v>226</v>
      </c>
      <c r="C36" s="362">
        <v>9636.2999999999993</v>
      </c>
      <c r="D36" s="361">
        <v>7970.3871300000001</v>
      </c>
      <c r="E36" s="295">
        <f t="shared" si="0"/>
        <v>82.712110768656018</v>
      </c>
      <c r="F36" s="295">
        <f t="shared" si="1"/>
        <v>-1665.9128699999992</v>
      </c>
    </row>
    <row r="37" spans="1:6" ht="20.25" customHeight="1">
      <c r="A37" s="7">
        <v>1110503505</v>
      </c>
      <c r="B37" s="258" t="s">
        <v>225</v>
      </c>
      <c r="C37" s="362">
        <v>400</v>
      </c>
      <c r="D37" s="361">
        <v>293.94591000000003</v>
      </c>
      <c r="E37" s="295">
        <f t="shared" si="0"/>
        <v>73.486477500000007</v>
      </c>
      <c r="F37" s="295">
        <f t="shared" si="1"/>
        <v>-106.05408999999997</v>
      </c>
    </row>
    <row r="38" spans="1:6" ht="131.25" hidden="1">
      <c r="A38" s="7">
        <v>1110502000</v>
      </c>
      <c r="B38" s="256" t="s">
        <v>277</v>
      </c>
      <c r="C38" s="363">
        <v>0</v>
      </c>
      <c r="D38" s="361">
        <v>0</v>
      </c>
      <c r="E38" s="295" t="e">
        <f t="shared" si="0"/>
        <v>#DIV/0!</v>
      </c>
      <c r="F38" s="295">
        <f t="shared" si="1"/>
        <v>0</v>
      </c>
    </row>
    <row r="39" spans="1:6" s="15" customFormat="1" ht="23.25">
      <c r="A39" s="7">
        <v>1110701505</v>
      </c>
      <c r="B39" s="258" t="s">
        <v>243</v>
      </c>
      <c r="C39" s="362">
        <v>20</v>
      </c>
      <c r="D39" s="361">
        <v>17.364999999999998</v>
      </c>
      <c r="E39" s="295">
        <f t="shared" si="0"/>
        <v>86.825000000000003</v>
      </c>
      <c r="F39" s="295">
        <f t="shared" si="1"/>
        <v>-2.6350000000000016</v>
      </c>
    </row>
    <row r="40" spans="1:6" s="15" customFormat="1" ht="23.25">
      <c r="A40" s="7">
        <v>1110903000</v>
      </c>
      <c r="B40" s="258" t="s">
        <v>436</v>
      </c>
      <c r="C40" s="362">
        <v>0</v>
      </c>
      <c r="D40" s="361">
        <v>6.7770700000000001</v>
      </c>
      <c r="E40" s="295" t="e">
        <f t="shared" ref="E40" si="3">SUM(D40/C40*100)</f>
        <v>#DIV/0!</v>
      </c>
      <c r="F40" s="295">
        <f t="shared" ref="F40" si="4">SUM(D40-C40)</f>
        <v>6.7770700000000001</v>
      </c>
    </row>
    <row r="41" spans="1:6" s="15" customFormat="1" ht="23.25">
      <c r="A41" s="7">
        <v>1110904505</v>
      </c>
      <c r="B41" s="258" t="s">
        <v>334</v>
      </c>
      <c r="C41" s="362">
        <v>370</v>
      </c>
      <c r="D41" s="361">
        <v>497.21361000000002</v>
      </c>
      <c r="E41" s="295">
        <f t="shared" si="0"/>
        <v>134.38205675675675</v>
      </c>
      <c r="F41" s="295">
        <f t="shared" si="1"/>
        <v>127.21361000000002</v>
      </c>
    </row>
    <row r="42" spans="1:6" s="15" customFormat="1" ht="37.5">
      <c r="A42" s="68">
        <v>1120000000</v>
      </c>
      <c r="B42" s="257" t="s">
        <v>130</v>
      </c>
      <c r="C42" s="364">
        <f>C43</f>
        <v>490</v>
      </c>
      <c r="D42" s="364">
        <f>D43</f>
        <v>677.35725000000002</v>
      </c>
      <c r="E42" s="294">
        <f t="shared" si="0"/>
        <v>138.23617346938778</v>
      </c>
      <c r="F42" s="294">
        <f t="shared" si="1"/>
        <v>187.35725000000002</v>
      </c>
    </row>
    <row r="43" spans="1:6" s="15" customFormat="1" ht="37.5">
      <c r="A43" s="7">
        <v>1120100001</v>
      </c>
      <c r="B43" s="256" t="s">
        <v>244</v>
      </c>
      <c r="C43" s="295">
        <v>490</v>
      </c>
      <c r="D43" s="361">
        <v>677.35725000000002</v>
      </c>
      <c r="E43" s="295">
        <f t="shared" si="0"/>
        <v>138.23617346938778</v>
      </c>
      <c r="F43" s="295">
        <f t="shared" si="1"/>
        <v>187.35725000000002</v>
      </c>
    </row>
    <row r="44" spans="1:6" s="254" customFormat="1" ht="21.75" customHeight="1">
      <c r="A44" s="322">
        <v>1130000000</v>
      </c>
      <c r="B44" s="260" t="s">
        <v>131</v>
      </c>
      <c r="C44" s="294">
        <f>C45+C46</f>
        <v>459</v>
      </c>
      <c r="D44" s="294">
        <f>D45+D46</f>
        <v>117.39815</v>
      </c>
      <c r="E44" s="294">
        <f t="shared" si="0"/>
        <v>25.576938997821351</v>
      </c>
      <c r="F44" s="294">
        <f t="shared" si="1"/>
        <v>-341.60185000000001</v>
      </c>
    </row>
    <row r="45" spans="1:6" s="15" customFormat="1" ht="36" customHeight="1">
      <c r="A45" s="7">
        <v>1130200000</v>
      </c>
      <c r="B45" s="256" t="s">
        <v>330</v>
      </c>
      <c r="C45" s="295">
        <v>459</v>
      </c>
      <c r="D45" s="295">
        <v>117.39815</v>
      </c>
      <c r="E45" s="295">
        <f>SUM(D45/C45*100)</f>
        <v>25.576938997821351</v>
      </c>
      <c r="F45" s="295">
        <f>SUM(D45-C45)</f>
        <v>-341.60185000000001</v>
      </c>
    </row>
    <row r="46" spans="1:6" ht="25.5" customHeight="1">
      <c r="A46" s="7">
        <v>1130305005</v>
      </c>
      <c r="B46" s="256" t="s">
        <v>224</v>
      </c>
      <c r="C46" s="295">
        <v>0</v>
      </c>
      <c r="D46" s="361">
        <v>0</v>
      </c>
      <c r="E46" s="295"/>
      <c r="F46" s="295">
        <f t="shared" si="1"/>
        <v>0</v>
      </c>
    </row>
    <row r="47" spans="1:6" ht="20.25" customHeight="1">
      <c r="A47" s="109">
        <v>1140000000</v>
      </c>
      <c r="B47" s="261" t="s">
        <v>132</v>
      </c>
      <c r="C47" s="294">
        <f>C48+C49</f>
        <v>12928.977000000001</v>
      </c>
      <c r="D47" s="294">
        <f>D48+D49</f>
        <v>1826.7006199999998</v>
      </c>
      <c r="E47" s="294">
        <f t="shared" si="0"/>
        <v>14.128732845607194</v>
      </c>
      <c r="F47" s="294">
        <f t="shared" si="1"/>
        <v>-11102.276380000001</v>
      </c>
    </row>
    <row r="48" spans="1:6" ht="23.25">
      <c r="A48" s="16">
        <v>1140200000</v>
      </c>
      <c r="B48" s="262" t="s">
        <v>222</v>
      </c>
      <c r="C48" s="295">
        <v>300</v>
      </c>
      <c r="D48" s="361">
        <v>96.781000000000006</v>
      </c>
      <c r="E48" s="295">
        <f t="shared" si="0"/>
        <v>32.260333333333335</v>
      </c>
      <c r="F48" s="295">
        <f t="shared" si="1"/>
        <v>-203.21899999999999</v>
      </c>
    </row>
    <row r="49" spans="1:8" ht="24" customHeight="1">
      <c r="A49" s="7">
        <v>1140600000</v>
      </c>
      <c r="B49" s="256" t="s">
        <v>223</v>
      </c>
      <c r="C49" s="295">
        <v>12628.977000000001</v>
      </c>
      <c r="D49" s="361">
        <v>1729.9196199999999</v>
      </c>
      <c r="E49" s="295">
        <f t="shared" si="0"/>
        <v>13.698018612275561</v>
      </c>
      <c r="F49" s="295">
        <f t="shared" si="1"/>
        <v>-10899.05738</v>
      </c>
    </row>
    <row r="50" spans="1:8" ht="37.5" hidden="1">
      <c r="A50" s="3">
        <v>1150000000</v>
      </c>
      <c r="B50" s="257" t="s">
        <v>235</v>
      </c>
      <c r="C50" s="294">
        <f>C51</f>
        <v>0</v>
      </c>
      <c r="D50" s="294">
        <f>D51</f>
        <v>0</v>
      </c>
      <c r="E50" s="294" t="e">
        <f t="shared" si="0"/>
        <v>#DIV/0!</v>
      </c>
      <c r="F50" s="294">
        <f t="shared" si="1"/>
        <v>0</v>
      </c>
    </row>
    <row r="51" spans="1:8" ht="56.25" hidden="1">
      <c r="A51" s="7">
        <v>1150205005</v>
      </c>
      <c r="B51" s="256" t="s">
        <v>236</v>
      </c>
      <c r="C51" s="295">
        <v>0</v>
      </c>
      <c r="D51" s="361">
        <v>0</v>
      </c>
      <c r="E51" s="295" t="e">
        <f t="shared" si="0"/>
        <v>#DIV/0!</v>
      </c>
      <c r="F51" s="295">
        <f t="shared" si="1"/>
        <v>0</v>
      </c>
    </row>
    <row r="52" spans="1:8" ht="37.5">
      <c r="A52" s="3">
        <v>1160000000</v>
      </c>
      <c r="B52" s="257" t="s">
        <v>134</v>
      </c>
      <c r="C52" s="294">
        <f>C53+C54+C55+C56+C57+C58+C59+C60+C61+C62+C63+C64+C65+C66+C67+C68</f>
        <v>9596</v>
      </c>
      <c r="D52" s="294">
        <f>D53+D54+D55+D56+D57+D58+D59+D60+D61+D62+D63+D64+D65+D66+D67+D68</f>
        <v>9508.2855</v>
      </c>
      <c r="E52" s="294">
        <f>SUM(D52/C52*100)</f>
        <v>99.085926427678189</v>
      </c>
      <c r="F52" s="294">
        <f t="shared" si="1"/>
        <v>-87.714500000000044</v>
      </c>
      <c r="H52" s="152"/>
    </row>
    <row r="53" spans="1:8" ht="23.25">
      <c r="A53" s="7">
        <v>1160301001</v>
      </c>
      <c r="B53" s="256" t="s">
        <v>245</v>
      </c>
      <c r="C53" s="295">
        <v>12</v>
      </c>
      <c r="D53" s="365">
        <v>8.6189999999999998</v>
      </c>
      <c r="E53" s="295">
        <f>SUM(D53/C53*100)</f>
        <v>71.824999999999989</v>
      </c>
      <c r="F53" s="295">
        <f t="shared" si="1"/>
        <v>-3.3810000000000002</v>
      </c>
    </row>
    <row r="54" spans="1:8" ht="21" customHeight="1">
      <c r="A54" s="7">
        <v>1160303001</v>
      </c>
      <c r="B54" s="256" t="s">
        <v>246</v>
      </c>
      <c r="C54" s="295">
        <v>8</v>
      </c>
      <c r="D54" s="366">
        <v>5.2</v>
      </c>
      <c r="E54" s="295">
        <f t="shared" si="0"/>
        <v>65</v>
      </c>
      <c r="F54" s="295">
        <f t="shared" si="1"/>
        <v>-2.8</v>
      </c>
    </row>
    <row r="55" spans="1:8" ht="23.25" customHeight="1">
      <c r="A55" s="7">
        <v>1160600000</v>
      </c>
      <c r="B55" s="256" t="s">
        <v>247</v>
      </c>
      <c r="C55" s="295">
        <v>44</v>
      </c>
      <c r="D55" s="366">
        <v>0</v>
      </c>
      <c r="E55" s="295">
        <f t="shared" si="0"/>
        <v>0</v>
      </c>
      <c r="F55" s="295">
        <f t="shared" si="1"/>
        <v>-44</v>
      </c>
    </row>
    <row r="56" spans="1:8" s="15" customFormat="1" ht="48" customHeight="1">
      <c r="A56" s="7">
        <v>1160800001</v>
      </c>
      <c r="B56" s="256" t="s">
        <v>248</v>
      </c>
      <c r="C56" s="295">
        <v>220</v>
      </c>
      <c r="D56" s="366">
        <v>610</v>
      </c>
      <c r="E56" s="295">
        <f t="shared" si="0"/>
        <v>277.27272727272731</v>
      </c>
      <c r="F56" s="295">
        <f t="shared" si="1"/>
        <v>390</v>
      </c>
    </row>
    <row r="57" spans="1:8" ht="35.25" customHeight="1">
      <c r="A57" s="7">
        <v>1160802001</v>
      </c>
      <c r="B57" s="256" t="s">
        <v>342</v>
      </c>
      <c r="C57" s="295">
        <v>35</v>
      </c>
      <c r="D57" s="361">
        <v>0</v>
      </c>
      <c r="E57" s="295">
        <f t="shared" si="0"/>
        <v>0</v>
      </c>
      <c r="F57" s="295">
        <f t="shared" si="1"/>
        <v>-35</v>
      </c>
    </row>
    <row r="58" spans="1:8" ht="35.25" customHeight="1">
      <c r="A58" s="7">
        <v>1162105005</v>
      </c>
      <c r="B58" s="256" t="s">
        <v>16</v>
      </c>
      <c r="C58" s="295">
        <v>165</v>
      </c>
      <c r="D58" s="361">
        <v>168.20752999999999</v>
      </c>
      <c r="E58" s="295">
        <f t="shared" si="0"/>
        <v>101.94395757575757</v>
      </c>
      <c r="F58" s="295">
        <f t="shared" si="1"/>
        <v>3.2075299999999913</v>
      </c>
    </row>
    <row r="59" spans="1:8" ht="35.25" customHeight="1">
      <c r="A59" s="16">
        <v>1162503001</v>
      </c>
      <c r="B59" s="262" t="s">
        <v>333</v>
      </c>
      <c r="C59" s="295">
        <v>140</v>
      </c>
      <c r="D59" s="361">
        <v>0.1</v>
      </c>
      <c r="E59" s="295">
        <f t="shared" si="0"/>
        <v>7.1428571428571425E-2</v>
      </c>
      <c r="F59" s="295">
        <f t="shared" si="1"/>
        <v>-139.9</v>
      </c>
    </row>
    <row r="60" spans="1:8" ht="21.75" customHeight="1">
      <c r="A60" s="16">
        <v>1162505001</v>
      </c>
      <c r="B60" s="262" t="s">
        <v>345</v>
      </c>
      <c r="C60" s="295">
        <v>20</v>
      </c>
      <c r="D60" s="361">
        <v>20</v>
      </c>
      <c r="E60" s="295">
        <f t="shared" si="0"/>
        <v>100</v>
      </c>
      <c r="F60" s="295">
        <f t="shared" si="1"/>
        <v>0</v>
      </c>
    </row>
    <row r="61" spans="1:8" ht="20.25" customHeight="1">
      <c r="A61" s="16">
        <v>1162506001</v>
      </c>
      <c r="B61" s="262" t="s">
        <v>269</v>
      </c>
      <c r="C61" s="295">
        <v>385</v>
      </c>
      <c r="D61" s="361">
        <v>66.060460000000006</v>
      </c>
      <c r="E61" s="295">
        <f t="shared" si="0"/>
        <v>17.158561038961039</v>
      </c>
      <c r="F61" s="295">
        <f t="shared" si="1"/>
        <v>-318.93953999999997</v>
      </c>
    </row>
    <row r="62" spans="1:8" ht="0.75" hidden="1" customHeight="1">
      <c r="A62" s="7">
        <v>1162700001</v>
      </c>
      <c r="B62" s="256" t="s">
        <v>249</v>
      </c>
      <c r="C62" s="295">
        <v>0</v>
      </c>
      <c r="D62" s="361">
        <v>0</v>
      </c>
      <c r="E62" s="295" t="e">
        <f t="shared" si="0"/>
        <v>#DIV/0!</v>
      </c>
      <c r="F62" s="295">
        <f t="shared" si="1"/>
        <v>0</v>
      </c>
    </row>
    <row r="63" spans="1:8" ht="37.5" customHeight="1">
      <c r="A63" s="7">
        <v>1162800001</v>
      </c>
      <c r="B63" s="256" t="s">
        <v>238</v>
      </c>
      <c r="C63" s="295">
        <v>370</v>
      </c>
      <c r="D63" s="361">
        <v>445.87344999999999</v>
      </c>
      <c r="E63" s="295">
        <f>SUM(D63/C63*100)</f>
        <v>120.50633783783783</v>
      </c>
      <c r="F63" s="295">
        <f>SUM(D63-C63)</f>
        <v>75.873449999999991</v>
      </c>
    </row>
    <row r="64" spans="1:8" ht="36" customHeight="1">
      <c r="A64" s="7">
        <v>1163003001</v>
      </c>
      <c r="B64" s="256" t="s">
        <v>270</v>
      </c>
      <c r="C64" s="295">
        <v>167</v>
      </c>
      <c r="D64" s="361">
        <v>479.5</v>
      </c>
      <c r="E64" s="295">
        <f>SUM(D64/C64*100)</f>
        <v>287.12574850299404</v>
      </c>
      <c r="F64" s="295">
        <f>SUM(D64-C64)</f>
        <v>312.5</v>
      </c>
    </row>
    <row r="65" spans="1:8" ht="56.25">
      <c r="A65" s="7">
        <v>1164300001</v>
      </c>
      <c r="B65" s="263" t="s">
        <v>262</v>
      </c>
      <c r="C65" s="295">
        <v>300</v>
      </c>
      <c r="D65" s="361">
        <v>266.40634</v>
      </c>
      <c r="E65" s="295">
        <f t="shared" si="0"/>
        <v>88.802113333333338</v>
      </c>
      <c r="F65" s="295">
        <f t="shared" si="1"/>
        <v>-33.59366</v>
      </c>
    </row>
    <row r="66" spans="1:8" ht="73.5" customHeight="1">
      <c r="A66" s="7">
        <v>1163305005</v>
      </c>
      <c r="B66" s="256" t="s">
        <v>17</v>
      </c>
      <c r="C66" s="295">
        <v>5135</v>
      </c>
      <c r="D66" s="361">
        <v>5120.5715399999999</v>
      </c>
      <c r="E66" s="295">
        <f t="shared" si="0"/>
        <v>99.719017332035051</v>
      </c>
      <c r="F66" s="295">
        <f t="shared" si="1"/>
        <v>-14.428460000000086</v>
      </c>
    </row>
    <row r="67" spans="1:8" ht="23.25">
      <c r="A67" s="7">
        <v>1163500000</v>
      </c>
      <c r="B67" s="256" t="s">
        <v>331</v>
      </c>
      <c r="C67" s="295">
        <v>0</v>
      </c>
      <c r="D67" s="361">
        <v>0</v>
      </c>
      <c r="E67" s="295" t="e">
        <f t="shared" si="0"/>
        <v>#DIV/0!</v>
      </c>
      <c r="F67" s="295">
        <f t="shared" si="1"/>
        <v>0</v>
      </c>
    </row>
    <row r="68" spans="1:8" ht="35.25" customHeight="1">
      <c r="A68" s="7">
        <v>1169000000</v>
      </c>
      <c r="B68" s="256" t="s">
        <v>237</v>
      </c>
      <c r="C68" s="295">
        <v>2595</v>
      </c>
      <c r="D68" s="361">
        <v>2317.7471799999998</v>
      </c>
      <c r="E68" s="295">
        <f t="shared" si="0"/>
        <v>89.315883622350668</v>
      </c>
      <c r="F68" s="295">
        <f t="shared" si="1"/>
        <v>-277.25282000000016</v>
      </c>
    </row>
    <row r="69" spans="1:8" ht="25.5" customHeight="1">
      <c r="A69" s="3">
        <v>1170000000</v>
      </c>
      <c r="B69" s="257" t="s">
        <v>135</v>
      </c>
      <c r="C69" s="294">
        <f>C70+C71</f>
        <v>0</v>
      </c>
      <c r="D69" s="294">
        <f>D70+D71</f>
        <v>2.4467400000000001</v>
      </c>
      <c r="E69" s="295" t="e">
        <f t="shared" si="0"/>
        <v>#DIV/0!</v>
      </c>
      <c r="F69" s="294">
        <f t="shared" si="1"/>
        <v>2.4467400000000001</v>
      </c>
    </row>
    <row r="70" spans="1:8" ht="23.25">
      <c r="A70" s="7">
        <v>1170105005</v>
      </c>
      <c r="B70" s="256" t="s">
        <v>18</v>
      </c>
      <c r="C70" s="295">
        <v>0</v>
      </c>
      <c r="D70" s="295">
        <v>2.4467400000000001</v>
      </c>
      <c r="E70" s="295" t="e">
        <f t="shared" si="0"/>
        <v>#DIV/0!</v>
      </c>
      <c r="F70" s="295">
        <f t="shared" si="1"/>
        <v>2.4467400000000001</v>
      </c>
    </row>
    <row r="71" spans="1:8" ht="23.25">
      <c r="A71" s="7">
        <v>1170505005</v>
      </c>
      <c r="B71" s="258" t="s">
        <v>221</v>
      </c>
      <c r="C71" s="295">
        <v>0</v>
      </c>
      <c r="D71" s="361">
        <v>0</v>
      </c>
      <c r="E71" s="295" t="e">
        <f t="shared" si="0"/>
        <v>#DIV/0!</v>
      </c>
      <c r="F71" s="295">
        <f t="shared" si="1"/>
        <v>0</v>
      </c>
    </row>
    <row r="72" spans="1:8" s="6" customFormat="1" ht="22.5">
      <c r="A72" s="3">
        <v>1000000000</v>
      </c>
      <c r="B72" s="255" t="s">
        <v>19</v>
      </c>
      <c r="C72" s="367">
        <f>SUM(C4,C32)</f>
        <v>159384.277</v>
      </c>
      <c r="D72" s="367">
        <f>SUM(D4,D32)</f>
        <v>123242.36574999998</v>
      </c>
      <c r="E72" s="294">
        <f>SUM(D72/C72*100)</f>
        <v>77.324042289315642</v>
      </c>
      <c r="F72" s="294">
        <f>SUM(D72-C72)</f>
        <v>-36141.911250000019</v>
      </c>
      <c r="G72" s="94"/>
      <c r="H72" s="94"/>
    </row>
    <row r="73" spans="1:8" s="6" customFormat="1" ht="30" customHeight="1">
      <c r="A73" s="3">
        <v>2000000000</v>
      </c>
      <c r="B73" s="255" t="s">
        <v>20</v>
      </c>
      <c r="C73" s="294">
        <f>C74+C77+C78+C79+C81+C76+C80</f>
        <v>591294.32116000005</v>
      </c>
      <c r="D73" s="294">
        <f>D74+D77+D78+D79+D81+D76+D80</f>
        <v>484886.71564999997</v>
      </c>
      <c r="E73" s="294">
        <f t="shared" si="0"/>
        <v>82.004290976235012</v>
      </c>
      <c r="F73" s="294">
        <f t="shared" si="1"/>
        <v>-106407.60551000008</v>
      </c>
      <c r="G73" s="94"/>
      <c r="H73" s="94"/>
    </row>
    <row r="74" spans="1:8" ht="21.75" customHeight="1">
      <c r="A74" s="16">
        <v>2021000000</v>
      </c>
      <c r="B74" s="259" t="s">
        <v>21</v>
      </c>
      <c r="C74" s="362">
        <v>12497.1</v>
      </c>
      <c r="D74" s="368">
        <v>9557.6</v>
      </c>
      <c r="E74" s="295">
        <f t="shared" si="0"/>
        <v>76.47854302198111</v>
      </c>
      <c r="F74" s="295">
        <f t="shared" si="1"/>
        <v>-2939.5</v>
      </c>
    </row>
    <row r="75" spans="1:8" ht="32.25" hidden="1" customHeight="1">
      <c r="A75" s="16">
        <v>2020100905</v>
      </c>
      <c r="B75" s="262" t="s">
        <v>276</v>
      </c>
      <c r="C75" s="362">
        <v>0</v>
      </c>
      <c r="D75" s="368">
        <v>0</v>
      </c>
      <c r="E75" s="295" t="e">
        <f t="shared" si="0"/>
        <v>#DIV/0!</v>
      </c>
      <c r="F75" s="295">
        <f t="shared" si="1"/>
        <v>0</v>
      </c>
    </row>
    <row r="76" spans="1:8" ht="21.75" customHeight="1">
      <c r="A76" s="16">
        <v>2020100310</v>
      </c>
      <c r="B76" s="259" t="s">
        <v>232</v>
      </c>
      <c r="C76" s="362">
        <v>17580</v>
      </c>
      <c r="D76" s="368">
        <v>15626.7</v>
      </c>
      <c r="E76" s="295">
        <f t="shared" si="0"/>
        <v>88.889078498293514</v>
      </c>
      <c r="F76" s="295">
        <f t="shared" si="1"/>
        <v>-1953.2999999999993</v>
      </c>
    </row>
    <row r="77" spans="1:8" ht="23.25">
      <c r="A77" s="16">
        <v>2022000000</v>
      </c>
      <c r="B77" s="259" t="s">
        <v>22</v>
      </c>
      <c r="C77" s="362">
        <v>211001.61233</v>
      </c>
      <c r="D77" s="361">
        <v>172653.70756000001</v>
      </c>
      <c r="E77" s="295">
        <f t="shared" si="0"/>
        <v>81.825776425809934</v>
      </c>
      <c r="F77" s="295">
        <f t="shared" si="1"/>
        <v>-38347.904769999994</v>
      </c>
    </row>
    <row r="78" spans="1:8" ht="23.25">
      <c r="A78" s="16">
        <v>2023000000</v>
      </c>
      <c r="B78" s="259" t="s">
        <v>23</v>
      </c>
      <c r="C78" s="362">
        <v>329567.17882999999</v>
      </c>
      <c r="D78" s="369">
        <v>271056.24849999999</v>
      </c>
      <c r="E78" s="295">
        <f t="shared" si="0"/>
        <v>82.246129442343047</v>
      </c>
      <c r="F78" s="295">
        <f t="shared" si="1"/>
        <v>-58510.930330000003</v>
      </c>
    </row>
    <row r="79" spans="1:8" ht="19.5" customHeight="1">
      <c r="A79" s="16">
        <v>2024000000</v>
      </c>
      <c r="B79" s="262" t="s">
        <v>24</v>
      </c>
      <c r="C79" s="362">
        <v>20652.650000000001</v>
      </c>
      <c r="D79" s="370">
        <v>15994.512000000001</v>
      </c>
      <c r="E79" s="295">
        <f t="shared" si="0"/>
        <v>77.445325418287723</v>
      </c>
      <c r="F79" s="295">
        <f t="shared" si="1"/>
        <v>-4658.1380000000008</v>
      </c>
    </row>
    <row r="80" spans="1:8" ht="23.25">
      <c r="A80" s="16">
        <v>2180500005</v>
      </c>
      <c r="B80" s="262" t="s">
        <v>325</v>
      </c>
      <c r="C80" s="362">
        <v>0</v>
      </c>
      <c r="D80" s="370">
        <v>366.96924000000001</v>
      </c>
      <c r="E80" s="295" t="e">
        <f t="shared" si="0"/>
        <v>#DIV/0!</v>
      </c>
      <c r="F80" s="295">
        <f t="shared" si="1"/>
        <v>366.96924000000001</v>
      </c>
    </row>
    <row r="81" spans="1:8" ht="22.5" customHeight="1">
      <c r="A81" s="7">
        <v>2196001005</v>
      </c>
      <c r="B81" s="258" t="s">
        <v>26</v>
      </c>
      <c r="C81" s="361">
        <v>-4.22</v>
      </c>
      <c r="D81" s="361">
        <v>-369.02165000000002</v>
      </c>
      <c r="E81" s="295">
        <f t="shared" si="0"/>
        <v>8744.5888625592434</v>
      </c>
      <c r="F81" s="295">
        <f>SUM(D81-C81)</f>
        <v>-364.80165</v>
      </c>
    </row>
    <row r="82" spans="1:8" s="6" customFormat="1" ht="56.25" hidden="1">
      <c r="A82" s="3">
        <v>3000000000</v>
      </c>
      <c r="B82" s="257" t="s">
        <v>27</v>
      </c>
      <c r="C82" s="364">
        <v>0</v>
      </c>
      <c r="D82" s="371">
        <v>0</v>
      </c>
      <c r="E82" s="295" t="e">
        <f t="shared" si="0"/>
        <v>#DIV/0!</v>
      </c>
      <c r="F82" s="294">
        <f t="shared" si="1"/>
        <v>0</v>
      </c>
    </row>
    <row r="83" spans="1:8" s="6" customFormat="1" ht="22.5" customHeight="1">
      <c r="A83" s="3"/>
      <c r="B83" s="255" t="s">
        <v>28</v>
      </c>
      <c r="C83" s="372">
        <f>C72+C73</f>
        <v>750678.59816000005</v>
      </c>
      <c r="D83" s="372">
        <f>D72+D73</f>
        <v>608129.08139999991</v>
      </c>
      <c r="E83" s="295">
        <f>SUM(D83/C83*100)</f>
        <v>81.010579346553186</v>
      </c>
      <c r="F83" s="294">
        <f>SUM(D84-C83)</f>
        <v>-750577.58319000015</v>
      </c>
      <c r="G83" s="323"/>
      <c r="H83" s="94"/>
    </row>
    <row r="84" spans="1:8" s="6" customFormat="1" ht="22.5">
      <c r="A84" s="3"/>
      <c r="B84" s="264" t="s">
        <v>321</v>
      </c>
      <c r="C84" s="406">
        <f>C83-C143</f>
        <v>-9930.6299999998882</v>
      </c>
      <c r="D84" s="294">
        <f>D83-D143</f>
        <v>101.01496999990195</v>
      </c>
      <c r="E84" s="296"/>
      <c r="F84" s="296"/>
      <c r="G84" s="94"/>
      <c r="H84" s="94"/>
    </row>
    <row r="85" spans="1:8" ht="23.25">
      <c r="A85" s="23"/>
      <c r="B85" s="24"/>
      <c r="C85" s="373"/>
      <c r="D85" s="373"/>
      <c r="E85" s="297"/>
      <c r="F85" s="297"/>
    </row>
    <row r="86" spans="1:8" ht="63">
      <c r="A86" s="28" t="s">
        <v>1</v>
      </c>
      <c r="B86" s="28" t="s">
        <v>29</v>
      </c>
      <c r="C86" s="298" t="s">
        <v>346</v>
      </c>
      <c r="D86" s="374" t="s">
        <v>415</v>
      </c>
      <c r="E86" s="298" t="s">
        <v>3</v>
      </c>
      <c r="F86" s="299" t="s">
        <v>4</v>
      </c>
    </row>
    <row r="87" spans="1:8" ht="22.5">
      <c r="A87" s="29">
        <v>1</v>
      </c>
      <c r="B87" s="28">
        <v>2</v>
      </c>
      <c r="C87" s="300">
        <v>3</v>
      </c>
      <c r="D87" s="300">
        <v>4</v>
      </c>
      <c r="E87" s="300">
        <v>5</v>
      </c>
      <c r="F87" s="300">
        <v>6</v>
      </c>
    </row>
    <row r="88" spans="1:8" s="6" customFormat="1" ht="22.5">
      <c r="A88" s="30" t="s">
        <v>30</v>
      </c>
      <c r="B88" s="265" t="s">
        <v>31</v>
      </c>
      <c r="C88" s="296">
        <f>SUM(C89:C95)</f>
        <v>41696.35959</v>
      </c>
      <c r="D88" s="296">
        <f>SUM(D89:D95)</f>
        <v>29555.020930000002</v>
      </c>
      <c r="E88" s="301">
        <f>SUM(D88/C88*100)</f>
        <v>70.881537910297936</v>
      </c>
      <c r="F88" s="301">
        <f>SUM(D88-C88)</f>
        <v>-12141.338659999998</v>
      </c>
    </row>
    <row r="89" spans="1:8" s="6" customFormat="1" ht="37.5">
      <c r="A89" s="35" t="s">
        <v>32</v>
      </c>
      <c r="B89" s="266" t="s">
        <v>33</v>
      </c>
      <c r="C89" s="375">
        <v>50</v>
      </c>
      <c r="D89" s="375">
        <v>6.7743000000000002</v>
      </c>
      <c r="E89" s="301">
        <f>SUM(D89/C89*100)</f>
        <v>13.5486</v>
      </c>
      <c r="F89" s="301">
        <f>SUM(D89-C89)</f>
        <v>-43.225700000000003</v>
      </c>
    </row>
    <row r="90" spans="1:8" ht="21.75" customHeight="1">
      <c r="A90" s="35" t="s">
        <v>34</v>
      </c>
      <c r="B90" s="267" t="s">
        <v>35</v>
      </c>
      <c r="C90" s="375">
        <v>22153.892</v>
      </c>
      <c r="D90" s="375">
        <v>17610.440480000001</v>
      </c>
      <c r="E90" s="302">
        <f t="shared" ref="E90:E143" si="5">SUM(D90/C90*100)</f>
        <v>79.491407108060301</v>
      </c>
      <c r="F90" s="302">
        <f t="shared" ref="F90:F143" si="6">SUM(D90-C90)</f>
        <v>-4543.4515199999987</v>
      </c>
    </row>
    <row r="91" spans="1:8" ht="19.5" customHeight="1">
      <c r="A91" s="35" t="s">
        <v>36</v>
      </c>
      <c r="B91" s="267" t="s">
        <v>37</v>
      </c>
      <c r="C91" s="375">
        <v>126.8</v>
      </c>
      <c r="D91" s="375">
        <v>0</v>
      </c>
      <c r="E91" s="302">
        <f t="shared" si="5"/>
        <v>0</v>
      </c>
      <c r="F91" s="302">
        <f t="shared" si="6"/>
        <v>-126.8</v>
      </c>
    </row>
    <row r="92" spans="1:8" ht="38.25" customHeight="1">
      <c r="A92" s="35" t="s">
        <v>38</v>
      </c>
      <c r="B92" s="267" t="s">
        <v>39</v>
      </c>
      <c r="C92" s="376">
        <v>5215.96</v>
      </c>
      <c r="D92" s="376">
        <v>4181.0005700000002</v>
      </c>
      <c r="E92" s="302">
        <f t="shared" si="5"/>
        <v>80.157834224188846</v>
      </c>
      <c r="F92" s="302">
        <f t="shared" si="6"/>
        <v>-1034.9594299999999</v>
      </c>
    </row>
    <row r="93" spans="1:8" ht="18.75" customHeight="1">
      <c r="A93" s="35" t="s">
        <v>40</v>
      </c>
      <c r="B93" s="267" t="s">
        <v>41</v>
      </c>
      <c r="C93" s="375">
        <v>90.55</v>
      </c>
      <c r="D93" s="375">
        <v>90.55</v>
      </c>
      <c r="E93" s="302">
        <f t="shared" si="5"/>
        <v>100</v>
      </c>
      <c r="F93" s="302">
        <f t="shared" si="6"/>
        <v>0</v>
      </c>
    </row>
    <row r="94" spans="1:8" ht="24.75" customHeight="1">
      <c r="A94" s="35" t="s">
        <v>42</v>
      </c>
      <c r="B94" s="267" t="s">
        <v>43</v>
      </c>
      <c r="C94" s="376">
        <v>930.13350000000003</v>
      </c>
      <c r="D94" s="376">
        <v>0</v>
      </c>
      <c r="E94" s="302">
        <f t="shared" si="5"/>
        <v>0</v>
      </c>
      <c r="F94" s="302">
        <f t="shared" si="6"/>
        <v>-930.13350000000003</v>
      </c>
    </row>
    <row r="95" spans="1:8" ht="24" customHeight="1">
      <c r="A95" s="35" t="s">
        <v>44</v>
      </c>
      <c r="B95" s="267" t="s">
        <v>45</v>
      </c>
      <c r="C95" s="375">
        <v>13129.024090000001</v>
      </c>
      <c r="D95" s="375">
        <v>7666.25558</v>
      </c>
      <c r="E95" s="302">
        <f t="shared" si="5"/>
        <v>58.391663595462248</v>
      </c>
      <c r="F95" s="302">
        <f t="shared" si="6"/>
        <v>-5462.7685100000008</v>
      </c>
    </row>
    <row r="96" spans="1:8" s="6" customFormat="1" ht="22.5">
      <c r="A96" s="41" t="s">
        <v>46</v>
      </c>
      <c r="B96" s="268" t="s">
        <v>47</v>
      </c>
      <c r="C96" s="296">
        <f>C97</f>
        <v>1781.5</v>
      </c>
      <c r="D96" s="296">
        <f>D97</f>
        <v>1781.5</v>
      </c>
      <c r="E96" s="301">
        <f t="shared" si="5"/>
        <v>100</v>
      </c>
      <c r="F96" s="301">
        <f t="shared" si="6"/>
        <v>0</v>
      </c>
    </row>
    <row r="97" spans="1:7" ht="23.25">
      <c r="A97" s="43" t="s">
        <v>48</v>
      </c>
      <c r="B97" s="269" t="s">
        <v>49</v>
      </c>
      <c r="C97" s="375">
        <v>1781.5</v>
      </c>
      <c r="D97" s="375">
        <v>1781.5</v>
      </c>
      <c r="E97" s="302">
        <f t="shared" si="5"/>
        <v>100</v>
      </c>
      <c r="F97" s="302">
        <f t="shared" si="6"/>
        <v>0</v>
      </c>
    </row>
    <row r="98" spans="1:7" s="6" customFormat="1" ht="21" customHeight="1">
      <c r="A98" s="30" t="s">
        <v>50</v>
      </c>
      <c r="B98" s="265" t="s">
        <v>51</v>
      </c>
      <c r="C98" s="296">
        <f>SUM(C100:C103)</f>
        <v>4702.1330000000007</v>
      </c>
      <c r="D98" s="296">
        <f>SUM(D100:D103)</f>
        <v>3753.4093300000004</v>
      </c>
      <c r="E98" s="301">
        <f t="shared" si="5"/>
        <v>79.823546675519381</v>
      </c>
      <c r="F98" s="301">
        <f t="shared" si="6"/>
        <v>-948.72367000000031</v>
      </c>
    </row>
    <row r="99" spans="1:7" ht="23.25" hidden="1">
      <c r="A99" s="35" t="s">
        <v>52</v>
      </c>
      <c r="B99" s="267" t="s">
        <v>53</v>
      </c>
      <c r="C99" s="375"/>
      <c r="D99" s="375"/>
      <c r="E99" s="302" t="e">
        <f t="shared" si="5"/>
        <v>#DIV/0!</v>
      </c>
      <c r="F99" s="302">
        <f t="shared" si="6"/>
        <v>0</v>
      </c>
    </row>
    <row r="100" spans="1:7" ht="23.25">
      <c r="A100" s="45" t="s">
        <v>54</v>
      </c>
      <c r="B100" s="267" t="s">
        <v>327</v>
      </c>
      <c r="C100" s="375">
        <v>1582.6</v>
      </c>
      <c r="D100" s="375">
        <v>1252.11707</v>
      </c>
      <c r="E100" s="302">
        <f t="shared" si="5"/>
        <v>79.117722102868697</v>
      </c>
      <c r="F100" s="302">
        <f t="shared" si="6"/>
        <v>-330.4829299999999</v>
      </c>
    </row>
    <row r="101" spans="1:7" ht="36.75" customHeight="1">
      <c r="A101" s="46" t="s">
        <v>56</v>
      </c>
      <c r="B101" s="270" t="s">
        <v>57</v>
      </c>
      <c r="C101" s="375">
        <v>3025.4830000000002</v>
      </c>
      <c r="D101" s="375">
        <v>2407.9555700000001</v>
      </c>
      <c r="E101" s="302">
        <f t="shared" si="5"/>
        <v>79.589129074597338</v>
      </c>
      <c r="F101" s="302">
        <f t="shared" si="6"/>
        <v>-617.52743000000009</v>
      </c>
    </row>
    <row r="102" spans="1:7" ht="21" customHeight="1">
      <c r="A102" s="46" t="s">
        <v>219</v>
      </c>
      <c r="B102" s="270" t="s">
        <v>220</v>
      </c>
      <c r="C102" s="375">
        <v>0</v>
      </c>
      <c r="D102" s="375">
        <v>0</v>
      </c>
      <c r="E102" s="302" t="e">
        <f t="shared" si="5"/>
        <v>#DIV/0!</v>
      </c>
      <c r="F102" s="302">
        <f t="shared" si="6"/>
        <v>0</v>
      </c>
    </row>
    <row r="103" spans="1:7" ht="34.5" customHeight="1">
      <c r="A103" s="46" t="s">
        <v>360</v>
      </c>
      <c r="B103" s="270" t="s">
        <v>361</v>
      </c>
      <c r="C103" s="377">
        <v>94.05</v>
      </c>
      <c r="D103" s="375">
        <v>93.336690000000004</v>
      </c>
      <c r="E103" s="302">
        <f t="shared" si="5"/>
        <v>99.241562998405115</v>
      </c>
      <c r="F103" s="302">
        <f t="shared" si="6"/>
        <v>-0.71330999999999278</v>
      </c>
    </row>
    <row r="104" spans="1:7" s="6" customFormat="1" ht="25.5" customHeight="1">
      <c r="A104" s="30" t="s">
        <v>58</v>
      </c>
      <c r="B104" s="265" t="s">
        <v>59</v>
      </c>
      <c r="C104" s="378">
        <f>SUM(C106:C108)</f>
        <v>163752.19899999999</v>
      </c>
      <c r="D104" s="378">
        <f>SUM(D106:D108)</f>
        <v>147377.78926999998</v>
      </c>
      <c r="E104" s="301">
        <f t="shared" si="5"/>
        <v>90.000494753661286</v>
      </c>
      <c r="F104" s="301">
        <f t="shared" si="6"/>
        <v>-16374.409730000014</v>
      </c>
    </row>
    <row r="105" spans="1:7" ht="0.75" hidden="1" customHeight="1">
      <c r="A105" s="35" t="s">
        <v>60</v>
      </c>
      <c r="B105" s="267" t="s">
        <v>61</v>
      </c>
      <c r="C105" s="379">
        <v>0</v>
      </c>
      <c r="D105" s="375">
        <v>0</v>
      </c>
      <c r="E105" s="302" t="e">
        <f t="shared" si="5"/>
        <v>#DIV/0!</v>
      </c>
      <c r="F105" s="302">
        <f t="shared" si="6"/>
        <v>0</v>
      </c>
    </row>
    <row r="106" spans="1:7" s="6" customFormat="1" ht="20.25" customHeight="1">
      <c r="A106" s="35" t="s">
        <v>60</v>
      </c>
      <c r="B106" s="267" t="s">
        <v>324</v>
      </c>
      <c r="C106" s="379">
        <v>112.1</v>
      </c>
      <c r="D106" s="375">
        <v>37.658000000000001</v>
      </c>
      <c r="E106" s="302">
        <f t="shared" si="5"/>
        <v>33.593220338983052</v>
      </c>
      <c r="F106" s="302">
        <f t="shared" si="6"/>
        <v>-74.441999999999993</v>
      </c>
      <c r="G106" s="50"/>
    </row>
    <row r="107" spans="1:7" ht="26.25" customHeight="1">
      <c r="A107" s="35" t="s">
        <v>64</v>
      </c>
      <c r="B107" s="267" t="s">
        <v>65</v>
      </c>
      <c r="C107" s="379">
        <v>162260.69899999999</v>
      </c>
      <c r="D107" s="375">
        <v>146197.54207</v>
      </c>
      <c r="E107" s="302">
        <f t="shared" si="5"/>
        <v>90.100401989516882</v>
      </c>
      <c r="F107" s="302">
        <f t="shared" si="6"/>
        <v>-16063.156929999997</v>
      </c>
    </row>
    <row r="108" spans="1:7" ht="38.25">
      <c r="A108" s="35" t="s">
        <v>66</v>
      </c>
      <c r="B108" s="267" t="s">
        <v>67</v>
      </c>
      <c r="C108" s="379">
        <v>1379.4</v>
      </c>
      <c r="D108" s="375">
        <v>1142.5891999999999</v>
      </c>
      <c r="E108" s="302">
        <f t="shared" si="5"/>
        <v>82.832332898361599</v>
      </c>
      <c r="F108" s="302">
        <f t="shared" si="6"/>
        <v>-236.8108000000002</v>
      </c>
    </row>
    <row r="109" spans="1:7" s="6" customFormat="1" ht="37.5">
      <c r="A109" s="30" t="s">
        <v>68</v>
      </c>
      <c r="B109" s="265" t="s">
        <v>69</v>
      </c>
      <c r="C109" s="296">
        <f>SUM(C110:C112)</f>
        <v>9408.2691699999996</v>
      </c>
      <c r="D109" s="296">
        <f>SUM(D110:D112)</f>
        <v>5588.1119199999994</v>
      </c>
      <c r="E109" s="301">
        <f t="shared" si="5"/>
        <v>59.395748771928467</v>
      </c>
      <c r="F109" s="301">
        <f t="shared" si="6"/>
        <v>-3820.1572500000002</v>
      </c>
    </row>
    <row r="110" spans="1:7" ht="23.25">
      <c r="A110" s="35" t="s">
        <v>70</v>
      </c>
      <c r="B110" s="271" t="s">
        <v>71</v>
      </c>
      <c r="C110" s="375">
        <v>1577.10176</v>
      </c>
      <c r="D110" s="375">
        <v>456.60453000000001</v>
      </c>
      <c r="E110" s="302">
        <f t="shared" si="5"/>
        <v>28.952128618510958</v>
      </c>
      <c r="F110" s="302">
        <f t="shared" si="6"/>
        <v>-1120.4972299999999</v>
      </c>
    </row>
    <row r="111" spans="1:7" ht="23.25" customHeight="1">
      <c r="A111" s="35" t="s">
        <v>72</v>
      </c>
      <c r="B111" s="271" t="s">
        <v>73</v>
      </c>
      <c r="C111" s="375">
        <v>7831.16741</v>
      </c>
      <c r="D111" s="375">
        <v>5131.5073899999998</v>
      </c>
      <c r="E111" s="302">
        <f t="shared" si="5"/>
        <v>65.526723173448289</v>
      </c>
      <c r="F111" s="302">
        <f t="shared" si="6"/>
        <v>-2699.6600200000003</v>
      </c>
    </row>
    <row r="112" spans="1:7" ht="19.5" customHeight="1">
      <c r="A112" s="35" t="s">
        <v>74</v>
      </c>
      <c r="B112" s="267" t="s">
        <v>75</v>
      </c>
      <c r="C112" s="375">
        <v>0</v>
      </c>
      <c r="D112" s="375">
        <v>0</v>
      </c>
      <c r="E112" s="302" t="e">
        <f t="shared" si="5"/>
        <v>#DIV/0!</v>
      </c>
      <c r="F112" s="302">
        <f t="shared" si="6"/>
        <v>0</v>
      </c>
    </row>
    <row r="113" spans="1:7" s="6" customFormat="1" ht="22.5">
      <c r="A113" s="30" t="s">
        <v>76</v>
      </c>
      <c r="B113" s="272" t="s">
        <v>77</v>
      </c>
      <c r="C113" s="378">
        <f>SUM(C114)</f>
        <v>51</v>
      </c>
      <c r="D113" s="378">
        <f>SUM(D114)</f>
        <v>51</v>
      </c>
      <c r="E113" s="301">
        <f t="shared" si="5"/>
        <v>100</v>
      </c>
      <c r="F113" s="301">
        <f t="shared" si="6"/>
        <v>0</v>
      </c>
    </row>
    <row r="114" spans="1:7" ht="38.25">
      <c r="A114" s="35" t="s">
        <v>78</v>
      </c>
      <c r="B114" s="271" t="s">
        <v>79</v>
      </c>
      <c r="C114" s="302">
        <v>51</v>
      </c>
      <c r="D114" s="376">
        <v>51</v>
      </c>
      <c r="E114" s="302">
        <f t="shared" si="5"/>
        <v>100</v>
      </c>
      <c r="F114" s="302">
        <f t="shared" si="6"/>
        <v>0</v>
      </c>
    </row>
    <row r="115" spans="1:7" s="6" customFormat="1" ht="22.5">
      <c r="A115" s="30" t="s">
        <v>80</v>
      </c>
      <c r="B115" s="272" t="s">
        <v>81</v>
      </c>
      <c r="C115" s="378">
        <f>SUM(C116:C120)</f>
        <v>416422.12072000001</v>
      </c>
      <c r="D115" s="378">
        <f>D116+D117+D119+D120+D118</f>
        <v>328915.77098000003</v>
      </c>
      <c r="E115" s="301">
        <f t="shared" si="5"/>
        <v>78.986142813763067</v>
      </c>
      <c r="F115" s="301">
        <f t="shared" si="6"/>
        <v>-87506.349739999976</v>
      </c>
    </row>
    <row r="116" spans="1:7" ht="23.25">
      <c r="A116" s="35" t="s">
        <v>82</v>
      </c>
      <c r="B116" s="271" t="s">
        <v>258</v>
      </c>
      <c r="C116" s="379">
        <v>95178.456980000003</v>
      </c>
      <c r="D116" s="375">
        <v>75626.019549999997</v>
      </c>
      <c r="E116" s="302">
        <f t="shared" si="5"/>
        <v>79.457076684791616</v>
      </c>
      <c r="F116" s="302">
        <f t="shared" si="6"/>
        <v>-19552.437430000005</v>
      </c>
    </row>
    <row r="117" spans="1:7" ht="23.25">
      <c r="A117" s="35" t="s">
        <v>83</v>
      </c>
      <c r="B117" s="271" t="s">
        <v>259</v>
      </c>
      <c r="C117" s="379">
        <v>290554.51791</v>
      </c>
      <c r="D117" s="375">
        <v>227746.12727999999</v>
      </c>
      <c r="E117" s="302">
        <f t="shared" si="5"/>
        <v>78.383268282389935</v>
      </c>
      <c r="F117" s="302">
        <f t="shared" si="6"/>
        <v>-62808.390630000009</v>
      </c>
    </row>
    <row r="118" spans="1:7" ht="23.25">
      <c r="A118" s="35" t="s">
        <v>335</v>
      </c>
      <c r="B118" s="271" t="s">
        <v>336</v>
      </c>
      <c r="C118" s="379">
        <v>18536.2</v>
      </c>
      <c r="D118" s="375">
        <v>14346.206</v>
      </c>
      <c r="E118" s="302">
        <f t="shared" si="5"/>
        <v>77.39561506673428</v>
      </c>
      <c r="F118" s="302">
        <f t="shared" si="6"/>
        <v>-4189.9940000000006</v>
      </c>
    </row>
    <row r="119" spans="1:7" ht="23.25">
      <c r="A119" s="35" t="s">
        <v>84</v>
      </c>
      <c r="B119" s="271" t="s">
        <v>260</v>
      </c>
      <c r="C119" s="379">
        <v>5413.2978000000003</v>
      </c>
      <c r="D119" s="375">
        <v>5030.7687400000004</v>
      </c>
      <c r="E119" s="302">
        <f t="shared" si="5"/>
        <v>92.933530093245565</v>
      </c>
      <c r="F119" s="302">
        <f t="shared" si="6"/>
        <v>-382.52905999999984</v>
      </c>
    </row>
    <row r="120" spans="1:7" ht="23.25">
      <c r="A120" s="35" t="s">
        <v>85</v>
      </c>
      <c r="B120" s="271" t="s">
        <v>261</v>
      </c>
      <c r="C120" s="379">
        <v>6739.6480300000003</v>
      </c>
      <c r="D120" s="375">
        <v>6166.64941</v>
      </c>
      <c r="E120" s="302">
        <f t="shared" si="5"/>
        <v>91.498092816576943</v>
      </c>
      <c r="F120" s="302">
        <f t="shared" si="6"/>
        <v>-572.9986200000003</v>
      </c>
    </row>
    <row r="121" spans="1:7" s="6" customFormat="1" ht="22.5">
      <c r="A121" s="30" t="s">
        <v>86</v>
      </c>
      <c r="B121" s="265" t="s">
        <v>87</v>
      </c>
      <c r="C121" s="296">
        <f>SUM(C122:C123)</f>
        <v>49256.203419999998</v>
      </c>
      <c r="D121" s="296">
        <f>SUM(D122:D123)</f>
        <v>39622.529570000006</v>
      </c>
      <c r="E121" s="301">
        <f t="shared" si="5"/>
        <v>80.441704432931729</v>
      </c>
      <c r="F121" s="301">
        <f t="shared" si="6"/>
        <v>-9633.6738499999919</v>
      </c>
    </row>
    <row r="122" spans="1:7" ht="23.25">
      <c r="A122" s="35" t="s">
        <v>88</v>
      </c>
      <c r="B122" s="267" t="s">
        <v>234</v>
      </c>
      <c r="C122" s="375">
        <v>48176.203419999998</v>
      </c>
      <c r="D122" s="375">
        <v>38822.491260000003</v>
      </c>
      <c r="E122" s="302">
        <f t="shared" si="5"/>
        <v>80.584372582342439</v>
      </c>
      <c r="F122" s="302">
        <f t="shared" si="6"/>
        <v>-9353.7121599999955</v>
      </c>
    </row>
    <row r="123" spans="1:7" ht="38.25">
      <c r="A123" s="35" t="s">
        <v>273</v>
      </c>
      <c r="B123" s="267" t="s">
        <v>274</v>
      </c>
      <c r="C123" s="375">
        <v>1080</v>
      </c>
      <c r="D123" s="375">
        <v>800.03831000000002</v>
      </c>
      <c r="E123" s="302">
        <f t="shared" si="5"/>
        <v>74.0776212962963</v>
      </c>
      <c r="F123" s="302">
        <f t="shared" si="6"/>
        <v>-279.96168999999998</v>
      </c>
    </row>
    <row r="124" spans="1:7" s="6" customFormat="1" ht="22.5">
      <c r="A124" s="52">
        <v>1000</v>
      </c>
      <c r="B124" s="265" t="s">
        <v>89</v>
      </c>
      <c r="C124" s="296">
        <f>SUM(C125:C128)</f>
        <v>31654.602459999998</v>
      </c>
      <c r="D124" s="395">
        <f>D125+D126+D127+D128</f>
        <v>16490.510690000003</v>
      </c>
      <c r="E124" s="301">
        <f t="shared" si="5"/>
        <v>52.095143860479887</v>
      </c>
      <c r="F124" s="301">
        <f t="shared" si="6"/>
        <v>-15164.091769999995</v>
      </c>
      <c r="G124" s="94"/>
    </row>
    <row r="125" spans="1:7" ht="23.25">
      <c r="A125" s="53">
        <v>1001</v>
      </c>
      <c r="B125" s="273" t="s">
        <v>90</v>
      </c>
      <c r="C125" s="375">
        <v>49.686999999999998</v>
      </c>
      <c r="D125" s="375">
        <v>34.810890000000001</v>
      </c>
      <c r="E125" s="302">
        <f t="shared" si="5"/>
        <v>70.060357840078908</v>
      </c>
      <c r="F125" s="302">
        <f t="shared" si="6"/>
        <v>-14.876109999999997</v>
      </c>
    </row>
    <row r="126" spans="1:7" ht="23.25">
      <c r="A126" s="53">
        <v>1003</v>
      </c>
      <c r="B126" s="273" t="s">
        <v>91</v>
      </c>
      <c r="C126" s="375">
        <v>26410.543389999999</v>
      </c>
      <c r="D126" s="375">
        <v>14786.92762</v>
      </c>
      <c r="E126" s="302">
        <f t="shared" si="5"/>
        <v>55.988729204257396</v>
      </c>
      <c r="F126" s="302">
        <f t="shared" si="6"/>
        <v>-11623.615769999999</v>
      </c>
    </row>
    <row r="127" spans="1:7" ht="23.25">
      <c r="A127" s="53">
        <v>1004</v>
      </c>
      <c r="B127" s="273" t="s">
        <v>92</v>
      </c>
      <c r="C127" s="375">
        <v>4817.8770699999995</v>
      </c>
      <c r="D127" s="396">
        <v>1578.6525799999999</v>
      </c>
      <c r="E127" s="302">
        <f t="shared" si="5"/>
        <v>32.766559981988088</v>
      </c>
      <c r="F127" s="302">
        <f t="shared" si="6"/>
        <v>-3239.2244899999996</v>
      </c>
    </row>
    <row r="128" spans="1:7" ht="24.75" customHeight="1">
      <c r="A128" s="35" t="s">
        <v>93</v>
      </c>
      <c r="B128" s="267" t="s">
        <v>94</v>
      </c>
      <c r="C128" s="375">
        <v>376.495</v>
      </c>
      <c r="D128" s="375">
        <v>90.119600000000005</v>
      </c>
      <c r="E128" s="302">
        <f t="shared" si="5"/>
        <v>23.936466619742628</v>
      </c>
      <c r="F128" s="302">
        <f t="shared" si="6"/>
        <v>-286.37540000000001</v>
      </c>
    </row>
    <row r="129" spans="1:7" ht="23.25">
      <c r="A129" s="30" t="s">
        <v>95</v>
      </c>
      <c r="B129" s="265" t="s">
        <v>96</v>
      </c>
      <c r="C129" s="296">
        <f>C130+C131</f>
        <v>5673.5628100000004</v>
      </c>
      <c r="D129" s="296">
        <f>D130+D131</f>
        <v>5068.9005999999999</v>
      </c>
      <c r="E129" s="302">
        <f t="shared" si="5"/>
        <v>89.342460280262586</v>
      </c>
      <c r="F129" s="296">
        <f>F130+F131+F132+F133+F134</f>
        <v>-604.66220999999996</v>
      </c>
    </row>
    <row r="130" spans="1:7" ht="23.25">
      <c r="A130" s="35" t="s">
        <v>97</v>
      </c>
      <c r="B130" s="267" t="s">
        <v>98</v>
      </c>
      <c r="C130" s="375">
        <v>400</v>
      </c>
      <c r="D130" s="375">
        <v>311.86939999999998</v>
      </c>
      <c r="E130" s="302">
        <f t="shared" si="5"/>
        <v>77.967349999999996</v>
      </c>
      <c r="F130" s="302">
        <f t="shared" ref="F130:F138" si="7">SUM(D130-C130)</f>
        <v>-88.130600000000015</v>
      </c>
    </row>
    <row r="131" spans="1:7" ht="20.25" customHeight="1">
      <c r="A131" s="35" t="s">
        <v>99</v>
      </c>
      <c r="B131" s="267" t="s">
        <v>100</v>
      </c>
      <c r="C131" s="375">
        <v>5273.5628100000004</v>
      </c>
      <c r="D131" s="375">
        <v>4757.0312000000004</v>
      </c>
      <c r="E131" s="302">
        <f t="shared" si="5"/>
        <v>90.205262957700512</v>
      </c>
      <c r="F131" s="302">
        <f t="shared" si="7"/>
        <v>-516.53161</v>
      </c>
    </row>
    <row r="132" spans="1:7" ht="15.75" hidden="1" customHeight="1">
      <c r="A132" s="35" t="s">
        <v>101</v>
      </c>
      <c r="B132" s="267" t="s">
        <v>102</v>
      </c>
      <c r="C132" s="375">
        <f>SUM(C122:C123)</f>
        <v>49256.203419999998</v>
      </c>
      <c r="D132" s="375"/>
      <c r="E132" s="302">
        <f t="shared" si="5"/>
        <v>0</v>
      </c>
      <c r="F132" s="302"/>
    </row>
    <row r="133" spans="1:7" ht="15.75" hidden="1" customHeight="1">
      <c r="A133" s="35" t="s">
        <v>103</v>
      </c>
      <c r="B133" s="267" t="s">
        <v>104</v>
      </c>
      <c r="C133" s="375"/>
      <c r="D133" s="375"/>
      <c r="E133" s="302" t="e">
        <f t="shared" si="5"/>
        <v>#DIV/0!</v>
      </c>
      <c r="F133" s="302"/>
    </row>
    <row r="134" spans="1:7" ht="15.75" hidden="1" customHeight="1">
      <c r="A134" s="35" t="s">
        <v>105</v>
      </c>
      <c r="B134" s="267" t="s">
        <v>106</v>
      </c>
      <c r="C134" s="375"/>
      <c r="D134" s="375"/>
      <c r="E134" s="302" t="e">
        <f t="shared" si="5"/>
        <v>#DIV/0!</v>
      </c>
      <c r="F134" s="302"/>
    </row>
    <row r="135" spans="1:7" ht="20.25" customHeight="1">
      <c r="A135" s="30" t="s">
        <v>107</v>
      </c>
      <c r="B135" s="265" t="s">
        <v>108</v>
      </c>
      <c r="C135" s="296">
        <f>C136</f>
        <v>80</v>
      </c>
      <c r="D135" s="397">
        <f>D136</f>
        <v>3.09</v>
      </c>
      <c r="E135" s="302">
        <f>SUM(D135/C135*100)</f>
        <v>3.8624999999999998</v>
      </c>
      <c r="F135" s="302">
        <f t="shared" si="7"/>
        <v>-76.91</v>
      </c>
    </row>
    <row r="136" spans="1:7" ht="22.5" customHeight="1">
      <c r="A136" s="35" t="s">
        <v>109</v>
      </c>
      <c r="B136" s="267" t="s">
        <v>110</v>
      </c>
      <c r="C136" s="375">
        <v>80</v>
      </c>
      <c r="D136" s="375">
        <v>3.09</v>
      </c>
      <c r="E136" s="302">
        <f t="shared" si="5"/>
        <v>3.8624999999999998</v>
      </c>
      <c r="F136" s="302">
        <f t="shared" si="7"/>
        <v>-76.91</v>
      </c>
    </row>
    <row r="137" spans="1:7" ht="19.5" hidden="1" customHeight="1">
      <c r="A137" s="30" t="s">
        <v>111</v>
      </c>
      <c r="B137" s="268" t="s">
        <v>112</v>
      </c>
      <c r="C137" s="380">
        <f>C138</f>
        <v>0</v>
      </c>
      <c r="D137" s="380">
        <v>0</v>
      </c>
      <c r="E137" s="302" t="e">
        <f t="shared" si="5"/>
        <v>#DIV/0!</v>
      </c>
      <c r="F137" s="301">
        <f t="shared" si="7"/>
        <v>0</v>
      </c>
    </row>
    <row r="138" spans="1:7" ht="37.5" hidden="1" customHeight="1">
      <c r="A138" s="35" t="s">
        <v>113</v>
      </c>
      <c r="B138" s="269" t="s">
        <v>114</v>
      </c>
      <c r="C138" s="376">
        <v>0</v>
      </c>
      <c r="D138" s="376">
        <v>0</v>
      </c>
      <c r="E138" s="301"/>
      <c r="F138" s="302">
        <f t="shared" si="7"/>
        <v>0</v>
      </c>
    </row>
    <row r="139" spans="1:7" s="6" customFormat="1" ht="19.5" customHeight="1">
      <c r="A139" s="52">
        <v>1400</v>
      </c>
      <c r="B139" s="274" t="s">
        <v>115</v>
      </c>
      <c r="C139" s="378">
        <f>C140+C141+C142</f>
        <v>36131.277990000002</v>
      </c>
      <c r="D139" s="378">
        <f>D140+D141+D142</f>
        <v>29820.433140000001</v>
      </c>
      <c r="E139" s="301">
        <f t="shared" si="5"/>
        <v>82.533568694285748</v>
      </c>
      <c r="F139" s="301">
        <f t="shared" si="6"/>
        <v>-6310.8448500000013</v>
      </c>
    </row>
    <row r="140" spans="1:7" ht="40.5" customHeight="1">
      <c r="A140" s="53">
        <v>1401</v>
      </c>
      <c r="B140" s="273" t="s">
        <v>116</v>
      </c>
      <c r="C140" s="379">
        <v>28169.9</v>
      </c>
      <c r="D140" s="375">
        <v>25034.207999999999</v>
      </c>
      <c r="E140" s="302">
        <f t="shared" si="5"/>
        <v>88.868643481162508</v>
      </c>
      <c r="F140" s="302">
        <f t="shared" si="6"/>
        <v>-3135.6920000000027</v>
      </c>
    </row>
    <row r="141" spans="1:7" ht="24.75" customHeight="1">
      <c r="A141" s="53">
        <v>1402</v>
      </c>
      <c r="B141" s="273" t="s">
        <v>117</v>
      </c>
      <c r="C141" s="379">
        <v>6334.8720999999996</v>
      </c>
      <c r="D141" s="375">
        <v>3829.8541</v>
      </c>
      <c r="E141" s="302">
        <f t="shared" si="5"/>
        <v>60.456691777565652</v>
      </c>
      <c r="F141" s="302">
        <f t="shared" si="6"/>
        <v>-2505.0179999999996</v>
      </c>
    </row>
    <row r="142" spans="1:7" ht="27" customHeight="1">
      <c r="A142" s="53">
        <v>1403</v>
      </c>
      <c r="B142" s="273" t="s">
        <v>118</v>
      </c>
      <c r="C142" s="379">
        <v>1626.5058899999999</v>
      </c>
      <c r="D142" s="375">
        <v>956.37103999999999</v>
      </c>
      <c r="E142" s="302">
        <f t="shared" si="5"/>
        <v>58.799113232845414</v>
      </c>
      <c r="F142" s="302">
        <f t="shared" si="6"/>
        <v>-670.13484999999991</v>
      </c>
    </row>
    <row r="143" spans="1:7" s="6" customFormat="1" ht="22.5">
      <c r="A143" s="52"/>
      <c r="B143" s="275" t="s">
        <v>119</v>
      </c>
      <c r="C143" s="372">
        <f>C88+C96+C98+C104+C109+C113+C115+C121+C124+C129+C135+C137+C139</f>
        <v>760609.22815999994</v>
      </c>
      <c r="D143" s="372">
        <f>D88+D96+D98+D104+D109+D113+D115+D121+D124+D129+D135+D137+D139</f>
        <v>608028.06643000001</v>
      </c>
      <c r="E143" s="301">
        <f t="shared" si="5"/>
        <v>79.939612079239282</v>
      </c>
      <c r="F143" s="301">
        <f t="shared" si="6"/>
        <v>-152581.16172999993</v>
      </c>
      <c r="G143" s="94"/>
    </row>
    <row r="144" spans="1:7">
      <c r="C144" s="381"/>
      <c r="D144" s="382"/>
    </row>
    <row r="145" spans="1:4" s="65" customFormat="1" ht="12.75">
      <c r="A145" s="63" t="s">
        <v>120</v>
      </c>
      <c r="B145" s="63"/>
      <c r="C145" s="134"/>
      <c r="D145" s="134"/>
    </row>
    <row r="146" spans="1:4" s="65" customFormat="1" ht="12.75">
      <c r="A146" s="66" t="s">
        <v>121</v>
      </c>
      <c r="B146" s="66"/>
      <c r="C146" s="134" t="s">
        <v>122</v>
      </c>
      <c r="D146" s="134"/>
    </row>
  </sheetData>
  <customSheetViews>
    <customSheetView guid="{8E17DC23-BE06-48DD-840B-6DD85B9E86D1}" scale="60" showPageBreaks="1" hiddenRows="1" view="pageBreakPreview" topLeftCell="A128">
      <selection activeCell="C83" sqref="C83:D84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1"/>
      <headerFooter alignWithMargins="0"/>
    </customSheetView>
    <customSheetView guid="{5BFCA170-DEAE-4D2C-98A0-1E68B427AC01}" scale="67" showPageBreaks="1" hiddenRows="1" view="pageBreakPreview" topLeftCell="A106">
      <selection activeCell="D142" sqref="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2"/>
      <headerFooter alignWithMargins="0"/>
    </customSheetView>
    <customSheetView guid="{3DCB9AAA-F09C-4EA6-B992-F93E466D374A}" scale="67" showPageBreaks="1" fitToPage="1" hiddenRows="1" view="pageBreakPreview" topLeftCell="A115">
      <selection activeCell="D87" sqref="D87:D142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47" fitToHeight="2" orientation="portrait" r:id="rId3"/>
      <headerFooter alignWithMargins="0"/>
    </customSheetView>
    <customSheetView guid="{1718F1EE-9F48-4DBE-9531-3B70F9C4A5DD}" scale="60" showPageBreaks="1" hiddenRows="1" view="pageBreakPreview" topLeftCell="A66">
      <selection activeCell="D77" sqref="D77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4"/>
      <headerFooter alignWithMargins="0"/>
    </customSheetView>
    <customSheetView guid="{42584DC0-1D41-4C93-9B38-C388E7B8DAC4}" scale="67" showPageBreaks="1" hiddenRows="1" view="pageBreakPreview" topLeftCell="A67">
      <selection activeCell="D86" sqref="D86"/>
      <rowBreaks count="1" manualBreakCount="1">
        <brk id="69" max="5" man="1"/>
      </rowBreaks>
      <pageMargins left="0.59055118110236227" right="0.55118110236220474" top="0.15748031496062992" bottom="0.15748031496062992" header="0.15748031496062992" footer="0.27559055118110237"/>
      <pageSetup paperSize="9" scale="45" orientation="portrait" r:id="rId5"/>
      <headerFooter alignWithMargins="0"/>
    </customSheetView>
    <customSheetView guid="{B30CE22D-C12F-4E12-8BB9-3AAE0A6991CC}" scale="60" showPageBreaks="1" hiddenRows="1" view="pageBreakPreview">
      <selection activeCell="A3" sqref="A3"/>
      <rowBreaks count="1" manualBreakCount="1">
        <brk id="83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6"/>
      <headerFooter alignWithMargins="0"/>
    </customSheetView>
    <customSheetView guid="{A54C432C-6C68-4B53-A75C-446EB3A61B2B}" scale="60" showPageBreaks="1" hiddenRows="1" view="pageBreakPreview" topLeftCell="A128">
      <selection activeCell="C83" sqref="C83:D84"/>
      <rowBreaks count="1" manualBreakCount="1">
        <brk id="84" max="16383" man="1"/>
      </rowBreaks>
      <pageMargins left="0.59055118110236227" right="0.55118110236220474" top="0.15748031496062992" bottom="0.15748031496062992" header="0.15748031496062992" footer="0.27559055118110237"/>
      <pageSetup paperSize="9" scale="39" orientation="portrait" r:id="rId7"/>
      <headerFooter alignWithMargins="0"/>
    </customSheetView>
  </customSheetViews>
  <mergeCells count="2">
    <mergeCell ref="A1:F1"/>
    <mergeCell ref="A2:F2"/>
  </mergeCells>
  <phoneticPr fontId="0" type="noConversion"/>
  <pageMargins left="0.59055118110236227" right="0.55118110236220474" top="0.15748031496062992" bottom="0.15748031496062992" header="0.15748031496062992" footer="0.27559055118110237"/>
  <pageSetup paperSize="9" scale="39" orientation="portrait" r:id="rId8"/>
  <headerFooter alignWithMargins="0"/>
  <rowBreaks count="1" manualBreakCount="1">
    <brk id="8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K141"/>
  <sheetViews>
    <sheetView view="pageBreakPreview" topLeftCell="A61" zoomScale="70" zoomScaleNormal="100" zoomScaleSheetLayoutView="70" workbookViewId="0">
      <selection activeCell="C93" activeCellId="1" sqref="C47:D48 C93:D93"/>
    </sheetView>
  </sheetViews>
  <sheetFormatPr defaultRowHeight="15.75"/>
  <cols>
    <col min="1" max="1" width="14.7109375" style="58" customWidth="1"/>
    <col min="2" max="2" width="57.5703125" style="59" customWidth="1"/>
    <col min="3" max="3" width="18" style="62" customWidth="1"/>
    <col min="4" max="4" width="17" style="62" customWidth="1"/>
    <col min="5" max="5" width="12" style="62" customWidth="1"/>
    <col min="6" max="6" width="10.5703125" style="62" customWidth="1"/>
    <col min="7" max="7" width="15.42578125" style="1" bestFit="1" customWidth="1"/>
    <col min="8" max="8" width="14.85546875" style="1" customWidth="1"/>
    <col min="9" max="10" width="9.140625" style="1" customWidth="1"/>
    <col min="11" max="11" width="11.7109375" style="1" bestFit="1" customWidth="1"/>
    <col min="12" max="16384" width="9.140625" style="1"/>
  </cols>
  <sheetData>
    <row r="1" spans="1:6">
      <c r="A1" s="459" t="s">
        <v>417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C5+C7+C12+C14+C17+C20</f>
        <v>546.89</v>
      </c>
      <c r="D4" s="5">
        <f>D5+D12+D14+D17+D20+D7</f>
        <v>426.41254999999995</v>
      </c>
      <c r="E4" s="5">
        <f>SUM(D4/C4*100)</f>
        <v>77.970441953592129</v>
      </c>
      <c r="F4" s="5">
        <f>SUM(D4-C4)</f>
        <v>-120.47745000000003</v>
      </c>
    </row>
    <row r="5" spans="1:6" s="6" customFormat="1">
      <c r="A5" s="68">
        <v>1010000000</v>
      </c>
      <c r="B5" s="67" t="s">
        <v>6</v>
      </c>
      <c r="C5" s="5">
        <f>C6</f>
        <v>69</v>
      </c>
      <c r="D5" s="5">
        <f>D6</f>
        <v>59.756959999999999</v>
      </c>
      <c r="E5" s="5">
        <f t="shared" ref="E5:E47" si="0">SUM(D5/C5*100)</f>
        <v>86.604289855072452</v>
      </c>
      <c r="F5" s="5">
        <f t="shared" ref="F5:F47" si="1">SUM(D5-C5)</f>
        <v>-9.2430400000000006</v>
      </c>
    </row>
    <row r="6" spans="1:6">
      <c r="A6" s="7">
        <v>1010200001</v>
      </c>
      <c r="B6" s="8" t="s">
        <v>229</v>
      </c>
      <c r="C6" s="9">
        <v>69</v>
      </c>
      <c r="D6" s="10">
        <v>59.756959999999999</v>
      </c>
      <c r="E6" s="9">
        <f t="shared" ref="E6:E11" si="2">SUM(D6/C6*100)</f>
        <v>86.604289855072452</v>
      </c>
      <c r="F6" s="9">
        <f t="shared" si="1"/>
        <v>-9.2430400000000006</v>
      </c>
    </row>
    <row r="7" spans="1:6" ht="31.5">
      <c r="A7" s="3">
        <v>1030000000</v>
      </c>
      <c r="B7" s="13" t="s">
        <v>281</v>
      </c>
      <c r="C7" s="5">
        <f>C8+C10+C9</f>
        <v>219.89</v>
      </c>
      <c r="D7" s="5">
        <f>D8+D10+D9+D11</f>
        <v>192.17241999999999</v>
      </c>
      <c r="E7" s="9">
        <f t="shared" si="2"/>
        <v>87.394797398699353</v>
      </c>
      <c r="F7" s="9">
        <f t="shared" si="1"/>
        <v>-27.717579999999998</v>
      </c>
    </row>
    <row r="8" spans="1:6">
      <c r="A8" s="7">
        <v>1030223001</v>
      </c>
      <c r="B8" s="8" t="s">
        <v>283</v>
      </c>
      <c r="C8" s="9">
        <v>82.02</v>
      </c>
      <c r="D8" s="10">
        <v>84.763149999999996</v>
      </c>
      <c r="E8" s="9">
        <f t="shared" si="2"/>
        <v>103.34448914898806</v>
      </c>
      <c r="F8" s="9">
        <f t="shared" si="1"/>
        <v>2.74315</v>
      </c>
    </row>
    <row r="9" spans="1:6">
      <c r="A9" s="7">
        <v>1030224001</v>
      </c>
      <c r="B9" s="8" t="s">
        <v>287</v>
      </c>
      <c r="C9" s="9">
        <v>0.88</v>
      </c>
      <c r="D9" s="10">
        <v>0.78644000000000003</v>
      </c>
      <c r="E9" s="9">
        <f t="shared" si="2"/>
        <v>89.368181818181824</v>
      </c>
      <c r="F9" s="9">
        <f t="shared" si="1"/>
        <v>-9.3559999999999977E-2</v>
      </c>
    </row>
    <row r="10" spans="1:6">
      <c r="A10" s="7">
        <v>1030225001</v>
      </c>
      <c r="B10" s="8" t="s">
        <v>282</v>
      </c>
      <c r="C10" s="9">
        <v>136.99</v>
      </c>
      <c r="D10" s="10">
        <v>125.76927999999999</v>
      </c>
      <c r="E10" s="9">
        <f t="shared" si="2"/>
        <v>91.809095554420011</v>
      </c>
      <c r="F10" s="9">
        <f t="shared" si="1"/>
        <v>-11.220720000000014</v>
      </c>
    </row>
    <row r="11" spans="1:6">
      <c r="A11" s="7">
        <v>1030226001</v>
      </c>
      <c r="B11" s="8" t="s">
        <v>288</v>
      </c>
      <c r="C11" s="9">
        <v>0</v>
      </c>
      <c r="D11" s="10">
        <v>-19.146450000000002</v>
      </c>
      <c r="E11" s="9" t="e">
        <f t="shared" si="2"/>
        <v>#DIV/0!</v>
      </c>
      <c r="F11" s="9">
        <f t="shared" si="1"/>
        <v>-19.146450000000002</v>
      </c>
    </row>
    <row r="12" spans="1:6" s="6" customFormat="1">
      <c r="A12" s="68">
        <v>1050000000</v>
      </c>
      <c r="B12" s="67" t="s">
        <v>7</v>
      </c>
      <c r="C12" s="5">
        <f>C13</f>
        <v>5</v>
      </c>
      <c r="D12" s="5">
        <f>D13</f>
        <v>0</v>
      </c>
      <c r="E12" s="5">
        <f t="shared" si="0"/>
        <v>0</v>
      </c>
      <c r="F12" s="5">
        <f t="shared" si="1"/>
        <v>-5</v>
      </c>
    </row>
    <row r="13" spans="1:6" ht="15.75" customHeight="1">
      <c r="A13" s="7">
        <v>1050300000</v>
      </c>
      <c r="B13" s="11" t="s">
        <v>230</v>
      </c>
      <c r="C13" s="12">
        <v>5</v>
      </c>
      <c r="D13" s="10">
        <v>0</v>
      </c>
      <c r="E13" s="9">
        <f t="shared" si="0"/>
        <v>0</v>
      </c>
      <c r="F13" s="9">
        <f t="shared" si="1"/>
        <v>-5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250</v>
      </c>
      <c r="D14" s="5">
        <f>D15+D16</f>
        <v>170.28316999999998</v>
      </c>
      <c r="E14" s="5">
        <f t="shared" si="0"/>
        <v>68.113267999999991</v>
      </c>
      <c r="F14" s="5">
        <f t="shared" si="1"/>
        <v>-79.716830000000016</v>
      </c>
    </row>
    <row r="15" spans="1:6" s="6" customFormat="1" ht="15.75" customHeight="1">
      <c r="A15" s="7">
        <v>1060100000</v>
      </c>
      <c r="B15" s="11" t="s">
        <v>9</v>
      </c>
      <c r="C15" s="9">
        <v>40</v>
      </c>
      <c r="D15" s="10">
        <v>24.59571</v>
      </c>
      <c r="E15" s="9">
        <f t="shared" si="0"/>
        <v>61.489274999999999</v>
      </c>
      <c r="F15" s="9">
        <f>SUM(D15-C15)</f>
        <v>-15.40429</v>
      </c>
    </row>
    <row r="16" spans="1:6" ht="15" customHeight="1">
      <c r="A16" s="7">
        <v>1060600000</v>
      </c>
      <c r="B16" s="11" t="s">
        <v>8</v>
      </c>
      <c r="C16" s="9">
        <v>210</v>
      </c>
      <c r="D16" s="10">
        <v>145.68745999999999</v>
      </c>
      <c r="E16" s="9">
        <f t="shared" si="0"/>
        <v>69.374980952380952</v>
      </c>
      <c r="F16" s="9">
        <f t="shared" si="1"/>
        <v>-64.312540000000013</v>
      </c>
    </row>
    <row r="17" spans="1:6" s="6" customFormat="1" ht="15" customHeight="1">
      <c r="A17" s="3">
        <v>1080000000</v>
      </c>
      <c r="B17" s="4" t="s">
        <v>11</v>
      </c>
      <c r="C17" s="5">
        <f>C18</f>
        <v>3</v>
      </c>
      <c r="D17" s="5">
        <f>D18</f>
        <v>4.2</v>
      </c>
      <c r="E17" s="9">
        <f t="shared" si="0"/>
        <v>140</v>
      </c>
      <c r="F17" s="5">
        <f t="shared" si="1"/>
        <v>1.2000000000000002</v>
      </c>
    </row>
    <row r="18" spans="1:6" ht="18.75" customHeight="1">
      <c r="A18" s="7">
        <v>1080402001</v>
      </c>
      <c r="B18" s="8" t="s">
        <v>228</v>
      </c>
      <c r="C18" s="9">
        <v>3</v>
      </c>
      <c r="D18" s="10">
        <v>4.2</v>
      </c>
      <c r="E18" s="9">
        <f t="shared" si="0"/>
        <v>140</v>
      </c>
      <c r="F18" s="9">
        <f t="shared" si="1"/>
        <v>1.2000000000000002</v>
      </c>
    </row>
    <row r="19" spans="1:6" ht="15" hidden="1" customHeight="1">
      <c r="A19" s="7">
        <v>1080714001</v>
      </c>
      <c r="B19" s="8" t="s">
        <v>227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7.25" hidden="1" customHeight="1">
      <c r="A20" s="68">
        <v>1090000000</v>
      </c>
      <c r="B20" s="69" t="s">
        <v>231</v>
      </c>
      <c r="C20" s="5"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7.25" hidden="1" customHeight="1">
      <c r="A22" s="7">
        <v>1090400000</v>
      </c>
      <c r="B22" s="8" t="s">
        <v>126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2.2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8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C26+C31+C34+C29</f>
        <v>56</v>
      </c>
      <c r="D25" s="5">
        <f>D26+D31+D34+D29</f>
        <v>0</v>
      </c>
      <c r="E25" s="5">
        <f t="shared" si="0"/>
        <v>0</v>
      </c>
      <c r="F25" s="5">
        <f t="shared" si="1"/>
        <v>-56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56</v>
      </c>
      <c r="D26" s="5">
        <f>D27+D28</f>
        <v>0</v>
      </c>
      <c r="E26" s="5">
        <f t="shared" si="0"/>
        <v>0</v>
      </c>
      <c r="F26" s="5">
        <f t="shared" si="1"/>
        <v>-56</v>
      </c>
    </row>
    <row r="27" spans="1:6" ht="20.25" customHeight="1">
      <c r="A27" s="16">
        <v>1110502000</v>
      </c>
      <c r="B27" s="17" t="s">
        <v>226</v>
      </c>
      <c r="C27" s="12">
        <v>56</v>
      </c>
      <c r="D27" s="10">
        <v>0</v>
      </c>
      <c r="E27" s="9">
        <f t="shared" si="0"/>
        <v>0</v>
      </c>
      <c r="F27" s="9">
        <f t="shared" si="1"/>
        <v>-56</v>
      </c>
    </row>
    <row r="28" spans="1:6" hidden="1">
      <c r="A28" s="7">
        <v>1110503505</v>
      </c>
      <c r="B28" s="11" t="s">
        <v>225</v>
      </c>
      <c r="C28" s="12">
        <v>0</v>
      </c>
      <c r="D28" s="10">
        <v>0</v>
      </c>
      <c r="E28" s="9" t="e">
        <f t="shared" si="0"/>
        <v>#DIV/0!</v>
      </c>
      <c r="F28" s="9">
        <f t="shared" si="1"/>
        <v>0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9" t="e">
        <f t="shared" si="0"/>
        <v>#DIV/0!</v>
      </c>
      <c r="F29" s="5">
        <f t="shared" si="1"/>
        <v>0</v>
      </c>
    </row>
    <row r="30" spans="1:6" ht="17.25" hidden="1" customHeight="1">
      <c r="A30" s="7">
        <v>1130200000</v>
      </c>
      <c r="B30" s="8" t="s">
        <v>224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19.5" hidden="1" customHeight="1">
      <c r="A31" s="70">
        <v>1140000000</v>
      </c>
      <c r="B31" s="71" t="s">
        <v>132</v>
      </c>
      <c r="C31" s="5">
        <f>C33+C32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0.2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11" ht="30.7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11">
      <c r="A34" s="3">
        <v>1170000000</v>
      </c>
      <c r="B34" s="13" t="s">
        <v>135</v>
      </c>
      <c r="C34" s="5">
        <v>0</v>
      </c>
      <c r="D34" s="386">
        <f>D35+D36</f>
        <v>0</v>
      </c>
      <c r="E34" s="9" t="e">
        <f t="shared" si="0"/>
        <v>#DIV/0!</v>
      </c>
      <c r="F34" s="5">
        <f t="shared" si="1"/>
        <v>0</v>
      </c>
    </row>
    <row r="35" spans="1:11" ht="18.75" customHeight="1">
      <c r="A35" s="7">
        <v>1170105005</v>
      </c>
      <c r="B35" s="8" t="s">
        <v>18</v>
      </c>
      <c r="C35" s="9">
        <v>0</v>
      </c>
      <c r="D35" s="9">
        <v>0</v>
      </c>
      <c r="E35" s="9" t="e">
        <f t="shared" si="0"/>
        <v>#DIV/0!</v>
      </c>
      <c r="F35" s="9">
        <f t="shared" si="1"/>
        <v>0</v>
      </c>
    </row>
    <row r="36" spans="1:11" ht="0.75" hidden="1" customHeight="1">
      <c r="A36" s="7">
        <v>1170505005</v>
      </c>
      <c r="B36" s="11" t="s">
        <v>221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11" s="6" customFormat="1">
      <c r="A37" s="3">
        <v>1000000000</v>
      </c>
      <c r="B37" s="4" t="s">
        <v>19</v>
      </c>
      <c r="C37" s="127">
        <f>C25+C4</f>
        <v>602.89</v>
      </c>
      <c r="D37" s="127">
        <f>SUM(D4,D25)</f>
        <v>426.41254999999995</v>
      </c>
      <c r="E37" s="5">
        <f t="shared" si="0"/>
        <v>70.728084725240095</v>
      </c>
      <c r="F37" s="5">
        <f t="shared" si="1"/>
        <v>-176.47745000000003</v>
      </c>
    </row>
    <row r="38" spans="1:11" s="6" customFormat="1">
      <c r="A38" s="3">
        <v>2000000000</v>
      </c>
      <c r="B38" s="4" t="s">
        <v>20</v>
      </c>
      <c r="C38" s="280">
        <f>C39+C40+C41+C42+C43+C44</f>
        <v>2882.2220000000002</v>
      </c>
      <c r="D38" s="280">
        <f>D39+D40+D41+D42+D43+D45</f>
        <v>2322.9964100000002</v>
      </c>
      <c r="E38" s="5">
        <f t="shared" si="0"/>
        <v>80.597414425398185</v>
      </c>
      <c r="F38" s="5">
        <f t="shared" si="1"/>
        <v>-559.22559000000001</v>
      </c>
      <c r="G38" s="19"/>
    </row>
    <row r="39" spans="1:11">
      <c r="A39" s="16">
        <v>2021000000</v>
      </c>
      <c r="B39" s="17" t="s">
        <v>21</v>
      </c>
      <c r="C39" s="334">
        <v>1200.0540000000001</v>
      </c>
      <c r="D39" s="20">
        <f>1013.234+45.954</f>
        <v>1059.1880000000001</v>
      </c>
      <c r="E39" s="9">
        <f t="shared" si="0"/>
        <v>88.261694890396598</v>
      </c>
      <c r="F39" s="9">
        <f t="shared" si="1"/>
        <v>-140.86599999999999</v>
      </c>
    </row>
    <row r="40" spans="1:11">
      <c r="A40" s="16">
        <v>2021500200</v>
      </c>
      <c r="B40" s="17" t="s">
        <v>232</v>
      </c>
      <c r="C40" s="331">
        <v>816.60500000000002</v>
      </c>
      <c r="D40" s="20">
        <v>630</v>
      </c>
      <c r="E40" s="9">
        <f>SUM(D40/C40*100)</f>
        <v>77.148682655629102</v>
      </c>
      <c r="F40" s="9">
        <f>SUM(D40-C40)</f>
        <v>-186.60500000000002</v>
      </c>
    </row>
    <row r="41" spans="1:11">
      <c r="A41" s="16">
        <v>2022000000</v>
      </c>
      <c r="B41" s="17" t="s">
        <v>22</v>
      </c>
      <c r="C41" s="331">
        <v>652.58699999999999</v>
      </c>
      <c r="D41" s="10">
        <v>432.38</v>
      </c>
      <c r="E41" s="9">
        <f t="shared" si="0"/>
        <v>66.256299926293352</v>
      </c>
      <c r="F41" s="9">
        <f t="shared" si="1"/>
        <v>-220.20699999999999</v>
      </c>
    </row>
    <row r="42" spans="1:11" ht="19.5" customHeight="1">
      <c r="A42" s="16">
        <v>2023000000</v>
      </c>
      <c r="B42" s="17" t="s">
        <v>23</v>
      </c>
      <c r="C42" s="331">
        <v>72.975999999999999</v>
      </c>
      <c r="D42" s="251">
        <v>70.596000000000004</v>
      </c>
      <c r="E42" s="9">
        <f t="shared" si="0"/>
        <v>96.73865380399036</v>
      </c>
      <c r="F42" s="9">
        <f t="shared" si="1"/>
        <v>-2.3799999999999955</v>
      </c>
    </row>
    <row r="43" spans="1:11">
      <c r="A43" s="7">
        <v>2070500010</v>
      </c>
      <c r="B43" s="17" t="s">
        <v>359</v>
      </c>
      <c r="C43" s="331">
        <v>140</v>
      </c>
      <c r="D43" s="252">
        <v>133</v>
      </c>
      <c r="E43" s="9">
        <f t="shared" si="0"/>
        <v>95</v>
      </c>
      <c r="F43" s="9">
        <f t="shared" si="1"/>
        <v>-7</v>
      </c>
    </row>
    <row r="44" spans="1:11" ht="15.75" customHeight="1">
      <c r="A44" s="16">
        <v>2022999910</v>
      </c>
      <c r="B44" s="18" t="s">
        <v>352</v>
      </c>
      <c r="C44" s="331">
        <v>0</v>
      </c>
      <c r="D44" s="252">
        <v>0</v>
      </c>
      <c r="E44" s="9" t="e">
        <f t="shared" si="0"/>
        <v>#DIV/0!</v>
      </c>
      <c r="F44" s="9">
        <f t="shared" si="1"/>
        <v>0</v>
      </c>
    </row>
    <row r="45" spans="1:11" ht="17.25" customHeight="1">
      <c r="A45" s="7">
        <v>2190000010</v>
      </c>
      <c r="B45" s="11" t="s">
        <v>26</v>
      </c>
      <c r="C45" s="340">
        <v>0</v>
      </c>
      <c r="D45" s="328">
        <v>-2.1675900000000001</v>
      </c>
      <c r="E45" s="5" t="e">
        <f t="shared" si="0"/>
        <v>#DIV/0!</v>
      </c>
      <c r="F45" s="5">
        <f>SUM(D45-C45)</f>
        <v>-2.1675900000000001</v>
      </c>
    </row>
    <row r="46" spans="1:11" s="6" customFormat="1" ht="31.5" hidden="1" customHeight="1">
      <c r="A46" s="3">
        <v>3000000000</v>
      </c>
      <c r="B46" s="13" t="s">
        <v>27</v>
      </c>
      <c r="C46" s="341">
        <v>0</v>
      </c>
      <c r="D46" s="342">
        <v>0</v>
      </c>
      <c r="E46" s="5" t="e">
        <f t="shared" si="0"/>
        <v>#DIV/0!</v>
      </c>
      <c r="F46" s="5">
        <f t="shared" si="1"/>
        <v>0</v>
      </c>
    </row>
    <row r="47" spans="1:11" s="6" customFormat="1" ht="15.75" customHeight="1">
      <c r="A47" s="3"/>
      <c r="B47" s="4" t="s">
        <v>28</v>
      </c>
      <c r="C47" s="93">
        <f>C37+C38</f>
        <v>3485.1120000000001</v>
      </c>
      <c r="D47" s="407">
        <f>D37+D38</f>
        <v>2749.4089600000002</v>
      </c>
      <c r="E47" s="5">
        <f t="shared" si="0"/>
        <v>78.890117735097192</v>
      </c>
      <c r="F47" s="5">
        <f t="shared" si="1"/>
        <v>-735.70303999999987</v>
      </c>
      <c r="G47" s="293"/>
      <c r="H47" s="293"/>
      <c r="K47" s="130"/>
    </row>
    <row r="48" spans="1:11" s="6" customFormat="1">
      <c r="A48" s="3"/>
      <c r="B48" s="21" t="s">
        <v>322</v>
      </c>
      <c r="C48" s="93">
        <f>C47-C93</f>
        <v>-23.635540000000219</v>
      </c>
      <c r="D48" s="93">
        <f>D47-D93</f>
        <v>25.834200000000692</v>
      </c>
      <c r="E48" s="22"/>
      <c r="F48" s="22"/>
    </row>
    <row r="49" spans="1:6">
      <c r="A49" s="23"/>
      <c r="B49" s="24"/>
      <c r="C49" s="250"/>
      <c r="D49" s="250"/>
      <c r="E49" s="26"/>
      <c r="F49" s="92"/>
    </row>
    <row r="50" spans="1:6" ht="50.25" customHeight="1">
      <c r="A50" s="28" t="s">
        <v>1</v>
      </c>
      <c r="B50" s="28" t="s">
        <v>29</v>
      </c>
      <c r="C50" s="243" t="s">
        <v>346</v>
      </c>
      <c r="D50" s="244" t="s">
        <v>412</v>
      </c>
      <c r="E50" s="72" t="s">
        <v>3</v>
      </c>
      <c r="F50" s="74" t="s">
        <v>4</v>
      </c>
    </row>
    <row r="51" spans="1:6">
      <c r="A51" s="88">
        <v>1</v>
      </c>
      <c r="B51" s="87">
        <v>2</v>
      </c>
      <c r="C51" s="87">
        <v>3</v>
      </c>
      <c r="D51" s="87">
        <v>4</v>
      </c>
      <c r="E51" s="87">
        <v>5</v>
      </c>
      <c r="F51" s="87">
        <v>6</v>
      </c>
    </row>
    <row r="52" spans="1:6" s="6" customFormat="1" ht="30.75" customHeight="1">
      <c r="A52" s="30" t="s">
        <v>30</v>
      </c>
      <c r="B52" s="31" t="s">
        <v>31</v>
      </c>
      <c r="C52" s="32">
        <f>C54+C57+C58+C59</f>
        <v>1072.2360000000001</v>
      </c>
      <c r="D52" s="32">
        <f>D54+D57+D58+D59</f>
        <v>832.62636999999995</v>
      </c>
      <c r="E52" s="34">
        <f>SUM(D52/C52*100)</f>
        <v>77.653275025274269</v>
      </c>
      <c r="F52" s="34">
        <f>SUM(D52-C52)</f>
        <v>-239.60963000000015</v>
      </c>
    </row>
    <row r="53" spans="1:6" s="6" customFormat="1" ht="31.5" hidden="1">
      <c r="A53" s="35" t="s">
        <v>32</v>
      </c>
      <c r="B53" s="36" t="s">
        <v>33</v>
      </c>
      <c r="C53" s="37"/>
      <c r="D53" s="37"/>
      <c r="E53" s="38"/>
      <c r="F53" s="38"/>
    </row>
    <row r="54" spans="1:6" ht="16.5" customHeight="1">
      <c r="A54" s="35" t="s">
        <v>34</v>
      </c>
      <c r="B54" s="39" t="s">
        <v>35</v>
      </c>
      <c r="C54" s="37">
        <v>1064.854</v>
      </c>
      <c r="D54" s="37">
        <v>830.24486999999999</v>
      </c>
      <c r="E54" s="38">
        <f>SUM(D54/C54*100)</f>
        <v>77.967953353229632</v>
      </c>
      <c r="F54" s="38">
        <f t="shared" ref="F54:F93" si="3">SUM(D54-C54)</f>
        <v>-234.60913000000005</v>
      </c>
    </row>
    <row r="55" spans="1:6" ht="0.75" hidden="1" customHeight="1">
      <c r="A55" s="35" t="s">
        <v>36</v>
      </c>
      <c r="B55" s="39" t="s">
        <v>37</v>
      </c>
      <c r="C55" s="37"/>
      <c r="D55" s="37"/>
      <c r="E55" s="38"/>
      <c r="F55" s="38">
        <f t="shared" si="3"/>
        <v>0</v>
      </c>
    </row>
    <row r="56" spans="1:6" ht="15.75" hidden="1" customHeight="1">
      <c r="A56" s="35" t="s">
        <v>38</v>
      </c>
      <c r="B56" s="39" t="s">
        <v>39</v>
      </c>
      <c r="C56" s="37"/>
      <c r="D56" s="37"/>
      <c r="E56" s="38" t="e">
        <f t="shared" ref="E56:E93" si="4">SUM(D56/C56*100)</f>
        <v>#DIV/0!</v>
      </c>
      <c r="F56" s="38">
        <f t="shared" si="3"/>
        <v>0</v>
      </c>
    </row>
    <row r="57" spans="1:6" ht="14.25" hidden="1" customHeight="1">
      <c r="A57" s="35" t="s">
        <v>40</v>
      </c>
      <c r="B57" s="39" t="s">
        <v>41</v>
      </c>
      <c r="C57" s="37">
        <v>0</v>
      </c>
      <c r="D57" s="37">
        <v>0</v>
      </c>
      <c r="E57" s="38" t="e">
        <f t="shared" si="4"/>
        <v>#DIV/0!</v>
      </c>
      <c r="F57" s="38">
        <f t="shared" si="3"/>
        <v>0</v>
      </c>
    </row>
    <row r="58" spans="1:6" ht="17.25" customHeight="1">
      <c r="A58" s="35" t="s">
        <v>42</v>
      </c>
      <c r="B58" s="39" t="s">
        <v>43</v>
      </c>
      <c r="C58" s="40">
        <v>5</v>
      </c>
      <c r="D58" s="40">
        <v>0</v>
      </c>
      <c r="E58" s="38">
        <f t="shared" si="4"/>
        <v>0</v>
      </c>
      <c r="F58" s="38">
        <f t="shared" si="3"/>
        <v>-5</v>
      </c>
    </row>
    <row r="59" spans="1:6" ht="17.25" customHeight="1">
      <c r="A59" s="35" t="s">
        <v>44</v>
      </c>
      <c r="B59" s="39" t="s">
        <v>45</v>
      </c>
      <c r="C59" s="37">
        <v>2.3820000000000001</v>
      </c>
      <c r="D59" s="37">
        <v>2.3815</v>
      </c>
      <c r="E59" s="38">
        <f t="shared" si="4"/>
        <v>99.979009235936175</v>
      </c>
      <c r="F59" s="38">
        <f t="shared" si="3"/>
        <v>-5.0000000000016698E-4</v>
      </c>
    </row>
    <row r="60" spans="1:6" s="6" customFormat="1">
      <c r="A60" s="41" t="s">
        <v>46</v>
      </c>
      <c r="B60" s="42" t="s">
        <v>47</v>
      </c>
      <c r="C60" s="32">
        <f>C61</f>
        <v>70.596000000000004</v>
      </c>
      <c r="D60" s="32">
        <f>D61</f>
        <v>64.371499999999997</v>
      </c>
      <c r="E60" s="34">
        <f t="shared" si="4"/>
        <v>91.182928211230092</v>
      </c>
      <c r="F60" s="34">
        <f t="shared" si="3"/>
        <v>-6.2245000000000061</v>
      </c>
    </row>
    <row r="61" spans="1:6">
      <c r="A61" s="43" t="s">
        <v>48</v>
      </c>
      <c r="B61" s="44" t="s">
        <v>49</v>
      </c>
      <c r="C61" s="37">
        <v>70.596000000000004</v>
      </c>
      <c r="D61" s="37">
        <v>64.371499999999997</v>
      </c>
      <c r="E61" s="38">
        <f t="shared" si="4"/>
        <v>91.182928211230092</v>
      </c>
      <c r="F61" s="38">
        <f t="shared" si="3"/>
        <v>-6.2245000000000061</v>
      </c>
    </row>
    <row r="62" spans="1:6" s="6" customFormat="1" ht="16.5" customHeight="1">
      <c r="A62" s="30" t="s">
        <v>50</v>
      </c>
      <c r="B62" s="31" t="s">
        <v>51</v>
      </c>
      <c r="C62" s="32">
        <f>C65+C66</f>
        <v>12.778</v>
      </c>
      <c r="D62" s="32">
        <f>D65+D66</f>
        <v>7.8558299999999992</v>
      </c>
      <c r="E62" s="34">
        <f t="shared" si="4"/>
        <v>61.479339489748</v>
      </c>
      <c r="F62" s="34">
        <f t="shared" si="3"/>
        <v>-4.9221700000000013</v>
      </c>
    </row>
    <row r="63" spans="1:6" ht="13.5" hidden="1" customHeight="1">
      <c r="A63" s="35" t="s">
        <v>52</v>
      </c>
      <c r="B63" s="39" t="s">
        <v>53</v>
      </c>
      <c r="C63" s="37"/>
      <c r="D63" s="37"/>
      <c r="E63" s="34" t="e">
        <f t="shared" si="4"/>
        <v>#DIV/0!</v>
      </c>
      <c r="F63" s="34">
        <f t="shared" si="3"/>
        <v>0</v>
      </c>
    </row>
    <row r="64" spans="1:6" hidden="1">
      <c r="A64" s="45" t="s">
        <v>54</v>
      </c>
      <c r="B64" s="39" t="s">
        <v>55</v>
      </c>
      <c r="C64" s="37"/>
      <c r="D64" s="37"/>
      <c r="E64" s="34" t="e">
        <f t="shared" si="4"/>
        <v>#DIV/0!</v>
      </c>
      <c r="F64" s="34">
        <f t="shared" si="3"/>
        <v>0</v>
      </c>
    </row>
    <row r="65" spans="1:7" ht="15.75" customHeight="1">
      <c r="A65" s="46" t="s">
        <v>56</v>
      </c>
      <c r="B65" s="47" t="s">
        <v>57</v>
      </c>
      <c r="C65" s="37">
        <v>2.9</v>
      </c>
      <c r="D65" s="37">
        <v>2.80287</v>
      </c>
      <c r="E65" s="34">
        <f t="shared" si="4"/>
        <v>96.650689655172414</v>
      </c>
      <c r="F65" s="34">
        <f t="shared" si="3"/>
        <v>-9.7129999999999939E-2</v>
      </c>
    </row>
    <row r="66" spans="1:7" ht="15.75" customHeight="1">
      <c r="A66" s="46" t="s">
        <v>219</v>
      </c>
      <c r="B66" s="47" t="s">
        <v>220</v>
      </c>
      <c r="C66" s="37">
        <v>9.8780000000000001</v>
      </c>
      <c r="D66" s="37">
        <v>5.0529599999999997</v>
      </c>
      <c r="E66" s="38">
        <f t="shared" si="4"/>
        <v>51.153674832962139</v>
      </c>
      <c r="F66" s="38">
        <f t="shared" si="3"/>
        <v>-4.8250400000000004</v>
      </c>
    </row>
    <row r="67" spans="1:7" s="6" customFormat="1">
      <c r="A67" s="30" t="s">
        <v>58</v>
      </c>
      <c r="B67" s="31" t="s">
        <v>59</v>
      </c>
      <c r="C67" s="48">
        <f>C70+C71+C68+C69</f>
        <v>1154.5965400000002</v>
      </c>
      <c r="D67" s="48">
        <f>D70+D71+D68+D69</f>
        <v>800.9043099999999</v>
      </c>
      <c r="E67" s="34">
        <f t="shared" si="4"/>
        <v>69.366595364992151</v>
      </c>
      <c r="F67" s="34">
        <f t="shared" si="3"/>
        <v>-353.69223000000034</v>
      </c>
    </row>
    <row r="68" spans="1:7" ht="16.5" customHeight="1">
      <c r="A68" s="35" t="s">
        <v>60</v>
      </c>
      <c r="B68" s="39" t="s">
        <v>61</v>
      </c>
      <c r="C68" s="49">
        <v>5</v>
      </c>
      <c r="D68" s="37">
        <v>0</v>
      </c>
      <c r="E68" s="38">
        <f t="shared" si="4"/>
        <v>0</v>
      </c>
      <c r="F68" s="38">
        <f t="shared" si="3"/>
        <v>-5</v>
      </c>
    </row>
    <row r="69" spans="1:7" s="6" customFormat="1">
      <c r="A69" s="35" t="s">
        <v>62</v>
      </c>
      <c r="B69" s="39" t="s">
        <v>63</v>
      </c>
      <c r="C69" s="49">
        <v>66.227000000000004</v>
      </c>
      <c r="D69" s="37">
        <v>66.226380000000006</v>
      </c>
      <c r="E69" s="38">
        <f t="shared" si="4"/>
        <v>99.999063825932026</v>
      </c>
      <c r="F69" s="38">
        <f t="shared" si="3"/>
        <v>-6.199999999978445E-4</v>
      </c>
      <c r="G69" s="50"/>
    </row>
    <row r="70" spans="1:7" ht="15.75" customHeight="1">
      <c r="A70" s="35" t="s">
        <v>64</v>
      </c>
      <c r="B70" s="39" t="s">
        <v>65</v>
      </c>
      <c r="C70" s="49">
        <v>1063.41254</v>
      </c>
      <c r="D70" s="37">
        <v>734.67792999999995</v>
      </c>
      <c r="E70" s="38">
        <f t="shared" si="4"/>
        <v>69.086822128315319</v>
      </c>
      <c r="F70" s="38">
        <f t="shared" si="3"/>
        <v>-328.73461000000009</v>
      </c>
    </row>
    <row r="71" spans="1:7">
      <c r="A71" s="35" t="s">
        <v>66</v>
      </c>
      <c r="B71" s="39" t="s">
        <v>67</v>
      </c>
      <c r="C71" s="49">
        <v>19.957000000000001</v>
      </c>
      <c r="D71" s="37">
        <v>0</v>
      </c>
      <c r="E71" s="38">
        <f t="shared" si="4"/>
        <v>0</v>
      </c>
      <c r="F71" s="38">
        <f t="shared" si="3"/>
        <v>-19.957000000000001</v>
      </c>
    </row>
    <row r="72" spans="1:7" s="6" customFormat="1" ht="18" customHeight="1">
      <c r="A72" s="30" t="s">
        <v>68</v>
      </c>
      <c r="B72" s="31" t="s">
        <v>69</v>
      </c>
      <c r="C72" s="32">
        <f>C75</f>
        <v>328.041</v>
      </c>
      <c r="D72" s="32">
        <f>D75</f>
        <v>240.48075</v>
      </c>
      <c r="E72" s="34">
        <f t="shared" si="4"/>
        <v>73.308138311979292</v>
      </c>
      <c r="F72" s="34">
        <f t="shared" si="3"/>
        <v>-87.560249999999996</v>
      </c>
    </row>
    <row r="73" spans="1:7" ht="0.75" hidden="1" customHeight="1">
      <c r="A73" s="35" t="s">
        <v>70</v>
      </c>
      <c r="B73" s="51" t="s">
        <v>71</v>
      </c>
      <c r="C73" s="37"/>
      <c r="D73" s="37"/>
      <c r="E73" s="38" t="e">
        <f t="shared" si="4"/>
        <v>#DIV/0!</v>
      </c>
      <c r="F73" s="38">
        <f t="shared" si="3"/>
        <v>0</v>
      </c>
    </row>
    <row r="74" spans="1:7" hidden="1">
      <c r="A74" s="35" t="s">
        <v>72</v>
      </c>
      <c r="B74" s="51" t="s">
        <v>73</v>
      </c>
      <c r="C74" s="37"/>
      <c r="D74" s="37"/>
      <c r="E74" s="38" t="e">
        <f t="shared" si="4"/>
        <v>#DIV/0!</v>
      </c>
      <c r="F74" s="38">
        <f t="shared" si="3"/>
        <v>0</v>
      </c>
    </row>
    <row r="75" spans="1:7" ht="16.5" customHeight="1">
      <c r="A75" s="35" t="s">
        <v>74</v>
      </c>
      <c r="B75" s="39" t="s">
        <v>75</v>
      </c>
      <c r="C75" s="37">
        <v>328.041</v>
      </c>
      <c r="D75" s="37">
        <v>240.48075</v>
      </c>
      <c r="E75" s="38">
        <f t="shared" si="4"/>
        <v>73.308138311979292</v>
      </c>
      <c r="F75" s="38">
        <f t="shared" si="3"/>
        <v>-87.560249999999996</v>
      </c>
    </row>
    <row r="76" spans="1:7" s="6" customFormat="1">
      <c r="A76" s="30" t="s">
        <v>86</v>
      </c>
      <c r="B76" s="31" t="s">
        <v>87</v>
      </c>
      <c r="C76" s="32">
        <f>C77</f>
        <v>865.5</v>
      </c>
      <c r="D76" s="32">
        <f>D77</f>
        <v>773.48599999999999</v>
      </c>
      <c r="E76" s="34">
        <f t="shared" si="4"/>
        <v>89.368688619295199</v>
      </c>
      <c r="F76" s="34">
        <f t="shared" si="3"/>
        <v>-92.01400000000001</v>
      </c>
    </row>
    <row r="77" spans="1:7" ht="17.25" customHeight="1">
      <c r="A77" s="35" t="s">
        <v>88</v>
      </c>
      <c r="B77" s="39" t="s">
        <v>234</v>
      </c>
      <c r="C77" s="37">
        <v>865.5</v>
      </c>
      <c r="D77" s="37">
        <v>773.48599999999999</v>
      </c>
      <c r="E77" s="38">
        <f t="shared" si="4"/>
        <v>89.368688619295199</v>
      </c>
      <c r="F77" s="38">
        <f t="shared" si="3"/>
        <v>-92.01400000000001</v>
      </c>
    </row>
    <row r="78" spans="1:7" s="6" customFormat="1" ht="0.75" hidden="1" customHeight="1">
      <c r="A78" s="52">
        <v>1000</v>
      </c>
      <c r="B78" s="31" t="s">
        <v>89</v>
      </c>
      <c r="C78" s="32"/>
      <c r="D78" s="32"/>
      <c r="E78" s="34" t="e">
        <f t="shared" si="4"/>
        <v>#DIV/0!</v>
      </c>
      <c r="F78" s="34">
        <f t="shared" si="3"/>
        <v>0</v>
      </c>
    </row>
    <row r="79" spans="1:7" ht="16.5" hidden="1" customHeight="1">
      <c r="A79" s="53">
        <v>1001</v>
      </c>
      <c r="B79" s="54" t="s">
        <v>90</v>
      </c>
      <c r="C79" s="37"/>
      <c r="D79" s="37"/>
      <c r="E79" s="38" t="e">
        <f t="shared" si="4"/>
        <v>#DIV/0!</v>
      </c>
      <c r="F79" s="38">
        <f t="shared" si="3"/>
        <v>0</v>
      </c>
    </row>
    <row r="80" spans="1:7" ht="15.75" hidden="1" customHeight="1">
      <c r="A80" s="53">
        <v>1003</v>
      </c>
      <c r="B80" s="54" t="s">
        <v>91</v>
      </c>
      <c r="C80" s="37"/>
      <c r="D80" s="37"/>
      <c r="E80" s="38" t="e">
        <f t="shared" si="4"/>
        <v>#DIV/0!</v>
      </c>
      <c r="F80" s="38">
        <f t="shared" si="3"/>
        <v>0</v>
      </c>
    </row>
    <row r="81" spans="1:7" ht="16.5" hidden="1" customHeight="1">
      <c r="A81" s="53">
        <v>1004</v>
      </c>
      <c r="B81" s="54" t="s">
        <v>92</v>
      </c>
      <c r="C81" s="37"/>
      <c r="D81" s="55"/>
      <c r="E81" s="38" t="e">
        <f t="shared" si="4"/>
        <v>#DIV/0!</v>
      </c>
      <c r="F81" s="38">
        <f t="shared" si="3"/>
        <v>0</v>
      </c>
    </row>
    <row r="82" spans="1:7" ht="0.75" hidden="1" customHeight="1">
      <c r="A82" s="35" t="s">
        <v>93</v>
      </c>
      <c r="B82" s="39" t="s">
        <v>94</v>
      </c>
      <c r="C82" s="37"/>
      <c r="D82" s="37"/>
      <c r="E82" s="38"/>
      <c r="F82" s="38">
        <f t="shared" si="3"/>
        <v>0</v>
      </c>
    </row>
    <row r="83" spans="1:7">
      <c r="A83" s="30" t="s">
        <v>95</v>
      </c>
      <c r="B83" s="31" t="s">
        <v>96</v>
      </c>
      <c r="C83" s="32">
        <f>C84</f>
        <v>5</v>
      </c>
      <c r="D83" s="32">
        <f>D84</f>
        <v>3.85</v>
      </c>
      <c r="E83" s="38">
        <f t="shared" si="4"/>
        <v>77</v>
      </c>
      <c r="F83" s="22">
        <f>F84+F85+F86+F87+F88</f>
        <v>-1.1499999999999999</v>
      </c>
    </row>
    <row r="84" spans="1:7" ht="17.25" customHeight="1">
      <c r="A84" s="35" t="s">
        <v>97</v>
      </c>
      <c r="B84" s="39" t="s">
        <v>98</v>
      </c>
      <c r="C84" s="37">
        <v>5</v>
      </c>
      <c r="D84" s="37">
        <v>3.85</v>
      </c>
      <c r="E84" s="38">
        <v>0</v>
      </c>
      <c r="F84" s="38">
        <f>SUM(D84-C84)</f>
        <v>-1.1499999999999999</v>
      </c>
    </row>
    <row r="85" spans="1:7" ht="15.75" hidden="1" customHeight="1">
      <c r="A85" s="35" t="s">
        <v>99</v>
      </c>
      <c r="B85" s="39" t="s">
        <v>100</v>
      </c>
      <c r="C85" s="37"/>
      <c r="D85" s="37"/>
      <c r="E85" s="38" t="e">
        <f t="shared" si="4"/>
        <v>#DIV/0!</v>
      </c>
      <c r="F85" s="38">
        <f>SUM(D85-C85)</f>
        <v>0</v>
      </c>
    </row>
    <row r="86" spans="1:7" ht="15.75" hidden="1" customHeight="1">
      <c r="A86" s="35" t="s">
        <v>101</v>
      </c>
      <c r="B86" s="39" t="s">
        <v>102</v>
      </c>
      <c r="C86" s="37"/>
      <c r="D86" s="37"/>
      <c r="E86" s="38" t="e">
        <f t="shared" si="4"/>
        <v>#DIV/0!</v>
      </c>
      <c r="F86" s="38"/>
    </row>
    <row r="87" spans="1:7" ht="15.75" hidden="1" customHeight="1">
      <c r="A87" s="35" t="s">
        <v>103</v>
      </c>
      <c r="B87" s="39" t="s">
        <v>104</v>
      </c>
      <c r="C87" s="37"/>
      <c r="D87" s="37"/>
      <c r="E87" s="38" t="e">
        <f t="shared" si="4"/>
        <v>#DIV/0!</v>
      </c>
      <c r="F87" s="38"/>
    </row>
    <row r="88" spans="1:7" ht="15.75" hidden="1" customHeight="1">
      <c r="A88" s="35" t="s">
        <v>105</v>
      </c>
      <c r="B88" s="39" t="s">
        <v>106</v>
      </c>
      <c r="C88" s="37"/>
      <c r="D88" s="37"/>
      <c r="E88" s="38" t="e">
        <f t="shared" si="4"/>
        <v>#DIV/0!</v>
      </c>
      <c r="F88" s="38"/>
    </row>
    <row r="89" spans="1:7" s="6" customFormat="1" hidden="1">
      <c r="A89" s="52">
        <v>1400</v>
      </c>
      <c r="B89" s="56" t="s">
        <v>115</v>
      </c>
      <c r="C89" s="48">
        <v>0</v>
      </c>
      <c r="D89" s="48">
        <f>SUM(D90:D92)</f>
        <v>0</v>
      </c>
      <c r="E89" s="34" t="e">
        <f t="shared" si="4"/>
        <v>#DIV/0!</v>
      </c>
      <c r="F89" s="34">
        <f t="shared" si="3"/>
        <v>0</v>
      </c>
    </row>
    <row r="90" spans="1:7" ht="31.5" hidden="1">
      <c r="A90" s="53">
        <v>1401</v>
      </c>
      <c r="B90" s="54" t="s">
        <v>116</v>
      </c>
      <c r="C90" s="49"/>
      <c r="D90" s="37"/>
      <c r="E90" s="38" t="e">
        <f t="shared" si="4"/>
        <v>#DIV/0!</v>
      </c>
      <c r="F90" s="38">
        <f t="shared" si="3"/>
        <v>0</v>
      </c>
    </row>
    <row r="91" spans="1:7" ht="15" hidden="1" customHeight="1">
      <c r="A91" s="53">
        <v>1402</v>
      </c>
      <c r="B91" s="54" t="s">
        <v>117</v>
      </c>
      <c r="C91" s="49"/>
      <c r="D91" s="37"/>
      <c r="E91" s="38" t="e">
        <f t="shared" si="4"/>
        <v>#DIV/0!</v>
      </c>
      <c r="F91" s="38">
        <f t="shared" si="3"/>
        <v>0</v>
      </c>
    </row>
    <row r="92" spans="1:7" hidden="1">
      <c r="A92" s="53">
        <v>1403</v>
      </c>
      <c r="B92" s="54" t="s">
        <v>118</v>
      </c>
      <c r="C92" s="49"/>
      <c r="D92" s="37"/>
      <c r="E92" s="38" t="e">
        <f t="shared" si="4"/>
        <v>#DIV/0!</v>
      </c>
      <c r="F92" s="38">
        <f t="shared" si="3"/>
        <v>0</v>
      </c>
    </row>
    <row r="93" spans="1:7" s="6" customFormat="1">
      <c r="A93" s="52"/>
      <c r="B93" s="57" t="s">
        <v>119</v>
      </c>
      <c r="C93" s="408">
        <f>C52+C60+C62+C67+C72+C76+C83</f>
        <v>3508.7475400000003</v>
      </c>
      <c r="D93" s="408">
        <f>D52+D60+D62+D67+D72+D76+D78+D83+D89</f>
        <v>2723.5747599999995</v>
      </c>
      <c r="E93" s="128">
        <f t="shared" si="4"/>
        <v>77.622420221205175</v>
      </c>
      <c r="F93" s="34">
        <f t="shared" si="3"/>
        <v>-785.17278000000078</v>
      </c>
      <c r="G93" s="293"/>
    </row>
    <row r="94" spans="1:7">
      <c r="C94" s="126"/>
      <c r="D94" s="101"/>
    </row>
    <row r="95" spans="1:7" s="65" customFormat="1" ht="16.5" customHeight="1">
      <c r="A95" s="63" t="s">
        <v>120</v>
      </c>
      <c r="B95" s="63"/>
      <c r="C95" s="249"/>
      <c r="D95" s="249"/>
    </row>
    <row r="96" spans="1:7" s="65" customFormat="1" ht="20.25" customHeight="1">
      <c r="A96" s="66" t="s">
        <v>121</v>
      </c>
      <c r="B96" s="66"/>
      <c r="C96" s="65" t="s">
        <v>122</v>
      </c>
    </row>
    <row r="97" ht="13.5" customHeight="1"/>
    <row r="99" ht="5.25" customHeight="1"/>
    <row r="141" hidden="1"/>
  </sheetData>
  <customSheetViews>
    <customSheetView guid="{8E17DC23-BE06-48DD-840B-6DD85B9E86D1}" scale="70" showPageBreaks="1" hiddenRows="1" view="pageBreakPreview" topLeftCell="A61">
      <selection activeCell="C93" activeCellId="1" sqref="C47:D48 C93:D93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>
      <selection activeCell="B100" sqref="B100"/>
      <pageMargins left="0.75" right="0.75" top="0.18" bottom="0.17" header="0.5" footer="0.25"/>
      <pageSetup paperSize="9" scale="63" orientation="portrait" r:id="rId2"/>
      <headerFooter alignWithMargins="0"/>
    </customSheetView>
    <customSheetView guid="{3DCB9AAA-F09C-4EA6-B992-F93E466D374A}" hiddenRows="1">
      <selection activeCell="B100" sqref="B100"/>
      <pageMargins left="0.75" right="0.75" top="0.18" bottom="0.17" header="0.5" footer="0.25"/>
      <pageSetup paperSize="9" scale="63" orientation="portrait" r:id="rId3"/>
      <headerFooter alignWithMargins="0"/>
    </customSheetView>
    <customSheetView guid="{1718F1EE-9F48-4DBE-9531-3B70F9C4A5DD}" scale="70" showPageBreaks="1" hiddenRows="1" view="pageBreakPreview" topLeftCell="A27">
      <selection activeCell="D62" sqref="D62"/>
      <pageMargins left="0.75" right="0.75" top="0.18" bottom="0.17" header="0.5" footer="0.25"/>
      <pageSetup paperSize="9" scale="49" orientation="portrait" r:id="rId4"/>
      <headerFooter alignWithMargins="0"/>
    </customSheetView>
    <customSheetView guid="{42584DC0-1D41-4C93-9B38-C388E7B8DAC4}" scale="70" showPageBreaks="1" hiddenRows="1" view="pageBreakPreview" topLeftCell="A30">
      <selection activeCell="A43" sqref="A43:B43"/>
      <pageMargins left="0.75" right="0.75" top="0.18" bottom="0.17" header="0.5" footer="0.25"/>
      <pageSetup paperSize="9" scale="63" orientation="portrait" r:id="rId5"/>
      <headerFooter alignWithMargins="0"/>
    </customSheetView>
    <customSheetView guid="{B30CE22D-C12F-4E12-8BB9-3AAE0A6991CC}" scale="70" showPageBreaks="1" hiddenRows="1" view="pageBreakPreview" topLeftCell="A25">
      <selection activeCell="D62" sqref="D62"/>
      <pageMargins left="0.74803149606299213" right="0.74803149606299213" top="0.19685039370078741" bottom="0.15748031496062992" header="0.51181102362204722" footer="0.23622047244094491"/>
      <pageSetup paperSize="9" scale="60" orientation="portrait" r:id="rId6"/>
      <headerFooter alignWithMargins="0"/>
    </customSheetView>
    <customSheetView guid="{A54C432C-6C68-4B53-A75C-446EB3A61B2B}" scale="70" showPageBreaks="1" hiddenRows="1" view="pageBreakPreview" topLeftCell="A61">
      <selection activeCell="C93" activeCellId="1" sqref="C47:D48 C93:D93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H141"/>
  <sheetViews>
    <sheetView view="pageBreakPreview" zoomScale="70" zoomScaleNormal="100" zoomScaleSheetLayoutView="70" workbookViewId="0">
      <selection activeCell="D41" activeCellId="2" sqref="C100:D100 C52:D53 D41"/>
    </sheetView>
  </sheetViews>
  <sheetFormatPr defaultRowHeight="15.75"/>
  <cols>
    <col min="1" max="1" width="14.7109375" style="58" customWidth="1"/>
    <col min="2" max="2" width="56.42578125" style="59" customWidth="1"/>
    <col min="3" max="3" width="16.7109375" style="60" customWidth="1"/>
    <col min="4" max="4" width="16.85546875" style="62" customWidth="1"/>
    <col min="5" max="5" width="15.28515625" style="62" customWidth="1"/>
    <col min="6" max="6" width="13.42578125" style="62" customWidth="1"/>
    <col min="7" max="7" width="15.42578125" style="1" bestFit="1" customWidth="1"/>
    <col min="8" max="8" width="17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9" t="s">
        <v>419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135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2639.2200000000003</v>
      </c>
      <c r="D4" s="5">
        <f>D5+D12+D14+D17+D7</f>
        <v>2493.5391399999999</v>
      </c>
      <c r="E4" s="5">
        <f>SUM(D4/C4*100)</f>
        <v>94.480154742689109</v>
      </c>
      <c r="F4" s="5">
        <f>SUM(D4-C4)</f>
        <v>-145.68086000000039</v>
      </c>
    </row>
    <row r="5" spans="1:6" s="6" customFormat="1">
      <c r="A5" s="68">
        <v>1010000000</v>
      </c>
      <c r="B5" s="67" t="s">
        <v>6</v>
      </c>
      <c r="C5" s="5">
        <f>C6</f>
        <v>482.9</v>
      </c>
      <c r="D5" s="5">
        <f>D6</f>
        <v>333.74031000000002</v>
      </c>
      <c r="E5" s="5">
        <f t="shared" ref="E5:E52" si="0">SUM(D5/C5*100)</f>
        <v>69.111681507558515</v>
      </c>
      <c r="F5" s="5">
        <f t="shared" ref="F5:F52" si="1">SUM(D5-C5)</f>
        <v>-149.15968999999996</v>
      </c>
    </row>
    <row r="6" spans="1:6">
      <c r="A6" s="7">
        <v>1010200001</v>
      </c>
      <c r="B6" s="8" t="s">
        <v>229</v>
      </c>
      <c r="C6" s="9">
        <v>482.9</v>
      </c>
      <c r="D6" s="10">
        <v>333.74031000000002</v>
      </c>
      <c r="E6" s="9">
        <f t="shared" ref="E6:E11" si="2">SUM(D6/C6*100)</f>
        <v>69.111681507558515</v>
      </c>
      <c r="F6" s="9">
        <f t="shared" si="1"/>
        <v>-149.15968999999996</v>
      </c>
    </row>
    <row r="7" spans="1:6" ht="31.5">
      <c r="A7" s="3">
        <v>1030000000</v>
      </c>
      <c r="B7" s="13" t="s">
        <v>281</v>
      </c>
      <c r="C7" s="5">
        <f>C8+C10+C9</f>
        <v>559.32000000000005</v>
      </c>
      <c r="D7" s="5">
        <f>D8+D10+D9+D11</f>
        <v>488.82702999999992</v>
      </c>
      <c r="E7" s="5">
        <f t="shared" si="2"/>
        <v>87.396665593935481</v>
      </c>
      <c r="F7" s="5">
        <f t="shared" si="1"/>
        <v>-70.492970000000128</v>
      </c>
    </row>
    <row r="8" spans="1:6">
      <c r="A8" s="7">
        <v>1030223001</v>
      </c>
      <c r="B8" s="8" t="s">
        <v>283</v>
      </c>
      <c r="C8" s="9">
        <v>208.63</v>
      </c>
      <c r="D8" s="10">
        <v>215.61113</v>
      </c>
      <c r="E8" s="9">
        <f t="shared" si="2"/>
        <v>103.34617744332071</v>
      </c>
      <c r="F8" s="9">
        <f t="shared" si="1"/>
        <v>6.9811300000000074</v>
      </c>
    </row>
    <row r="9" spans="1:6">
      <c r="A9" s="7">
        <v>1030224001</v>
      </c>
      <c r="B9" s="8" t="s">
        <v>289</v>
      </c>
      <c r="C9" s="9">
        <v>2.2000000000000002</v>
      </c>
      <c r="D9" s="10">
        <v>2.0004599999999999</v>
      </c>
      <c r="E9" s="9">
        <f t="shared" si="2"/>
        <v>90.929999999999993</v>
      </c>
      <c r="F9" s="9">
        <f t="shared" si="1"/>
        <v>-0.19954000000000027</v>
      </c>
    </row>
    <row r="10" spans="1:6">
      <c r="A10" s="7">
        <v>1030225001</v>
      </c>
      <c r="B10" s="8" t="s">
        <v>282</v>
      </c>
      <c r="C10" s="9">
        <v>348.49</v>
      </c>
      <c r="D10" s="10">
        <v>319.91789999999997</v>
      </c>
      <c r="E10" s="9">
        <f t="shared" si="2"/>
        <v>91.80117076530172</v>
      </c>
      <c r="F10" s="9">
        <f t="shared" si="1"/>
        <v>-28.572100000000034</v>
      </c>
    </row>
    <row r="11" spans="1:6">
      <c r="A11" s="7">
        <v>1030226001</v>
      </c>
      <c r="B11" s="8" t="s">
        <v>291</v>
      </c>
      <c r="C11" s="9">
        <v>0</v>
      </c>
      <c r="D11" s="10">
        <v>-48.702460000000002</v>
      </c>
      <c r="E11" s="9" t="e">
        <f t="shared" si="2"/>
        <v>#DIV/0!</v>
      </c>
      <c r="F11" s="9">
        <f t="shared" si="1"/>
        <v>-48.702460000000002</v>
      </c>
    </row>
    <row r="12" spans="1:6" s="6" customFormat="1">
      <c r="A12" s="68">
        <v>1050000000</v>
      </c>
      <c r="B12" s="67" t="s">
        <v>7</v>
      </c>
      <c r="C12" s="5">
        <f>SUM(C13:C13)</f>
        <v>40</v>
      </c>
      <c r="D12" s="5">
        <f>SUM(D13:D13)</f>
        <v>23.733529999999998</v>
      </c>
      <c r="E12" s="5">
        <f t="shared" si="0"/>
        <v>59.333824999999997</v>
      </c>
      <c r="F12" s="5">
        <f t="shared" si="1"/>
        <v>-16.266470000000002</v>
      </c>
    </row>
    <row r="13" spans="1:6" ht="15.75" customHeight="1">
      <c r="A13" s="7">
        <v>1050300000</v>
      </c>
      <c r="B13" s="11" t="s">
        <v>230</v>
      </c>
      <c r="C13" s="12">
        <v>40</v>
      </c>
      <c r="D13" s="10">
        <v>23.733529999999998</v>
      </c>
      <c r="E13" s="9">
        <f t="shared" si="0"/>
        <v>59.333824999999997</v>
      </c>
      <c r="F13" s="9">
        <f t="shared" si="1"/>
        <v>-16.266470000000002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1545</v>
      </c>
      <c r="D14" s="5">
        <f>D15+D16</f>
        <v>1636.66327</v>
      </c>
      <c r="E14" s="5">
        <f t="shared" si="0"/>
        <v>105.93289773462784</v>
      </c>
      <c r="F14" s="5">
        <f t="shared" si="1"/>
        <v>91.663270000000011</v>
      </c>
    </row>
    <row r="15" spans="1:6" s="6" customFormat="1" ht="15.75" customHeight="1">
      <c r="A15" s="7">
        <v>1060100000</v>
      </c>
      <c r="B15" s="11" t="s">
        <v>9</v>
      </c>
      <c r="C15" s="9">
        <v>295</v>
      </c>
      <c r="D15" s="10">
        <v>796.40683999999999</v>
      </c>
      <c r="E15" s="5">
        <f t="shared" si="0"/>
        <v>269.96842033898304</v>
      </c>
      <c r="F15" s="9">
        <f>SUM(D15-C15)</f>
        <v>501.40683999999999</v>
      </c>
    </row>
    <row r="16" spans="1:6" ht="15" customHeight="1">
      <c r="A16" s="7">
        <v>1060600000</v>
      </c>
      <c r="B16" s="11" t="s">
        <v>8</v>
      </c>
      <c r="C16" s="9">
        <f>181.7+1068.3</f>
        <v>1250</v>
      </c>
      <c r="D16" s="10">
        <v>840.25643000000002</v>
      </c>
      <c r="E16" s="5">
        <f t="shared" si="0"/>
        <v>67.220514399999999</v>
      </c>
      <c r="F16" s="9">
        <f t="shared" si="1"/>
        <v>-409.74356999999998</v>
      </c>
    </row>
    <row r="17" spans="1:6" s="6" customFormat="1" ht="18" customHeight="1">
      <c r="A17" s="3">
        <v>1080000000</v>
      </c>
      <c r="B17" s="4" t="s">
        <v>11</v>
      </c>
      <c r="C17" s="5">
        <f>C18</f>
        <v>12</v>
      </c>
      <c r="D17" s="5">
        <f>D18</f>
        <v>10.574999999999999</v>
      </c>
      <c r="E17" s="5">
        <f t="shared" si="0"/>
        <v>88.125</v>
      </c>
      <c r="F17" s="5">
        <f t="shared" si="1"/>
        <v>-1.4250000000000007</v>
      </c>
    </row>
    <row r="18" spans="1:6" ht="18" customHeight="1">
      <c r="A18" s="7">
        <v>1080400001</v>
      </c>
      <c r="B18" s="8" t="s">
        <v>228</v>
      </c>
      <c r="C18" s="9">
        <v>12</v>
      </c>
      <c r="D18" s="10">
        <v>10.574999999999999</v>
      </c>
      <c r="E18" s="9">
        <f t="shared" si="0"/>
        <v>88.125</v>
      </c>
      <c r="F18" s="9">
        <f t="shared" si="1"/>
        <v>-1.4250000000000007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31.5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7.25" customHeight="1">
      <c r="A25" s="3"/>
      <c r="B25" s="4" t="s">
        <v>13</v>
      </c>
      <c r="C25" s="5">
        <f>C26+C30+C32+C37+C35</f>
        <v>1072</v>
      </c>
      <c r="D25" s="5">
        <f>D26+D30+D32+D35+D37</f>
        <v>832.15191000000004</v>
      </c>
      <c r="E25" s="5">
        <f t="shared" si="0"/>
        <v>77.626111007462697</v>
      </c>
      <c r="F25" s="5">
        <f t="shared" si="1"/>
        <v>-239.84808999999996</v>
      </c>
    </row>
    <row r="26" spans="1:6" s="6" customFormat="1" ht="30.75" customHeight="1">
      <c r="A26" s="68">
        <v>1110000000</v>
      </c>
      <c r="B26" s="69" t="s">
        <v>129</v>
      </c>
      <c r="C26" s="5">
        <f>C28+C29</f>
        <v>286</v>
      </c>
      <c r="D26" s="5">
        <f>D28+D29</f>
        <v>68.49199999999999</v>
      </c>
      <c r="E26" s="5">
        <f t="shared" si="0"/>
        <v>23.948251748251746</v>
      </c>
      <c r="F26" s="5">
        <f t="shared" si="1"/>
        <v>-217.50800000000001</v>
      </c>
    </row>
    <row r="27" spans="1:6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5.75" customHeight="1">
      <c r="A28" s="16">
        <v>1110502510</v>
      </c>
      <c r="B28" s="17" t="s">
        <v>328</v>
      </c>
      <c r="C28" s="12">
        <v>200</v>
      </c>
      <c r="D28" s="10">
        <v>28.4</v>
      </c>
      <c r="E28" s="9">
        <f t="shared" si="0"/>
        <v>14.2</v>
      </c>
      <c r="F28" s="9">
        <f t="shared" si="1"/>
        <v>-171.6</v>
      </c>
    </row>
    <row r="29" spans="1:6">
      <c r="A29" s="7">
        <v>1110503000</v>
      </c>
      <c r="B29" s="11" t="s">
        <v>225</v>
      </c>
      <c r="C29" s="12">
        <v>86</v>
      </c>
      <c r="D29" s="10">
        <v>40.091999999999999</v>
      </c>
      <c r="E29" s="9">
        <f>SUM(D29/C29*100)</f>
        <v>46.618604651162784</v>
      </c>
      <c r="F29" s="9">
        <f t="shared" si="1"/>
        <v>-45.908000000000001</v>
      </c>
    </row>
    <row r="30" spans="1:6" s="15" customFormat="1" ht="35.25" customHeight="1">
      <c r="A30" s="68">
        <v>1130000000</v>
      </c>
      <c r="B30" s="69" t="s">
        <v>131</v>
      </c>
      <c r="C30" s="5">
        <f>C31</f>
        <v>200</v>
      </c>
      <c r="D30" s="5">
        <f>D31</f>
        <v>171.83991</v>
      </c>
      <c r="E30" s="5">
        <f t="shared" si="0"/>
        <v>85.919955000000002</v>
      </c>
      <c r="F30" s="5">
        <f t="shared" si="1"/>
        <v>-28.160089999999997</v>
      </c>
    </row>
    <row r="31" spans="1:6" ht="18" customHeight="1">
      <c r="A31" s="7">
        <v>1130206005</v>
      </c>
      <c r="B31" s="8" t="s">
        <v>224</v>
      </c>
      <c r="C31" s="9">
        <v>200</v>
      </c>
      <c r="D31" s="10">
        <v>171.83991</v>
      </c>
      <c r="E31" s="9">
        <f>SUM(D31/C31*100)</f>
        <v>85.919955000000002</v>
      </c>
      <c r="F31" s="9">
        <f t="shared" si="1"/>
        <v>-28.160089999999997</v>
      </c>
    </row>
    <row r="32" spans="1:6" ht="17.25" customHeight="1">
      <c r="A32" s="70">
        <v>1140000000</v>
      </c>
      <c r="B32" s="71" t="s">
        <v>132</v>
      </c>
      <c r="C32" s="5">
        <f>C33+C34</f>
        <v>586</v>
      </c>
      <c r="D32" s="5">
        <f>D33+D34</f>
        <v>591.20000000000005</v>
      </c>
      <c r="E32" s="5">
        <f t="shared" si="0"/>
        <v>100.88737201365188</v>
      </c>
      <c r="F32" s="5">
        <f t="shared" si="1"/>
        <v>5.2000000000000455</v>
      </c>
    </row>
    <row r="33" spans="1:7" ht="19.5" customHeight="1">
      <c r="A33" s="16">
        <v>1140200000</v>
      </c>
      <c r="B33" s="18" t="s">
        <v>133</v>
      </c>
      <c r="C33" s="9">
        <v>586</v>
      </c>
      <c r="D33" s="10">
        <v>591.20000000000005</v>
      </c>
      <c r="E33" s="9">
        <f t="shared" si="0"/>
        <v>100.88737201365188</v>
      </c>
      <c r="F33" s="9">
        <f t="shared" si="1"/>
        <v>5.2000000000000455</v>
      </c>
    </row>
    <row r="34" spans="1:7" hidden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idden="1">
      <c r="A35" s="100">
        <v>1163305010</v>
      </c>
      <c r="B35" s="13" t="s">
        <v>252</v>
      </c>
      <c r="C35" s="5">
        <f>C36</f>
        <v>0</v>
      </c>
      <c r="D35" s="14">
        <f>D36</f>
        <v>0</v>
      </c>
      <c r="E35" s="9" t="e">
        <f t="shared" si="0"/>
        <v>#DIV/0!</v>
      </c>
      <c r="F35" s="9">
        <f t="shared" si="1"/>
        <v>0</v>
      </c>
    </row>
    <row r="36" spans="1:7" ht="63" hidden="1">
      <c r="A36" s="7">
        <v>1163305010</v>
      </c>
      <c r="B36" s="8" t="s">
        <v>268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idden="1">
      <c r="A37" s="3">
        <v>1170000000</v>
      </c>
      <c r="B37" s="13" t="s">
        <v>135</v>
      </c>
      <c r="C37" s="5">
        <f>C38+C39</f>
        <v>0</v>
      </c>
      <c r="D37" s="5">
        <f>D38+D39</f>
        <v>0.62</v>
      </c>
      <c r="E37" s="5" t="e">
        <f t="shared" si="0"/>
        <v>#DIV/0!</v>
      </c>
      <c r="F37" s="5">
        <f t="shared" si="1"/>
        <v>0.62</v>
      </c>
    </row>
    <row r="38" spans="1:7" hidden="1">
      <c r="A38" s="7">
        <v>1170105005</v>
      </c>
      <c r="B38" s="8" t="s">
        <v>18</v>
      </c>
      <c r="C38" s="9">
        <v>0</v>
      </c>
      <c r="D38" s="9">
        <v>0.62</v>
      </c>
      <c r="E38" s="9" t="e">
        <f t="shared" si="0"/>
        <v>#DIV/0!</v>
      </c>
      <c r="F38" s="9">
        <f t="shared" si="1"/>
        <v>0.62</v>
      </c>
    </row>
    <row r="39" spans="1:7" hidden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9.5" customHeight="1">
      <c r="A40" s="3">
        <v>1000000000</v>
      </c>
      <c r="B40" s="4" t="s">
        <v>19</v>
      </c>
      <c r="C40" s="127">
        <f>SUM(C4,C25)</f>
        <v>3711.2200000000003</v>
      </c>
      <c r="D40" s="127">
        <f>D4+D25</f>
        <v>3325.6910499999999</v>
      </c>
      <c r="E40" s="5">
        <f t="shared" si="0"/>
        <v>89.611800162749716</v>
      </c>
      <c r="F40" s="5">
        <f t="shared" si="1"/>
        <v>-385.52895000000035</v>
      </c>
    </row>
    <row r="41" spans="1:7" s="6" customFormat="1" ht="20.25" customHeight="1">
      <c r="A41" s="3">
        <v>2000000000</v>
      </c>
      <c r="B41" s="4" t="s">
        <v>20</v>
      </c>
      <c r="C41" s="388">
        <f>C42+C43+C44+C46+C47+C45+C48</f>
        <v>6582.335</v>
      </c>
      <c r="D41" s="388">
        <f>D42+D43+D44+D46+D47+D45+D48</f>
        <v>5000.5869700000012</v>
      </c>
      <c r="E41" s="5">
        <f t="shared" si="0"/>
        <v>75.96980357274434</v>
      </c>
      <c r="F41" s="5">
        <f t="shared" si="1"/>
        <v>-1581.7480299999988</v>
      </c>
      <c r="G41" s="19"/>
    </row>
    <row r="42" spans="1:7" ht="19.5" customHeight="1">
      <c r="A42" s="16">
        <v>2021000000</v>
      </c>
      <c r="B42" s="17" t="s">
        <v>21</v>
      </c>
      <c r="C42" s="389">
        <f>3530.2+26.311</f>
        <v>3556.511</v>
      </c>
      <c r="D42" s="390">
        <v>3125.366</v>
      </c>
      <c r="E42" s="9">
        <f t="shared" si="0"/>
        <v>87.877304470589294</v>
      </c>
      <c r="F42" s="9">
        <f t="shared" si="1"/>
        <v>-431.14499999999998</v>
      </c>
    </row>
    <row r="43" spans="1:7" ht="27.75" hidden="1" customHeight="1">
      <c r="A43" s="16">
        <v>2021500200</v>
      </c>
      <c r="B43" s="17" t="s">
        <v>232</v>
      </c>
      <c r="C43" s="12">
        <v>150</v>
      </c>
      <c r="D43" s="20">
        <v>0</v>
      </c>
      <c r="E43" s="9">
        <f t="shared" si="0"/>
        <v>0</v>
      </c>
      <c r="F43" s="9">
        <f t="shared" si="1"/>
        <v>-150</v>
      </c>
    </row>
    <row r="44" spans="1:7" ht="21" customHeight="1">
      <c r="A44" s="16">
        <v>2022000000</v>
      </c>
      <c r="B44" s="17" t="s">
        <v>22</v>
      </c>
      <c r="C44" s="12">
        <v>2311.98</v>
      </c>
      <c r="D44" s="10">
        <v>1311.752</v>
      </c>
      <c r="E44" s="9">
        <f t="shared" si="0"/>
        <v>56.737169006652302</v>
      </c>
      <c r="F44" s="9">
        <f t="shared" si="1"/>
        <v>-1000.2280000000001</v>
      </c>
    </row>
    <row r="45" spans="1:7" hidden="1">
      <c r="A45" s="16">
        <v>2022999910</v>
      </c>
      <c r="B45" s="18" t="s">
        <v>352</v>
      </c>
      <c r="C45" s="12">
        <v>0</v>
      </c>
      <c r="D45" s="10">
        <v>0</v>
      </c>
      <c r="E45" s="9" t="e">
        <f>SUM(D45/C45*100)</f>
        <v>#DIV/0!</v>
      </c>
      <c r="F45" s="9">
        <f>SUM(D45-C45)</f>
        <v>0</v>
      </c>
    </row>
    <row r="46" spans="1:7" ht="21" customHeight="1">
      <c r="A46" s="16">
        <v>2023000000</v>
      </c>
      <c r="B46" s="17" t="s">
        <v>23</v>
      </c>
      <c r="C46" s="12">
        <v>154.24100000000001</v>
      </c>
      <c r="D46" s="251">
        <v>153.86799999999999</v>
      </c>
      <c r="E46" s="9">
        <f t="shared" si="0"/>
        <v>99.758170655013885</v>
      </c>
      <c r="F46" s="9">
        <f t="shared" si="1"/>
        <v>-0.37300000000001887</v>
      </c>
    </row>
    <row r="47" spans="1:7" hidden="1">
      <c r="A47" s="16">
        <v>2020400000</v>
      </c>
      <c r="B47" s="17" t="s">
        <v>24</v>
      </c>
      <c r="C47" s="12">
        <v>0</v>
      </c>
      <c r="D47" s="252">
        <v>0</v>
      </c>
      <c r="E47" s="9" t="e">
        <f t="shared" si="0"/>
        <v>#DIV/0!</v>
      </c>
      <c r="F47" s="9">
        <f t="shared" si="1"/>
        <v>0</v>
      </c>
    </row>
    <row r="48" spans="1:7" ht="16.5" customHeight="1">
      <c r="A48" s="7">
        <v>2070500010</v>
      </c>
      <c r="B48" s="17" t="s">
        <v>353</v>
      </c>
      <c r="C48" s="12">
        <v>409.60300000000001</v>
      </c>
      <c r="D48" s="252">
        <v>409.60097000000002</v>
      </c>
      <c r="E48" s="9">
        <f t="shared" si="0"/>
        <v>99.99950439816115</v>
      </c>
      <c r="F48" s="9">
        <f t="shared" si="1"/>
        <v>-2.0299999999906504E-3</v>
      </c>
    </row>
    <row r="49" spans="1:8" ht="47.25" hidden="1">
      <c r="A49" s="16">
        <v>2020900000</v>
      </c>
      <c r="B49" s="18" t="s">
        <v>25</v>
      </c>
      <c r="C49" s="12"/>
      <c r="D49" s="252"/>
      <c r="E49" s="9" t="e">
        <f t="shared" si="0"/>
        <v>#DIV/0!</v>
      </c>
      <c r="F49" s="9">
        <f t="shared" si="1"/>
        <v>0</v>
      </c>
    </row>
    <row r="50" spans="1:8" hidden="1">
      <c r="A50" s="7">
        <v>2190500005</v>
      </c>
      <c r="B50" s="11" t="s">
        <v>26</v>
      </c>
      <c r="C50" s="14">
        <v>0</v>
      </c>
      <c r="D50" s="14"/>
      <c r="E50" s="5"/>
      <c r="F50" s="5">
        <f>SUM(D50-C50)</f>
        <v>0</v>
      </c>
    </row>
    <row r="51" spans="1:8" s="6" customFormat="1" ht="31.5" hidden="1">
      <c r="A51" s="3">
        <v>3000000000</v>
      </c>
      <c r="B51" s="13" t="s">
        <v>27</v>
      </c>
      <c r="C51" s="122">
        <v>0</v>
      </c>
      <c r="D51" s="14">
        <v>0</v>
      </c>
      <c r="E51" s="5" t="e">
        <f t="shared" si="0"/>
        <v>#DIV/0!</v>
      </c>
      <c r="F51" s="5">
        <f t="shared" si="1"/>
        <v>0</v>
      </c>
    </row>
    <row r="52" spans="1:8" s="6" customFormat="1" ht="23.25" customHeight="1">
      <c r="A52" s="3"/>
      <c r="B52" s="4" t="s">
        <v>28</v>
      </c>
      <c r="C52" s="5">
        <f>SUM(C40,C41,C51)</f>
        <v>10293.555</v>
      </c>
      <c r="D52" s="409">
        <f>D40+D41</f>
        <v>8326.2780200000016</v>
      </c>
      <c r="E52" s="5">
        <f t="shared" si="0"/>
        <v>80.888264744298752</v>
      </c>
      <c r="F52" s="5">
        <f t="shared" si="1"/>
        <v>-1967.2769799999987</v>
      </c>
      <c r="G52" s="94"/>
      <c r="H52" s="94"/>
    </row>
    <row r="53" spans="1:8" s="6" customFormat="1">
      <c r="A53" s="3"/>
      <c r="B53" s="21" t="s">
        <v>321</v>
      </c>
      <c r="C53" s="5">
        <f>C52-C100</f>
        <v>-101.57055000000037</v>
      </c>
      <c r="D53" s="5">
        <f>D52-D100</f>
        <v>1154.9864200000011</v>
      </c>
      <c r="E53" s="22"/>
      <c r="F53" s="22"/>
    </row>
    <row r="54" spans="1:8" ht="32.25" customHeight="1">
      <c r="A54" s="23"/>
      <c r="B54" s="24"/>
      <c r="C54" s="115"/>
      <c r="D54" s="115"/>
      <c r="E54" s="26"/>
      <c r="F54" s="27"/>
    </row>
    <row r="55" spans="1:8" ht="63">
      <c r="A55" s="28" t="s">
        <v>1</v>
      </c>
      <c r="B55" s="28" t="s">
        <v>29</v>
      </c>
      <c r="C55" s="146" t="s">
        <v>346</v>
      </c>
      <c r="D55" s="147" t="s">
        <v>418</v>
      </c>
      <c r="E55" s="72" t="s">
        <v>3</v>
      </c>
      <c r="F55" s="74" t="s">
        <v>4</v>
      </c>
    </row>
    <row r="56" spans="1:8">
      <c r="A56" s="2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7.25" customHeight="1">
      <c r="A57" s="30" t="s">
        <v>30</v>
      </c>
      <c r="B57" s="31" t="s">
        <v>31</v>
      </c>
      <c r="C57" s="102">
        <f>C58+C59+C60+C61+C62+C64+C63</f>
        <v>1851.9180000000001</v>
      </c>
      <c r="D57" s="102">
        <f>D58+D59+D60+D61+D62+D64+D63</f>
        <v>1323.3469</v>
      </c>
      <c r="E57" s="34">
        <f>SUM(D57/C57*100)</f>
        <v>71.458180113806335</v>
      </c>
      <c r="F57" s="34">
        <f>SUM(D57-C57)</f>
        <v>-528.57110000000011</v>
      </c>
    </row>
    <row r="58" spans="1:8" s="6" customFormat="1" ht="0.75" hidden="1" customHeight="1">
      <c r="A58" s="35" t="s">
        <v>32</v>
      </c>
      <c r="B58" s="36" t="s">
        <v>33</v>
      </c>
      <c r="C58" s="92"/>
      <c r="D58" s="92"/>
      <c r="E58" s="38"/>
      <c r="F58" s="38"/>
    </row>
    <row r="59" spans="1:8" ht="16.5" customHeight="1">
      <c r="A59" s="35" t="s">
        <v>34</v>
      </c>
      <c r="B59" s="39" t="s">
        <v>35</v>
      </c>
      <c r="C59" s="148">
        <v>1840.8510000000001</v>
      </c>
      <c r="D59" s="92">
        <v>1317.2799</v>
      </c>
      <c r="E59" s="38">
        <f t="shared" ref="E59:E100" si="3">SUM(D59/C59*100)</f>
        <v>71.558203244043099</v>
      </c>
      <c r="F59" s="38">
        <f t="shared" ref="F59:F100" si="4">SUM(D59-C59)</f>
        <v>-523.57110000000011</v>
      </c>
    </row>
    <row r="60" spans="1:8" ht="12.75" hidden="1" customHeight="1">
      <c r="A60" s="35" t="s">
        <v>36</v>
      </c>
      <c r="B60" s="39" t="s">
        <v>37</v>
      </c>
      <c r="C60" s="92"/>
      <c r="D60" s="92"/>
      <c r="E60" s="38" t="e">
        <f t="shared" si="3"/>
        <v>#DIV/0!</v>
      </c>
      <c r="F60" s="38">
        <f t="shared" si="4"/>
        <v>0</v>
      </c>
    </row>
    <row r="61" spans="1:8" ht="12.75" hidden="1" customHeight="1">
      <c r="A61" s="35" t="s">
        <v>38</v>
      </c>
      <c r="B61" s="39" t="s">
        <v>39</v>
      </c>
      <c r="C61" s="92"/>
      <c r="D61" s="92"/>
      <c r="E61" s="38" t="e">
        <f t="shared" si="3"/>
        <v>#DIV/0!</v>
      </c>
      <c r="F61" s="38">
        <f t="shared" si="4"/>
        <v>0</v>
      </c>
    </row>
    <row r="62" spans="1:8" ht="16.5" hidden="1" customHeight="1">
      <c r="A62" s="35" t="s">
        <v>40</v>
      </c>
      <c r="B62" s="39" t="s">
        <v>41</v>
      </c>
      <c r="C62" s="92">
        <v>0</v>
      </c>
      <c r="D62" s="92">
        <v>0</v>
      </c>
      <c r="E62" s="38" t="e">
        <f t="shared" si="3"/>
        <v>#DIV/0!</v>
      </c>
      <c r="F62" s="38">
        <f t="shared" si="4"/>
        <v>0</v>
      </c>
    </row>
    <row r="63" spans="1:8" ht="18" customHeight="1">
      <c r="A63" s="35" t="s">
        <v>42</v>
      </c>
      <c r="B63" s="39" t="s">
        <v>43</v>
      </c>
      <c r="C63" s="104">
        <v>5</v>
      </c>
      <c r="D63" s="104">
        <v>0</v>
      </c>
      <c r="E63" s="38">
        <f t="shared" si="3"/>
        <v>0</v>
      </c>
      <c r="F63" s="38">
        <f t="shared" si="4"/>
        <v>-5</v>
      </c>
    </row>
    <row r="64" spans="1:8" ht="18" customHeight="1">
      <c r="A64" s="35" t="s">
        <v>44</v>
      </c>
      <c r="B64" s="39" t="s">
        <v>45</v>
      </c>
      <c r="C64" s="92">
        <v>6.0670000000000002</v>
      </c>
      <c r="D64" s="92">
        <v>6.0670000000000002</v>
      </c>
      <c r="E64" s="38">
        <f t="shared" si="3"/>
        <v>100</v>
      </c>
      <c r="F64" s="38">
        <f t="shared" si="4"/>
        <v>0</v>
      </c>
    </row>
    <row r="65" spans="1:7" s="6" customFormat="1" ht="15.75" customHeight="1">
      <c r="A65" s="41" t="s">
        <v>46</v>
      </c>
      <c r="B65" s="42" t="s">
        <v>47</v>
      </c>
      <c r="C65" s="22">
        <f>C66</f>
        <v>150.881</v>
      </c>
      <c r="D65" s="22">
        <f>D66</f>
        <v>125.86886</v>
      </c>
      <c r="E65" s="34">
        <f t="shared" si="3"/>
        <v>83.422604569163767</v>
      </c>
      <c r="F65" s="34">
        <f t="shared" si="4"/>
        <v>-25.012140000000002</v>
      </c>
    </row>
    <row r="66" spans="1:7">
      <c r="A66" s="43" t="s">
        <v>48</v>
      </c>
      <c r="B66" s="44" t="s">
        <v>49</v>
      </c>
      <c r="C66" s="92">
        <v>150.881</v>
      </c>
      <c r="D66" s="92">
        <v>125.86886</v>
      </c>
      <c r="E66" s="38">
        <f t="shared" si="3"/>
        <v>83.422604569163767</v>
      </c>
      <c r="F66" s="38">
        <f t="shared" si="4"/>
        <v>-25.012140000000002</v>
      </c>
    </row>
    <row r="67" spans="1:7" s="6" customFormat="1" ht="20.25" customHeight="1">
      <c r="A67" s="30" t="s">
        <v>50</v>
      </c>
      <c r="B67" s="31" t="s">
        <v>51</v>
      </c>
      <c r="C67" s="22">
        <f>C70+C71</f>
        <v>4.8029999999999999</v>
      </c>
      <c r="D67" s="22">
        <f>D70+D71</f>
        <v>2</v>
      </c>
      <c r="E67" s="34">
        <f t="shared" si="3"/>
        <v>41.640641265875495</v>
      </c>
      <c r="F67" s="34">
        <f t="shared" si="4"/>
        <v>-2.8029999999999999</v>
      </c>
    </row>
    <row r="68" spans="1:7" ht="0.75" hidden="1" customHeight="1">
      <c r="A68" s="35" t="s">
        <v>52</v>
      </c>
      <c r="B68" s="39" t="s">
        <v>53</v>
      </c>
      <c r="C68" s="92"/>
      <c r="D68" s="92"/>
      <c r="E68" s="34" t="e">
        <f t="shared" si="3"/>
        <v>#DIV/0!</v>
      </c>
      <c r="F68" s="34">
        <f t="shared" si="4"/>
        <v>0</v>
      </c>
    </row>
    <row r="69" spans="1:7" ht="16.5" hidden="1" customHeight="1">
      <c r="A69" s="45" t="s">
        <v>54</v>
      </c>
      <c r="B69" s="39" t="s">
        <v>55</v>
      </c>
      <c r="C69" s="92">
        <v>0</v>
      </c>
      <c r="D69" s="92"/>
      <c r="E69" s="34" t="e">
        <f t="shared" si="3"/>
        <v>#DIV/0!</v>
      </c>
      <c r="F69" s="34">
        <f t="shared" si="4"/>
        <v>0</v>
      </c>
    </row>
    <row r="70" spans="1:7" ht="15.75" customHeight="1">
      <c r="A70" s="46" t="s">
        <v>56</v>
      </c>
      <c r="B70" s="47" t="s">
        <v>57</v>
      </c>
      <c r="C70" s="92">
        <v>2.8029999999999999</v>
      </c>
      <c r="D70" s="92">
        <v>2</v>
      </c>
      <c r="E70" s="34">
        <f t="shared" si="3"/>
        <v>71.352122725651085</v>
      </c>
      <c r="F70" s="34">
        <f t="shared" si="4"/>
        <v>-0.80299999999999994</v>
      </c>
    </row>
    <row r="71" spans="1:7" ht="15" customHeight="1">
      <c r="A71" s="46" t="s">
        <v>219</v>
      </c>
      <c r="B71" s="47" t="s">
        <v>220</v>
      </c>
      <c r="C71" s="92">
        <v>2</v>
      </c>
      <c r="D71" s="92">
        <v>0</v>
      </c>
      <c r="E71" s="38">
        <f t="shared" si="3"/>
        <v>0</v>
      </c>
      <c r="F71" s="38">
        <f t="shared" si="4"/>
        <v>-2</v>
      </c>
    </row>
    <row r="72" spans="1:7" s="6" customFormat="1" ht="17.25" customHeight="1">
      <c r="A72" s="30" t="s">
        <v>58</v>
      </c>
      <c r="B72" s="31" t="s">
        <v>59</v>
      </c>
      <c r="C72" s="105">
        <f>C74+C75+C76+C73</f>
        <v>3653.6055499999998</v>
      </c>
      <c r="D72" s="105">
        <f>SUM(D73:D76)</f>
        <v>2974.95487</v>
      </c>
      <c r="E72" s="34">
        <f t="shared" si="3"/>
        <v>81.425179299938392</v>
      </c>
      <c r="F72" s="34">
        <f t="shared" si="4"/>
        <v>-678.65067999999974</v>
      </c>
    </row>
    <row r="73" spans="1:7" ht="15.75" customHeight="1">
      <c r="A73" s="35" t="s">
        <v>60</v>
      </c>
      <c r="B73" s="39" t="s">
        <v>61</v>
      </c>
      <c r="C73" s="106">
        <v>7.5</v>
      </c>
      <c r="D73" s="92">
        <v>6.25</v>
      </c>
      <c r="E73" s="38">
        <f t="shared" si="3"/>
        <v>83.333333333333343</v>
      </c>
      <c r="F73" s="38">
        <f t="shared" si="4"/>
        <v>-1.25</v>
      </c>
    </row>
    <row r="74" spans="1:7" s="6" customFormat="1" ht="19.5" customHeight="1">
      <c r="A74" s="35" t="s">
        <v>62</v>
      </c>
      <c r="B74" s="39" t="s">
        <v>63</v>
      </c>
      <c r="C74" s="106">
        <v>865.5</v>
      </c>
      <c r="D74" s="92">
        <v>601.46876999999995</v>
      </c>
      <c r="E74" s="38">
        <f t="shared" si="3"/>
        <v>69.493792027729626</v>
      </c>
      <c r="F74" s="38">
        <f t="shared" si="4"/>
        <v>-264.03123000000005</v>
      </c>
      <c r="G74" s="50"/>
    </row>
    <row r="75" spans="1:7">
      <c r="A75" s="35" t="s">
        <v>64</v>
      </c>
      <c r="B75" s="39" t="s">
        <v>65</v>
      </c>
      <c r="C75" s="106">
        <v>2485.1755499999999</v>
      </c>
      <c r="D75" s="92">
        <v>2241.6111000000001</v>
      </c>
      <c r="E75" s="38">
        <f t="shared" si="3"/>
        <v>90.199306040975657</v>
      </c>
      <c r="F75" s="38">
        <f t="shared" si="4"/>
        <v>-243.56444999999985</v>
      </c>
    </row>
    <row r="76" spans="1:7">
      <c r="A76" s="35" t="s">
        <v>66</v>
      </c>
      <c r="B76" s="39" t="s">
        <v>67</v>
      </c>
      <c r="C76" s="106">
        <v>295.43</v>
      </c>
      <c r="D76" s="92">
        <v>125.625</v>
      </c>
      <c r="E76" s="38">
        <f t="shared" si="3"/>
        <v>42.522763429577225</v>
      </c>
      <c r="F76" s="38">
        <f t="shared" si="4"/>
        <v>-169.80500000000001</v>
      </c>
    </row>
    <row r="77" spans="1:7" s="6" customFormat="1" ht="22.5" customHeight="1">
      <c r="A77" s="30" t="s">
        <v>68</v>
      </c>
      <c r="B77" s="31" t="s">
        <v>69</v>
      </c>
      <c r="C77" s="22">
        <f>SUM(C78:C81)</f>
        <v>966.47</v>
      </c>
      <c r="D77" s="22">
        <f>SUM(D78:D81)</f>
        <v>490.80759999999998</v>
      </c>
      <c r="E77" s="34">
        <f t="shared" si="3"/>
        <v>50.783531821991367</v>
      </c>
      <c r="F77" s="34">
        <f t="shared" si="4"/>
        <v>-475.66240000000005</v>
      </c>
    </row>
    <row r="78" spans="1:7" ht="2.25" hidden="1" customHeight="1">
      <c r="A78" s="35" t="s">
        <v>70</v>
      </c>
      <c r="B78" s="51" t="s">
        <v>71</v>
      </c>
      <c r="C78" s="92">
        <v>0</v>
      </c>
      <c r="D78" s="92">
        <v>0</v>
      </c>
      <c r="E78" s="38" t="e">
        <f t="shared" si="3"/>
        <v>#DIV/0!</v>
      </c>
      <c r="F78" s="38">
        <f t="shared" si="4"/>
        <v>0</v>
      </c>
    </row>
    <row r="79" spans="1:7" ht="17.25" hidden="1" customHeight="1">
      <c r="A79" s="35" t="s">
        <v>72</v>
      </c>
      <c r="B79" s="51" t="s">
        <v>73</v>
      </c>
      <c r="C79" s="92"/>
      <c r="D79" s="92"/>
      <c r="E79" s="38" t="e">
        <f t="shared" si="3"/>
        <v>#DIV/0!</v>
      </c>
      <c r="F79" s="38">
        <f t="shared" si="4"/>
        <v>0</v>
      </c>
    </row>
    <row r="80" spans="1:7" ht="15" customHeight="1">
      <c r="A80" s="35" t="s">
        <v>74</v>
      </c>
      <c r="B80" s="39" t="s">
        <v>75</v>
      </c>
      <c r="C80" s="92">
        <v>966.47</v>
      </c>
      <c r="D80" s="92">
        <v>490.80759999999998</v>
      </c>
      <c r="E80" s="38">
        <f t="shared" si="3"/>
        <v>50.783531821991367</v>
      </c>
      <c r="F80" s="38">
        <f t="shared" si="4"/>
        <v>-475.66240000000005</v>
      </c>
    </row>
    <row r="81" spans="1:6" ht="18" hidden="1" customHeight="1">
      <c r="A81" s="35" t="s">
        <v>264</v>
      </c>
      <c r="B81" s="39" t="s">
        <v>265</v>
      </c>
      <c r="C81" s="92">
        <v>0</v>
      </c>
      <c r="D81" s="92">
        <v>0</v>
      </c>
      <c r="E81" s="38" t="e">
        <f t="shared" si="3"/>
        <v>#DIV/0!</v>
      </c>
      <c r="F81" s="38">
        <f t="shared" si="4"/>
        <v>0</v>
      </c>
    </row>
    <row r="82" spans="1:6" s="6" customFormat="1" ht="18" customHeight="1">
      <c r="A82" s="30" t="s">
        <v>86</v>
      </c>
      <c r="B82" s="31" t="s">
        <v>87</v>
      </c>
      <c r="C82" s="22">
        <f>C83+C84</f>
        <v>3742.4479999999999</v>
      </c>
      <c r="D82" s="22">
        <f>D83+D84</f>
        <v>2233.7083699999998</v>
      </c>
      <c r="E82" s="34">
        <f t="shared" si="3"/>
        <v>59.685755687186571</v>
      </c>
      <c r="F82" s="34">
        <f t="shared" si="4"/>
        <v>-1508.73963</v>
      </c>
    </row>
    <row r="83" spans="1:6" ht="17.25" customHeight="1">
      <c r="A83" s="35" t="s">
        <v>88</v>
      </c>
      <c r="B83" s="39" t="s">
        <v>234</v>
      </c>
      <c r="C83" s="92">
        <v>3742.4479999999999</v>
      </c>
      <c r="D83" s="92">
        <v>2233.7083699999998</v>
      </c>
      <c r="E83" s="38">
        <f t="shared" si="3"/>
        <v>59.685755687186571</v>
      </c>
      <c r="F83" s="38">
        <f t="shared" si="4"/>
        <v>-1508.73963</v>
      </c>
    </row>
    <row r="84" spans="1:6" ht="2.25" hidden="1" customHeight="1">
      <c r="A84" s="35" t="s">
        <v>273</v>
      </c>
      <c r="B84" s="39" t="s">
        <v>274</v>
      </c>
      <c r="C84" s="92"/>
      <c r="D84" s="92">
        <v>0</v>
      </c>
      <c r="E84" s="38" t="e">
        <f t="shared" si="3"/>
        <v>#DIV/0!</v>
      </c>
      <c r="F84" s="38">
        <f t="shared" si="4"/>
        <v>0</v>
      </c>
    </row>
    <row r="85" spans="1:6" s="6" customFormat="1" ht="15" customHeight="1">
      <c r="A85" s="52">
        <v>1000</v>
      </c>
      <c r="B85" s="31" t="s">
        <v>89</v>
      </c>
      <c r="C85" s="22">
        <f>SUM(C86:C89)</f>
        <v>5</v>
      </c>
      <c r="D85" s="22">
        <f>SUM(D86:D89)</f>
        <v>5</v>
      </c>
      <c r="E85" s="34">
        <f t="shared" si="3"/>
        <v>100</v>
      </c>
      <c r="F85" s="34">
        <f t="shared" si="4"/>
        <v>0</v>
      </c>
    </row>
    <row r="86" spans="1:6" hidden="1">
      <c r="A86" s="53">
        <v>1001</v>
      </c>
      <c r="B86" s="54" t="s">
        <v>90</v>
      </c>
      <c r="C86" s="92"/>
      <c r="D86" s="92"/>
      <c r="E86" s="34" t="e">
        <f t="shared" si="3"/>
        <v>#DIV/0!</v>
      </c>
      <c r="F86" s="38">
        <f t="shared" si="4"/>
        <v>0</v>
      </c>
    </row>
    <row r="87" spans="1:6" hidden="1">
      <c r="A87" s="53">
        <v>1003</v>
      </c>
      <c r="B87" s="54" t="s">
        <v>91</v>
      </c>
      <c r="C87" s="92">
        <v>0</v>
      </c>
      <c r="D87" s="92">
        <v>0</v>
      </c>
      <c r="E87" s="34" t="e">
        <f t="shared" si="3"/>
        <v>#DIV/0!</v>
      </c>
      <c r="F87" s="38">
        <f t="shared" si="4"/>
        <v>0</v>
      </c>
    </row>
    <row r="88" spans="1:6" hidden="1">
      <c r="A88" s="53">
        <v>1004</v>
      </c>
      <c r="B88" s="54" t="s">
        <v>92</v>
      </c>
      <c r="C88" s="92"/>
      <c r="D88" s="276"/>
      <c r="E88" s="34" t="e">
        <f t="shared" si="3"/>
        <v>#DIV/0!</v>
      </c>
      <c r="F88" s="38">
        <f t="shared" si="4"/>
        <v>0</v>
      </c>
    </row>
    <row r="89" spans="1:6">
      <c r="A89" s="35" t="s">
        <v>93</v>
      </c>
      <c r="B89" s="39" t="s">
        <v>94</v>
      </c>
      <c r="C89" s="92">
        <v>5</v>
      </c>
      <c r="D89" s="92">
        <v>5</v>
      </c>
      <c r="E89" s="38">
        <f t="shared" si="3"/>
        <v>100</v>
      </c>
      <c r="F89" s="38">
        <f t="shared" si="4"/>
        <v>0</v>
      </c>
    </row>
    <row r="90" spans="1:6" ht="15" customHeight="1">
      <c r="A90" s="30" t="s">
        <v>95</v>
      </c>
      <c r="B90" s="31" t="s">
        <v>96</v>
      </c>
      <c r="C90" s="22">
        <f>C91+C92+C93+C94+C95</f>
        <v>20</v>
      </c>
      <c r="D90" s="22">
        <f>D91+D92+D93+D94+D95</f>
        <v>15.605</v>
      </c>
      <c r="E90" s="34">
        <f t="shared" si="3"/>
        <v>78.025000000000006</v>
      </c>
      <c r="F90" s="22">
        <f>F91+F92+F93+F94+F95</f>
        <v>-4.3949999999999996</v>
      </c>
    </row>
    <row r="91" spans="1:6" ht="15.75" customHeight="1">
      <c r="A91" s="35" t="s">
        <v>97</v>
      </c>
      <c r="B91" s="39" t="s">
        <v>98</v>
      </c>
      <c r="C91" s="92">
        <v>20</v>
      </c>
      <c r="D91" s="92">
        <v>15.605</v>
      </c>
      <c r="E91" s="38">
        <f t="shared" si="3"/>
        <v>78.025000000000006</v>
      </c>
      <c r="F91" s="38">
        <f>SUM(D91-C91)</f>
        <v>-4.3949999999999996</v>
      </c>
    </row>
    <row r="92" spans="1:6" ht="15" hidden="1" customHeight="1">
      <c r="A92" s="35" t="s">
        <v>99</v>
      </c>
      <c r="B92" s="39" t="s">
        <v>100</v>
      </c>
      <c r="C92" s="132"/>
      <c r="D92" s="92"/>
      <c r="E92" s="38" t="e">
        <f t="shared" si="3"/>
        <v>#DIV/0!</v>
      </c>
      <c r="F92" s="38">
        <f>SUM(D92-C92)</f>
        <v>0</v>
      </c>
    </row>
    <row r="93" spans="1:6" ht="15" hidden="1" customHeight="1">
      <c r="A93" s="35" t="s">
        <v>101</v>
      </c>
      <c r="B93" s="39" t="s">
        <v>102</v>
      </c>
      <c r="C93" s="132"/>
      <c r="D93" s="92"/>
      <c r="E93" s="38" t="e">
        <f t="shared" si="3"/>
        <v>#DIV/0!</v>
      </c>
      <c r="F93" s="38"/>
    </row>
    <row r="94" spans="1:6" ht="15" hidden="1" customHeight="1">
      <c r="A94" s="35" t="s">
        <v>103</v>
      </c>
      <c r="B94" s="39" t="s">
        <v>104</v>
      </c>
      <c r="C94" s="132"/>
      <c r="D94" s="92"/>
      <c r="E94" s="38" t="e">
        <f t="shared" si="3"/>
        <v>#DIV/0!</v>
      </c>
      <c r="F94" s="38"/>
    </row>
    <row r="95" spans="1:6" ht="57.75" hidden="1" customHeight="1">
      <c r="A95" s="35" t="s">
        <v>105</v>
      </c>
      <c r="B95" s="39" t="s">
        <v>106</v>
      </c>
      <c r="C95" s="240"/>
      <c r="D95" s="92"/>
      <c r="E95" s="38" t="e">
        <f t="shared" si="3"/>
        <v>#DIV/0!</v>
      </c>
      <c r="F95" s="38"/>
    </row>
    <row r="96" spans="1:6" s="6" customFormat="1" ht="18" hidden="1" customHeight="1">
      <c r="A96" s="52">
        <v>1400</v>
      </c>
      <c r="B96" s="56" t="s">
        <v>115</v>
      </c>
      <c r="C96" s="48"/>
      <c r="D96" s="105"/>
      <c r="E96" s="34" t="e">
        <f t="shared" si="3"/>
        <v>#DIV/0!</v>
      </c>
      <c r="F96" s="34">
        <f t="shared" si="4"/>
        <v>0</v>
      </c>
    </row>
    <row r="97" spans="1:7" ht="16.5" hidden="1" customHeight="1">
      <c r="A97" s="53">
        <v>1401</v>
      </c>
      <c r="B97" s="54" t="s">
        <v>116</v>
      </c>
      <c r="C97" s="106">
        <v>0</v>
      </c>
      <c r="D97" s="92">
        <v>0</v>
      </c>
      <c r="E97" s="38" t="e">
        <f t="shared" si="3"/>
        <v>#DIV/0!</v>
      </c>
      <c r="F97" s="38">
        <f t="shared" si="4"/>
        <v>0</v>
      </c>
    </row>
    <row r="98" spans="1:7" ht="20.25" hidden="1" customHeight="1">
      <c r="A98" s="53">
        <v>1402</v>
      </c>
      <c r="B98" s="54" t="s">
        <v>117</v>
      </c>
      <c r="C98" s="106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7" ht="13.5" hidden="1" customHeight="1">
      <c r="A99" s="53">
        <v>1403</v>
      </c>
      <c r="B99" s="54" t="s">
        <v>118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7" s="6" customFormat="1" ht="15" customHeight="1">
      <c r="A100" s="52"/>
      <c r="B100" s="57" t="s">
        <v>119</v>
      </c>
      <c r="C100" s="102">
        <f>C57+C65+C67+C72+C77+C82+C90+C85+C96</f>
        <v>10395.125550000001</v>
      </c>
      <c r="D100" s="102">
        <f>D57+D65+D67+D72+D77+D82+D90+D85+D96</f>
        <v>7171.2916000000005</v>
      </c>
      <c r="E100" s="34">
        <f t="shared" si="3"/>
        <v>68.987060959547534</v>
      </c>
      <c r="F100" s="34">
        <f t="shared" si="4"/>
        <v>-3223.8339500000002</v>
      </c>
      <c r="G100" s="94"/>
    </row>
    <row r="101" spans="1:7" ht="5.25" customHeight="1">
      <c r="D101" s="61"/>
    </row>
    <row r="102" spans="1:7" s="65" customFormat="1" ht="12.75">
      <c r="A102" s="63" t="s">
        <v>120</v>
      </c>
      <c r="B102" s="63"/>
      <c r="C102" s="133"/>
      <c r="D102" s="64"/>
    </row>
    <row r="103" spans="1:7" s="65" customFormat="1" ht="12.75">
      <c r="A103" s="66" t="s">
        <v>121</v>
      </c>
      <c r="B103" s="66"/>
      <c r="C103" s="133" t="s">
        <v>122</v>
      </c>
    </row>
    <row r="141" hidden="1"/>
  </sheetData>
  <customSheetViews>
    <customSheetView guid="{8E17DC23-BE06-48DD-840B-6DD85B9E86D1}" scale="70" showPageBreaks="1" hiddenRows="1" view="pageBreakPreview">
      <selection activeCell="D41" activeCellId="2" sqref="C100:D100 C52:D53 D41"/>
      <pageMargins left="0.70866141732283472" right="0.70866141732283472" top="0.74803149606299213" bottom="0.74803149606299213" header="0.31496062992125984" footer="0.31496062992125984"/>
      <pageSetup paperSize="9" scale="62" orientation="portrait" r:id="rId1"/>
    </customSheetView>
    <customSheetView guid="{5BFCA170-DEAE-4D2C-98A0-1E68B427AC01}" showPageBreaks="1" hiddenRows="1" topLeftCell="A52">
      <selection activeCell="B100" sqref="B100"/>
      <pageMargins left="0.75" right="0.75" top="1" bottom="1" header="0.5" footer="0.5"/>
      <pageSetup paperSize="9" scale="46" orientation="portrait" r:id="rId2"/>
      <headerFooter alignWithMargins="0"/>
    </customSheetView>
    <customSheetView guid="{3DCB9AAA-F09C-4EA6-B992-F93E466D374A}" hiddenRows="1" topLeftCell="A52">
      <selection activeCell="B100" sqref="B100"/>
      <pageMargins left="0.75" right="0.75" top="1" bottom="1" header="0.5" footer="0.5"/>
      <pageSetup paperSize="9" scale="46" orientation="portrait" r:id="rId3"/>
      <headerFooter alignWithMargins="0"/>
    </customSheetView>
    <customSheetView guid="{1718F1EE-9F48-4DBE-9531-3B70F9C4A5DD}" scale="70" showPageBreaks="1" hiddenRows="1" view="pageBreakPreview" topLeftCell="A44">
      <selection activeCell="C100" sqref="C100:D100"/>
      <pageMargins left="0.75" right="0.75" top="1" bottom="1" header="0.5" footer="0.5"/>
      <pageSetup paperSize="9" scale="36" orientation="portrait" r:id="rId4"/>
      <headerFooter alignWithMargins="0"/>
    </customSheetView>
    <customSheetView guid="{42584DC0-1D41-4C93-9B38-C388E7B8DAC4}" scale="70" showPageBreaks="1" hiddenRows="1" view="pageBreakPreview" topLeftCell="A42">
      <selection activeCell="C90" sqref="C90"/>
      <pageMargins left="0.74803149606299213" right="0.74803149606299213" top="0.98425196850393704" bottom="0.98425196850393704" header="0.51181102362204722" footer="0.51181102362204722"/>
      <pageSetup paperSize="9" scale="55" orientation="portrait" r:id="rId5"/>
      <headerFooter alignWithMargins="0"/>
    </customSheetView>
    <customSheetView guid="{B30CE22D-C12F-4E12-8BB9-3AAE0A6991CC}" scale="70" showPageBreaks="1" printArea="1" hiddenRows="1" view="pageBreakPreview" topLeftCell="A37">
      <selection activeCell="C100" sqref="C100"/>
      <pageMargins left="0.74803149606299213" right="0.74803149606299213" top="0.98425196850393704" bottom="0.98425196850393704" header="0.51181102362204722" footer="0.51181102362204722"/>
      <pageSetup paperSize="9" scale="59" orientation="portrait" r:id="rId6"/>
      <headerFooter alignWithMargins="0"/>
    </customSheetView>
    <customSheetView guid="{A54C432C-6C68-4B53-A75C-446EB3A61B2B}" scale="70" showPageBreaks="1" hiddenRows="1" view="pageBreakPreview">
      <selection activeCell="D41" activeCellId="2" sqref="C100:D100 C52:D53 D41"/>
      <pageMargins left="0.70866141732283472" right="0.70866141732283472" top="0.74803149606299213" bottom="0.74803149606299213" header="0.31496062992125984" footer="0.31496062992125984"/>
      <pageSetup paperSize="9" scale="62" orientation="portrait" r:id="rId7"/>
    </customSheetView>
  </customSheetViews>
  <mergeCells count="2">
    <mergeCell ref="A1:F1"/>
    <mergeCell ref="A2:F2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2" orientation="portrait" r:id="rId8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H143"/>
  <sheetViews>
    <sheetView view="pageBreakPreview" topLeftCell="A66" zoomScale="70" zoomScaleNormal="100" zoomScaleSheetLayoutView="70" workbookViewId="0">
      <selection activeCell="C101" activeCellId="2" sqref="C52:D53 C41:D41 C101:D101"/>
    </sheetView>
  </sheetViews>
  <sheetFormatPr defaultRowHeight="15.75"/>
  <cols>
    <col min="1" max="1" width="14.7109375" style="58" customWidth="1"/>
    <col min="2" max="2" width="57.5703125" style="59" customWidth="1"/>
    <col min="3" max="3" width="16.140625" style="62" customWidth="1"/>
    <col min="4" max="4" width="15.5703125" style="62" customWidth="1"/>
    <col min="5" max="5" width="10.28515625" style="62" customWidth="1"/>
    <col min="6" max="6" width="10" style="62" customWidth="1"/>
    <col min="7" max="7" width="15.42578125" style="1" bestFit="1" customWidth="1"/>
    <col min="8" max="8" width="10.570312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9" t="s">
        <v>420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C5+C12+C14+C17+C7</f>
        <v>1683.25</v>
      </c>
      <c r="D4" s="5">
        <f>D5+D12+D14+D17+D7</f>
        <v>1172.83988</v>
      </c>
      <c r="E4" s="5">
        <f>SUM(D4/C4*100)</f>
        <v>69.677105599287088</v>
      </c>
      <c r="F4" s="5">
        <f>SUM(D4-C4)</f>
        <v>-510.41012000000001</v>
      </c>
    </row>
    <row r="5" spans="1:6" s="6" customFormat="1">
      <c r="A5" s="68">
        <v>1010000000</v>
      </c>
      <c r="B5" s="67" t="s">
        <v>6</v>
      </c>
      <c r="C5" s="5">
        <f>C6</f>
        <v>102.1</v>
      </c>
      <c r="D5" s="5">
        <f>D6</f>
        <v>72.043880000000001</v>
      </c>
      <c r="E5" s="5">
        <f t="shared" ref="E5:E52" si="0">SUM(D5/C5*100)</f>
        <v>70.562076395690511</v>
      </c>
      <c r="F5" s="5">
        <f t="shared" ref="F5:F52" si="1">SUM(D5-C5)</f>
        <v>-30.056119999999993</v>
      </c>
    </row>
    <row r="6" spans="1:6">
      <c r="A6" s="7">
        <v>1010200001</v>
      </c>
      <c r="B6" s="8" t="s">
        <v>229</v>
      </c>
      <c r="C6" s="9">
        <v>102.1</v>
      </c>
      <c r="D6" s="10">
        <v>72.043880000000001</v>
      </c>
      <c r="E6" s="9">
        <f t="shared" ref="E6:E11" si="2">SUM(D6/C6*100)</f>
        <v>70.562076395690511</v>
      </c>
      <c r="F6" s="9">
        <f t="shared" si="1"/>
        <v>-30.056119999999993</v>
      </c>
    </row>
    <row r="7" spans="1:6" ht="31.5">
      <c r="A7" s="3">
        <v>1030000000</v>
      </c>
      <c r="B7" s="13" t="s">
        <v>281</v>
      </c>
      <c r="C7" s="5">
        <f>C8+C10+C9</f>
        <v>597.75</v>
      </c>
      <c r="D7" s="5">
        <f>D8+D10+D9+D11</f>
        <v>522.41044999999986</v>
      </c>
      <c r="E7" s="9">
        <f t="shared" si="2"/>
        <v>87.396143872856527</v>
      </c>
      <c r="F7" s="9">
        <f t="shared" si="1"/>
        <v>-75.339550000000145</v>
      </c>
    </row>
    <row r="8" spans="1:6">
      <c r="A8" s="7">
        <v>1030223001</v>
      </c>
      <c r="B8" s="8" t="s">
        <v>283</v>
      </c>
      <c r="C8" s="9">
        <v>222.96</v>
      </c>
      <c r="D8" s="10">
        <v>230.42411000000001</v>
      </c>
      <c r="E8" s="9">
        <f t="shared" si="2"/>
        <v>103.34773501973449</v>
      </c>
      <c r="F8" s="9">
        <f t="shared" si="1"/>
        <v>7.4641100000000051</v>
      </c>
    </row>
    <row r="9" spans="1:6">
      <c r="A9" s="7">
        <v>1030224001</v>
      </c>
      <c r="B9" s="8" t="s">
        <v>289</v>
      </c>
      <c r="C9" s="9">
        <v>2.4</v>
      </c>
      <c r="D9" s="10">
        <v>2.1379000000000001</v>
      </c>
      <c r="E9" s="9">
        <f t="shared" si="2"/>
        <v>89.07916666666668</v>
      </c>
      <c r="F9" s="9">
        <f t="shared" si="1"/>
        <v>-0.26209999999999978</v>
      </c>
    </row>
    <row r="10" spans="1:6">
      <c r="A10" s="7">
        <v>1030225001</v>
      </c>
      <c r="B10" s="8" t="s">
        <v>282</v>
      </c>
      <c r="C10" s="9">
        <v>372.39</v>
      </c>
      <c r="D10" s="10">
        <v>341.89695999999998</v>
      </c>
      <c r="E10" s="9">
        <f t="shared" si="2"/>
        <v>91.811530921882962</v>
      </c>
      <c r="F10" s="9">
        <f t="shared" si="1"/>
        <v>-30.493040000000008</v>
      </c>
    </row>
    <row r="11" spans="1:6">
      <c r="A11" s="7">
        <v>1030226001</v>
      </c>
      <c r="B11" s="8" t="s">
        <v>291</v>
      </c>
      <c r="C11" s="9">
        <v>0</v>
      </c>
      <c r="D11" s="10">
        <v>-52.048520000000003</v>
      </c>
      <c r="E11" s="9" t="e">
        <f t="shared" si="2"/>
        <v>#DIV/0!</v>
      </c>
      <c r="F11" s="9">
        <f t="shared" si="1"/>
        <v>-52.048520000000003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3.0432000000000001</v>
      </c>
      <c r="E12" s="5">
        <f t="shared" si="0"/>
        <v>30.432000000000002</v>
      </c>
      <c r="F12" s="5">
        <f t="shared" si="1"/>
        <v>-6.9567999999999994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3.0432000000000001</v>
      </c>
      <c r="E13" s="9">
        <f t="shared" si="0"/>
        <v>30.432000000000002</v>
      </c>
      <c r="F13" s="9">
        <f t="shared" si="1"/>
        <v>-6.9567999999999994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968.4</v>
      </c>
      <c r="D14" s="5">
        <f>D15+D16</f>
        <v>575.34235000000001</v>
      </c>
      <c r="E14" s="5">
        <f t="shared" si="0"/>
        <v>59.411642916150356</v>
      </c>
      <c r="F14" s="5">
        <f t="shared" si="1"/>
        <v>-393.05764999999997</v>
      </c>
    </row>
    <row r="15" spans="1:6" s="6" customFormat="1" ht="15.75" customHeight="1">
      <c r="A15" s="7">
        <v>1060100000</v>
      </c>
      <c r="B15" s="11" t="s">
        <v>9</v>
      </c>
      <c r="C15" s="9">
        <v>183.4</v>
      </c>
      <c r="D15" s="10">
        <v>81.975660000000005</v>
      </c>
      <c r="E15" s="9">
        <f t="shared" si="0"/>
        <v>44.697742639040349</v>
      </c>
      <c r="F15" s="9">
        <f>SUM(D15-C15)</f>
        <v>-101.42434</v>
      </c>
    </row>
    <row r="16" spans="1:6" ht="15.75" customHeight="1">
      <c r="A16" s="7">
        <v>1060600000</v>
      </c>
      <c r="B16" s="11" t="s">
        <v>8</v>
      </c>
      <c r="C16" s="9">
        <v>785</v>
      </c>
      <c r="D16" s="10">
        <v>493.36669000000001</v>
      </c>
      <c r="E16" s="9">
        <f t="shared" si="0"/>
        <v>62.849259872611462</v>
      </c>
      <c r="F16" s="9">
        <f t="shared" si="1"/>
        <v>-291.63330999999999</v>
      </c>
    </row>
    <row r="17" spans="1:6" s="6" customFormat="1">
      <c r="A17" s="3">
        <v>1080000000</v>
      </c>
      <c r="B17" s="4" t="s">
        <v>11</v>
      </c>
      <c r="C17" s="5">
        <f>C18</f>
        <v>5</v>
      </c>
      <c r="D17" s="5">
        <f>D18</f>
        <v>0</v>
      </c>
      <c r="E17" s="5">
        <f t="shared" si="0"/>
        <v>0</v>
      </c>
      <c r="F17" s="5">
        <f t="shared" si="1"/>
        <v>-5</v>
      </c>
    </row>
    <row r="18" spans="1:6" ht="21.75" customHeight="1">
      <c r="A18" s="7">
        <v>1080400001</v>
      </c>
      <c r="B18" s="8" t="s">
        <v>228</v>
      </c>
      <c r="C18" s="9">
        <v>5</v>
      </c>
      <c r="D18" s="10">
        <v>0</v>
      </c>
      <c r="E18" s="9">
        <f t="shared" si="0"/>
        <v>0</v>
      </c>
      <c r="F18" s="9">
        <f t="shared" si="1"/>
        <v>-5</v>
      </c>
    </row>
    <row r="19" spans="1:6" ht="0.7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C26+C30+C32+C37</f>
        <v>120</v>
      </c>
      <c r="D25" s="5">
        <f>D26+D30+D32+D37+D35</f>
        <v>55.958460000000002</v>
      </c>
      <c r="E25" s="5">
        <f t="shared" si="0"/>
        <v>46.63205</v>
      </c>
      <c r="F25" s="5">
        <f t="shared" si="1"/>
        <v>-64.041539999999998</v>
      </c>
    </row>
    <row r="26" spans="1:6" s="6" customFormat="1" ht="30" customHeight="1">
      <c r="A26" s="68">
        <v>1110000000</v>
      </c>
      <c r="B26" s="69" t="s">
        <v>129</v>
      </c>
      <c r="C26" s="5">
        <f>C27+C28+C29</f>
        <v>120</v>
      </c>
      <c r="D26" s="5">
        <f>D28+D29</f>
        <v>55.958460000000002</v>
      </c>
      <c r="E26" s="5">
        <f t="shared" si="0"/>
        <v>46.63205</v>
      </c>
      <c r="F26" s="5">
        <f t="shared" si="1"/>
        <v>-64.041539999999998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79.5" customHeight="1">
      <c r="A28" s="16">
        <v>1110502510</v>
      </c>
      <c r="B28" s="18" t="s">
        <v>300</v>
      </c>
      <c r="C28" s="12">
        <v>100</v>
      </c>
      <c r="D28" s="10">
        <v>30.456959999999999</v>
      </c>
      <c r="E28" s="9">
        <f t="shared" si="0"/>
        <v>30.456959999999999</v>
      </c>
      <c r="F28" s="9">
        <f t="shared" si="1"/>
        <v>-69.543040000000005</v>
      </c>
    </row>
    <row r="29" spans="1:6" ht="18" customHeight="1">
      <c r="A29" s="7">
        <v>1110503505</v>
      </c>
      <c r="B29" s="11" t="s">
        <v>225</v>
      </c>
      <c r="C29" s="12">
        <v>20</v>
      </c>
      <c r="D29" s="10">
        <v>25.5015</v>
      </c>
      <c r="E29" s="9">
        <f t="shared" si="0"/>
        <v>127.50749999999999</v>
      </c>
      <c r="F29" s="9">
        <f t="shared" si="1"/>
        <v>5.5015000000000001</v>
      </c>
    </row>
    <row r="30" spans="1:6" s="15" customFormat="1" ht="15.75" hidden="1" customHeight="1">
      <c r="A30" s="68">
        <v>1130000000</v>
      </c>
      <c r="B30" s="69" t="s">
        <v>131</v>
      </c>
      <c r="C30" s="5">
        <f>C31</f>
        <v>0</v>
      </c>
      <c r="D30" s="5">
        <f>D31</f>
        <v>0</v>
      </c>
      <c r="E30" s="5" t="e">
        <f t="shared" si="0"/>
        <v>#DIV/0!</v>
      </c>
      <c r="F30" s="5">
        <f t="shared" si="1"/>
        <v>0</v>
      </c>
    </row>
    <row r="31" spans="1:6" hidden="1">
      <c r="A31" s="7">
        <v>1130305005</v>
      </c>
      <c r="B31" s="8" t="s">
        <v>15</v>
      </c>
      <c r="C31" s="9">
        <v>0</v>
      </c>
      <c r="D31" s="10">
        <v>0</v>
      </c>
      <c r="E31" s="9" t="e">
        <f t="shared" si="0"/>
        <v>#DIV/0!</v>
      </c>
      <c r="F31" s="9">
        <f t="shared" si="1"/>
        <v>0</v>
      </c>
    </row>
    <row r="32" spans="1:6" ht="1.5" hidden="1" customHeight="1">
      <c r="A32" s="70">
        <v>1140000000</v>
      </c>
      <c r="B32" s="71" t="s">
        <v>132</v>
      </c>
      <c r="C32" s="5">
        <f>C34</f>
        <v>0</v>
      </c>
      <c r="D32" s="5">
        <f>D33+D34</f>
        <v>0</v>
      </c>
      <c r="E32" s="5" t="e">
        <f t="shared" si="0"/>
        <v>#DIV/0!</v>
      </c>
      <c r="F32" s="5">
        <f t="shared" si="1"/>
        <v>0</v>
      </c>
    </row>
    <row r="33" spans="1:7" hidden="1">
      <c r="A33" s="16">
        <v>1140200000</v>
      </c>
      <c r="B33" s="18" t="s">
        <v>133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5" hidden="1" customHeight="1">
      <c r="A34" s="7">
        <v>1140600000</v>
      </c>
      <c r="B34" s="8" t="s">
        <v>223</v>
      </c>
      <c r="C34" s="9">
        <v>0</v>
      </c>
      <c r="D34" s="10">
        <v>0</v>
      </c>
      <c r="E34" s="9" t="e">
        <f t="shared" si="0"/>
        <v>#DIV/0!</v>
      </c>
      <c r="F34" s="9">
        <f t="shared" si="1"/>
        <v>0</v>
      </c>
    </row>
    <row r="35" spans="1:7" ht="16.5" hidden="1" customHeight="1">
      <c r="A35" s="3">
        <v>1160000000</v>
      </c>
      <c r="B35" s="13" t="s">
        <v>252</v>
      </c>
      <c r="C35" s="5">
        <f>C36</f>
        <v>0</v>
      </c>
      <c r="D35" s="5">
        <f>D36</f>
        <v>0</v>
      </c>
      <c r="E35" s="5" t="e">
        <f t="shared" si="0"/>
        <v>#DIV/0!</v>
      </c>
      <c r="F35" s="5">
        <f t="shared" si="1"/>
        <v>0</v>
      </c>
    </row>
    <row r="36" spans="1:7" ht="52.5" hidden="1" customHeight="1">
      <c r="A36" s="7">
        <v>1169005010</v>
      </c>
      <c r="B36" s="8" t="s">
        <v>323</v>
      </c>
      <c r="C36" s="9">
        <v>0</v>
      </c>
      <c r="D36" s="10">
        <v>0</v>
      </c>
      <c r="E36" s="9" t="e">
        <f t="shared" si="0"/>
        <v>#DIV/0!</v>
      </c>
      <c r="F36" s="9">
        <f t="shared" si="1"/>
        <v>0</v>
      </c>
    </row>
    <row r="37" spans="1:7" ht="18" hidden="1" customHeight="1">
      <c r="A37" s="3">
        <v>1170000000</v>
      </c>
      <c r="B37" s="13" t="s">
        <v>135</v>
      </c>
      <c r="C37" s="5">
        <f>C38+C39</f>
        <v>0</v>
      </c>
      <c r="D37" s="5">
        <f>D38+D39</f>
        <v>0</v>
      </c>
      <c r="E37" s="9" t="e">
        <f t="shared" si="0"/>
        <v>#DIV/0!</v>
      </c>
      <c r="F37" s="5">
        <f t="shared" si="1"/>
        <v>0</v>
      </c>
    </row>
    <row r="38" spans="1:7" ht="15" hidden="1" customHeight="1">
      <c r="A38" s="7">
        <v>1170105005</v>
      </c>
      <c r="B38" s="8" t="s">
        <v>18</v>
      </c>
      <c r="C38" s="9">
        <v>0</v>
      </c>
      <c r="D38" s="9">
        <v>0</v>
      </c>
      <c r="E38" s="9" t="e">
        <f t="shared" si="0"/>
        <v>#DIV/0!</v>
      </c>
      <c r="F38" s="9">
        <f t="shared" si="1"/>
        <v>0</v>
      </c>
    </row>
    <row r="39" spans="1:7" ht="17.25" hidden="1" customHeight="1">
      <c r="A39" s="7">
        <v>1170505005</v>
      </c>
      <c r="B39" s="11" t="s">
        <v>221</v>
      </c>
      <c r="C39" s="9">
        <v>0</v>
      </c>
      <c r="D39" s="10">
        <v>0</v>
      </c>
      <c r="E39" s="9" t="e">
        <f t="shared" si="0"/>
        <v>#DIV/0!</v>
      </c>
      <c r="F39" s="9">
        <f t="shared" si="1"/>
        <v>0</v>
      </c>
    </row>
    <row r="40" spans="1:7" s="6" customFormat="1" ht="15" customHeight="1">
      <c r="A40" s="3">
        <v>1000000000</v>
      </c>
      <c r="B40" s="4" t="s">
        <v>19</v>
      </c>
      <c r="C40" s="127">
        <f>SUM(C4,C25)</f>
        <v>1803.25</v>
      </c>
      <c r="D40" s="127">
        <f>D4+D25</f>
        <v>1228.7983400000001</v>
      </c>
      <c r="E40" s="5">
        <f t="shared" si="0"/>
        <v>68.143537501732993</v>
      </c>
      <c r="F40" s="5">
        <f t="shared" si="1"/>
        <v>-574.45165999999995</v>
      </c>
    </row>
    <row r="41" spans="1:7" s="6" customFormat="1">
      <c r="A41" s="3">
        <v>2000000000</v>
      </c>
      <c r="B41" s="4" t="s">
        <v>20</v>
      </c>
      <c r="C41" s="5">
        <f>C42+C44+C46+C47+C48+C49+C43+C45+C51</f>
        <v>9622.0821000000014</v>
      </c>
      <c r="D41" s="5">
        <f>D42+D44+D46+D47+D48+D49+D43+D45+D51</f>
        <v>8106.5101400000003</v>
      </c>
      <c r="E41" s="5">
        <f t="shared" si="0"/>
        <v>84.249022776473709</v>
      </c>
      <c r="F41" s="5">
        <f t="shared" si="1"/>
        <v>-1515.5719600000011</v>
      </c>
      <c r="G41" s="19"/>
    </row>
    <row r="42" spans="1:7">
      <c r="A42" s="16">
        <v>2021000000</v>
      </c>
      <c r="B42" s="17" t="s">
        <v>21</v>
      </c>
      <c r="C42" s="99">
        <f>1943.3+29.612</f>
        <v>1972.912</v>
      </c>
      <c r="D42" s="20">
        <v>1735.576</v>
      </c>
      <c r="E42" s="9">
        <f t="shared" si="0"/>
        <v>87.970269327775384</v>
      </c>
      <c r="F42" s="9">
        <f t="shared" si="1"/>
        <v>-237.33600000000001</v>
      </c>
    </row>
    <row r="43" spans="1:7">
      <c r="A43" s="16">
        <v>2021500200</v>
      </c>
      <c r="B43" s="17" t="s">
        <v>232</v>
      </c>
      <c r="C43" s="12">
        <v>370</v>
      </c>
      <c r="D43" s="20">
        <v>75</v>
      </c>
      <c r="E43" s="9">
        <f t="shared" si="0"/>
        <v>20.27027027027027</v>
      </c>
      <c r="F43" s="9">
        <f t="shared" si="1"/>
        <v>-295</v>
      </c>
    </row>
    <row r="44" spans="1:7" ht="16.5" customHeight="1">
      <c r="A44" s="16">
        <v>2022000000</v>
      </c>
      <c r="B44" s="17" t="s">
        <v>22</v>
      </c>
      <c r="C44" s="12">
        <v>7007.6681200000003</v>
      </c>
      <c r="D44" s="10">
        <v>6031.7301399999997</v>
      </c>
      <c r="E44" s="9">
        <f t="shared" si="0"/>
        <v>86.073284817603479</v>
      </c>
      <c r="F44" s="9">
        <f t="shared" si="1"/>
        <v>-975.93798000000061</v>
      </c>
    </row>
    <row r="45" spans="1:7" hidden="1">
      <c r="A45" s="16">
        <v>2022999910</v>
      </c>
      <c r="B45" s="18" t="s">
        <v>352</v>
      </c>
      <c r="C45" s="12"/>
      <c r="D45" s="10">
        <v>0</v>
      </c>
      <c r="E45" s="9" t="e">
        <f>SUM(D45/C45*100)</f>
        <v>#DIV/0!</v>
      </c>
      <c r="F45" s="9">
        <f>SUM(D45-C45)</f>
        <v>0</v>
      </c>
    </row>
    <row r="46" spans="1:7">
      <c r="A46" s="16">
        <v>2023000000</v>
      </c>
      <c r="B46" s="17" t="s">
        <v>23</v>
      </c>
      <c r="C46" s="12">
        <v>154.24</v>
      </c>
      <c r="D46" s="251">
        <v>150.881</v>
      </c>
      <c r="E46" s="9">
        <f>SUM(D46/C46*100)</f>
        <v>97.822225103734439</v>
      </c>
      <c r="F46" s="9">
        <f>SUM(D46-C46)</f>
        <v>-3.3590000000000089</v>
      </c>
    </row>
    <row r="47" spans="1:7" hidden="1">
      <c r="A47" s="16">
        <v>2020400000</v>
      </c>
      <c r="B47" s="17" t="s">
        <v>24</v>
      </c>
      <c r="C47" s="12">
        <v>3.9389799999999999</v>
      </c>
      <c r="D47" s="252">
        <v>0</v>
      </c>
      <c r="E47" s="9">
        <f t="shared" si="0"/>
        <v>0</v>
      </c>
      <c r="F47" s="9">
        <f t="shared" si="1"/>
        <v>-3.9389799999999999</v>
      </c>
    </row>
    <row r="48" spans="1:7" ht="47.25" hidden="1">
      <c r="A48" s="16">
        <v>2020900000</v>
      </c>
      <c r="B48" s="18" t="s">
        <v>25</v>
      </c>
      <c r="C48" s="12">
        <v>0</v>
      </c>
      <c r="D48" s="252">
        <v>0</v>
      </c>
      <c r="E48" s="9" t="e">
        <f t="shared" si="0"/>
        <v>#DIV/0!</v>
      </c>
      <c r="F48" s="9">
        <f t="shared" si="1"/>
        <v>0</v>
      </c>
    </row>
    <row r="49" spans="1:8" hidden="1">
      <c r="A49" s="7">
        <v>2190500005</v>
      </c>
      <c r="B49" s="11" t="s">
        <v>26</v>
      </c>
      <c r="C49" s="10">
        <v>0</v>
      </c>
      <c r="D49" s="10">
        <v>0</v>
      </c>
      <c r="E49" s="9" t="e">
        <f t="shared" si="0"/>
        <v>#DIV/0!</v>
      </c>
      <c r="F49" s="9">
        <f>SUM(D49-C49)</f>
        <v>0</v>
      </c>
    </row>
    <row r="50" spans="1:8" s="6" customFormat="1" ht="31.5" hidden="1">
      <c r="A50" s="3">
        <v>3000000000</v>
      </c>
      <c r="B50" s="13" t="s">
        <v>27</v>
      </c>
      <c r="C50" s="122">
        <v>0</v>
      </c>
      <c r="D50" s="121">
        <v>0</v>
      </c>
      <c r="E50" s="5" t="e">
        <f t="shared" si="0"/>
        <v>#DIV/0!</v>
      </c>
      <c r="F50" s="5">
        <f t="shared" si="1"/>
        <v>0</v>
      </c>
    </row>
    <row r="51" spans="1:8" s="6" customFormat="1">
      <c r="A51" s="7">
        <v>2070500010</v>
      </c>
      <c r="B51" s="17" t="s">
        <v>359</v>
      </c>
      <c r="C51" s="327">
        <v>113.32299999999999</v>
      </c>
      <c r="D51" s="328">
        <v>113.32299999999999</v>
      </c>
      <c r="E51" s="9">
        <f t="shared" si="0"/>
        <v>100</v>
      </c>
      <c r="F51" s="9">
        <f t="shared" si="1"/>
        <v>0</v>
      </c>
    </row>
    <row r="52" spans="1:8" s="6" customFormat="1" ht="23.25" customHeight="1">
      <c r="A52" s="3"/>
      <c r="B52" s="4" t="s">
        <v>28</v>
      </c>
      <c r="C52" s="5">
        <f>C40+C41</f>
        <v>11425.332100000001</v>
      </c>
      <c r="D52" s="410">
        <f>D40+D41</f>
        <v>9335.3084799999997</v>
      </c>
      <c r="E52" s="5">
        <f t="shared" si="0"/>
        <v>81.707108364928828</v>
      </c>
      <c r="F52" s="5">
        <f t="shared" si="1"/>
        <v>-2090.0236200000018</v>
      </c>
      <c r="G52" s="94"/>
      <c r="H52" s="94"/>
    </row>
    <row r="53" spans="1:8" s="6" customFormat="1">
      <c r="A53" s="3"/>
      <c r="B53" s="21" t="s">
        <v>321</v>
      </c>
      <c r="C53" s="5">
        <f>C52-C101</f>
        <v>-110.81861999999819</v>
      </c>
      <c r="D53" s="5">
        <f>D52-D101</f>
        <v>70.681669999998121</v>
      </c>
      <c r="E53" s="22"/>
      <c r="F53" s="22"/>
    </row>
    <row r="54" spans="1:8" ht="32.25" customHeight="1">
      <c r="A54" s="23"/>
      <c r="B54" s="24"/>
      <c r="C54" s="247"/>
      <c r="D54" s="25"/>
      <c r="E54" s="26"/>
      <c r="F54" s="27"/>
    </row>
    <row r="55" spans="1:8" ht="63">
      <c r="A55" s="28" t="s">
        <v>1</v>
      </c>
      <c r="B55" s="28" t="s">
        <v>29</v>
      </c>
      <c r="C55" s="72" t="s">
        <v>346</v>
      </c>
      <c r="D55" s="73" t="s">
        <v>412</v>
      </c>
      <c r="E55" s="72" t="s">
        <v>3</v>
      </c>
      <c r="F55" s="74" t="s">
        <v>4</v>
      </c>
    </row>
    <row r="56" spans="1:8">
      <c r="A56" s="89">
        <v>1</v>
      </c>
      <c r="B56" s="28">
        <v>2</v>
      </c>
      <c r="C56" s="87">
        <v>3</v>
      </c>
      <c r="D56" s="87">
        <v>4</v>
      </c>
      <c r="E56" s="87">
        <v>5</v>
      </c>
      <c r="F56" s="87">
        <v>6</v>
      </c>
    </row>
    <row r="57" spans="1:8" s="6" customFormat="1" ht="18" customHeight="1">
      <c r="A57" s="30" t="s">
        <v>30</v>
      </c>
      <c r="B57" s="31" t="s">
        <v>31</v>
      </c>
      <c r="C57" s="32">
        <f>C58+C59+C60+C61+C62+C64+C63</f>
        <v>1298.712</v>
      </c>
      <c r="D57" s="33">
        <f>D58+D59+D60+D61+D62+D64+D63</f>
        <v>986.87959000000001</v>
      </c>
      <c r="E57" s="34">
        <f>SUM(D57/C57*100)</f>
        <v>75.989102279797223</v>
      </c>
      <c r="F57" s="34">
        <f>SUM(D57-C57)</f>
        <v>-311.83240999999998</v>
      </c>
    </row>
    <row r="58" spans="1:8" s="6" customFormat="1" ht="1.5" hidden="1" customHeight="1">
      <c r="A58" s="35" t="s">
        <v>32</v>
      </c>
      <c r="B58" s="36" t="s">
        <v>33</v>
      </c>
      <c r="C58" s="37">
        <v>0</v>
      </c>
      <c r="D58" s="37">
        <v>0</v>
      </c>
      <c r="E58" s="38" t="e">
        <f>SUM(D58/C58*100)</f>
        <v>#DIV/0!</v>
      </c>
      <c r="F58" s="38">
        <f>SUM(D58-C58)</f>
        <v>0</v>
      </c>
    </row>
    <row r="59" spans="1:8">
      <c r="A59" s="35" t="s">
        <v>34</v>
      </c>
      <c r="B59" s="39" t="s">
        <v>35</v>
      </c>
      <c r="C59" s="37">
        <v>1265.029</v>
      </c>
      <c r="D59" s="37">
        <v>961.85109</v>
      </c>
      <c r="E59" s="38">
        <f t="shared" ref="E59:E101" si="3">SUM(D59/C59*100)</f>
        <v>76.033916218521469</v>
      </c>
      <c r="F59" s="38">
        <f t="shared" ref="F59:F101" si="4">SUM(D59-C59)</f>
        <v>-303.17791</v>
      </c>
    </row>
    <row r="60" spans="1:8" ht="16.5" hidden="1" customHeight="1">
      <c r="A60" s="35" t="s">
        <v>36</v>
      </c>
      <c r="B60" s="39" t="s">
        <v>37</v>
      </c>
      <c r="C60" s="37"/>
      <c r="D60" s="37"/>
      <c r="E60" s="38"/>
      <c r="F60" s="38">
        <f t="shared" si="4"/>
        <v>0</v>
      </c>
    </row>
    <row r="61" spans="1:8" ht="31.5" hidden="1" customHeight="1">
      <c r="A61" s="35" t="s">
        <v>38</v>
      </c>
      <c r="B61" s="39" t="s">
        <v>39</v>
      </c>
      <c r="C61" s="37"/>
      <c r="D61" s="37"/>
      <c r="E61" s="38" t="e">
        <f t="shared" si="3"/>
        <v>#DIV/0!</v>
      </c>
      <c r="F61" s="38">
        <f t="shared" si="4"/>
        <v>0</v>
      </c>
    </row>
    <row r="62" spans="1:8" ht="17.25" hidden="1" customHeight="1">
      <c r="A62" s="35" t="s">
        <v>40</v>
      </c>
      <c r="B62" s="39" t="s">
        <v>41</v>
      </c>
      <c r="C62" s="37">
        <v>0</v>
      </c>
      <c r="D62" s="37">
        <v>0</v>
      </c>
      <c r="E62" s="38" t="e">
        <f t="shared" si="3"/>
        <v>#DIV/0!</v>
      </c>
      <c r="F62" s="38">
        <f t="shared" si="4"/>
        <v>0</v>
      </c>
    </row>
    <row r="63" spans="1:8" ht="15.75" customHeight="1">
      <c r="A63" s="35" t="s">
        <v>42</v>
      </c>
      <c r="B63" s="39" t="s">
        <v>43</v>
      </c>
      <c r="C63" s="40">
        <v>5</v>
      </c>
      <c r="D63" s="40">
        <v>0</v>
      </c>
      <c r="E63" s="38">
        <f t="shared" si="3"/>
        <v>0</v>
      </c>
      <c r="F63" s="38">
        <f t="shared" si="4"/>
        <v>-5</v>
      </c>
    </row>
    <row r="64" spans="1:8" ht="14.25" customHeight="1">
      <c r="A64" s="35" t="s">
        <v>44</v>
      </c>
      <c r="B64" s="39" t="s">
        <v>45</v>
      </c>
      <c r="C64" s="37">
        <f>22.083+6.6</f>
        <v>28.683</v>
      </c>
      <c r="D64" s="37">
        <v>25.028500000000001</v>
      </c>
      <c r="E64" s="38">
        <f t="shared" si="3"/>
        <v>87.25900359097723</v>
      </c>
      <c r="F64" s="38">
        <f t="shared" si="4"/>
        <v>-3.6544999999999987</v>
      </c>
    </row>
    <row r="65" spans="1:7" s="6" customFormat="1">
      <c r="A65" s="41" t="s">
        <v>46</v>
      </c>
      <c r="B65" s="42" t="s">
        <v>47</v>
      </c>
      <c r="C65" s="32">
        <f>C66</f>
        <v>150.881</v>
      </c>
      <c r="D65" s="32">
        <f>D66</f>
        <v>126.74584</v>
      </c>
      <c r="E65" s="34">
        <f t="shared" si="3"/>
        <v>84.003844089050318</v>
      </c>
      <c r="F65" s="34">
        <f t="shared" si="4"/>
        <v>-24.135159999999999</v>
      </c>
    </row>
    <row r="66" spans="1:7" ht="15" customHeight="1">
      <c r="A66" s="43" t="s">
        <v>48</v>
      </c>
      <c r="B66" s="44" t="s">
        <v>49</v>
      </c>
      <c r="C66" s="37">
        <f>150.881</f>
        <v>150.881</v>
      </c>
      <c r="D66" s="37">
        <v>126.74584</v>
      </c>
      <c r="E66" s="38">
        <f t="shared" si="3"/>
        <v>84.003844089050318</v>
      </c>
      <c r="F66" s="38">
        <f t="shared" si="4"/>
        <v>-24.135159999999999</v>
      </c>
    </row>
    <row r="67" spans="1:7" s="6" customFormat="1" ht="18" customHeight="1">
      <c r="A67" s="30" t="s">
        <v>50</v>
      </c>
      <c r="B67" s="31" t="s">
        <v>51</v>
      </c>
      <c r="C67" s="32">
        <f>C70+C71+C72</f>
        <v>32.86692</v>
      </c>
      <c r="D67" s="32">
        <f>D70+D71+D72</f>
        <v>26.933920000000001</v>
      </c>
      <c r="E67" s="34">
        <f t="shared" si="3"/>
        <v>81.948415002075038</v>
      </c>
      <c r="F67" s="34">
        <f t="shared" si="4"/>
        <v>-5.9329999999999998</v>
      </c>
    </row>
    <row r="68" spans="1:7" ht="0.75" hidden="1" customHeight="1">
      <c r="A68" s="35" t="s">
        <v>52</v>
      </c>
      <c r="B68" s="39" t="s">
        <v>53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8" hidden="1" customHeight="1">
      <c r="A69" s="45" t="s">
        <v>54</v>
      </c>
      <c r="B69" s="39" t="s">
        <v>55</v>
      </c>
      <c r="C69" s="37"/>
      <c r="D69" s="37"/>
      <c r="E69" s="34" t="e">
        <f t="shared" si="3"/>
        <v>#DIV/0!</v>
      </c>
      <c r="F69" s="34">
        <f t="shared" si="4"/>
        <v>0</v>
      </c>
    </row>
    <row r="70" spans="1:7" ht="17.25" customHeight="1">
      <c r="A70" s="46" t="s">
        <v>56</v>
      </c>
      <c r="B70" s="47" t="s">
        <v>57</v>
      </c>
      <c r="C70" s="37">
        <v>2.8029999999999999</v>
      </c>
      <c r="D70" s="37">
        <v>0</v>
      </c>
      <c r="E70" s="34">
        <f t="shared" si="3"/>
        <v>0</v>
      </c>
      <c r="F70" s="34">
        <f t="shared" si="4"/>
        <v>-2.8029999999999999</v>
      </c>
    </row>
    <row r="71" spans="1:7" ht="17.25" customHeight="1">
      <c r="A71" s="46" t="s">
        <v>219</v>
      </c>
      <c r="B71" s="47" t="s">
        <v>220</v>
      </c>
      <c r="C71" s="37">
        <v>5.6</v>
      </c>
      <c r="D71" s="37">
        <v>2.4700000000000002</v>
      </c>
      <c r="E71" s="38">
        <f t="shared" si="3"/>
        <v>44.107142857142861</v>
      </c>
      <c r="F71" s="38">
        <f t="shared" si="4"/>
        <v>-3.1299999999999994</v>
      </c>
    </row>
    <row r="72" spans="1:7" ht="17.25" customHeight="1">
      <c r="A72" s="46" t="s">
        <v>360</v>
      </c>
      <c r="B72" s="47" t="s">
        <v>435</v>
      </c>
      <c r="C72" s="37">
        <v>24.463920000000002</v>
      </c>
      <c r="D72" s="37">
        <v>24.463920000000002</v>
      </c>
      <c r="E72" s="38">
        <f t="shared" ref="E72" si="5">SUM(D72/C72*100)</f>
        <v>100</v>
      </c>
      <c r="F72" s="38">
        <f t="shared" ref="F72" si="6">SUM(D72-C72)</f>
        <v>0</v>
      </c>
    </row>
    <row r="73" spans="1:7" s="6" customFormat="1" ht="19.5" customHeight="1">
      <c r="A73" s="30" t="s">
        <v>58</v>
      </c>
      <c r="B73" s="31" t="s">
        <v>59</v>
      </c>
      <c r="C73" s="48">
        <f>C75+C76+C77+C74</f>
        <v>1981.4764100000002</v>
      </c>
      <c r="D73" s="48">
        <f>SUM(D74:D77)</f>
        <v>1296.5746200000001</v>
      </c>
      <c r="E73" s="34">
        <f t="shared" si="3"/>
        <v>65.43477446698445</v>
      </c>
      <c r="F73" s="34">
        <f t="shared" si="4"/>
        <v>-684.90179000000012</v>
      </c>
    </row>
    <row r="74" spans="1:7" ht="17.25" customHeight="1">
      <c r="A74" s="35" t="s">
        <v>60</v>
      </c>
      <c r="B74" s="39" t="s">
        <v>61</v>
      </c>
      <c r="C74" s="49">
        <v>7.5</v>
      </c>
      <c r="D74" s="37">
        <v>0</v>
      </c>
      <c r="E74" s="38">
        <f t="shared" si="3"/>
        <v>0</v>
      </c>
      <c r="F74" s="38">
        <f t="shared" si="4"/>
        <v>-7.5</v>
      </c>
    </row>
    <row r="75" spans="1:7" s="6" customFormat="1" ht="17.25" customHeight="1">
      <c r="A75" s="35" t="s">
        <v>62</v>
      </c>
      <c r="B75" s="39" t="s">
        <v>63</v>
      </c>
      <c r="C75" s="49">
        <v>251.899</v>
      </c>
      <c r="D75" s="37">
        <v>65</v>
      </c>
      <c r="E75" s="38">
        <f t="shared" si="3"/>
        <v>25.803992870158275</v>
      </c>
      <c r="F75" s="38">
        <f t="shared" si="4"/>
        <v>-186.899</v>
      </c>
      <c r="G75" s="50"/>
    </row>
    <row r="76" spans="1:7" ht="16.5" customHeight="1">
      <c r="A76" s="35" t="s">
        <v>64</v>
      </c>
      <c r="B76" s="39" t="s">
        <v>65</v>
      </c>
      <c r="C76" s="49">
        <v>1580.48262</v>
      </c>
      <c r="D76" s="37">
        <v>1092.5746200000001</v>
      </c>
      <c r="E76" s="38">
        <f t="shared" si="3"/>
        <v>69.129176504326267</v>
      </c>
      <c r="F76" s="38">
        <f t="shared" si="4"/>
        <v>-487.9079999999999</v>
      </c>
    </row>
    <row r="77" spans="1:7" ht="16.5" customHeight="1">
      <c r="A77" s="35" t="s">
        <v>66</v>
      </c>
      <c r="B77" s="39" t="s">
        <v>67</v>
      </c>
      <c r="C77" s="49">
        <v>141.59478999999999</v>
      </c>
      <c r="D77" s="37">
        <v>139</v>
      </c>
      <c r="E77" s="38">
        <f t="shared" si="3"/>
        <v>98.167453760127771</v>
      </c>
      <c r="F77" s="38">
        <f t="shared" si="4"/>
        <v>-2.594789999999989</v>
      </c>
    </row>
    <row r="78" spans="1:7" ht="15.75" hidden="1" customHeight="1">
      <c r="A78" s="30" t="s">
        <v>50</v>
      </c>
      <c r="B78" s="31" t="s">
        <v>51</v>
      </c>
      <c r="C78" s="48">
        <v>0</v>
      </c>
      <c r="D78" s="37"/>
      <c r="E78" s="38"/>
      <c r="F78" s="38"/>
    </row>
    <row r="79" spans="1:7" ht="15.75" hidden="1" customHeight="1">
      <c r="A79" s="46" t="s">
        <v>219</v>
      </c>
      <c r="B79" s="47" t="s">
        <v>220</v>
      </c>
      <c r="C79" s="49">
        <v>0</v>
      </c>
      <c r="D79" s="37"/>
      <c r="E79" s="38"/>
      <c r="F79" s="38"/>
    </row>
    <row r="80" spans="1:7" s="6" customFormat="1" ht="19.5" customHeight="1">
      <c r="A80" s="30" t="s">
        <v>68</v>
      </c>
      <c r="B80" s="31" t="s">
        <v>69</v>
      </c>
      <c r="C80" s="32">
        <f>SUM(C81:C83)</f>
        <v>6704.8143899999995</v>
      </c>
      <c r="D80" s="32">
        <f>SUM(D81:D83)</f>
        <v>5831.0612999999994</v>
      </c>
      <c r="E80" s="34">
        <f t="shared" si="3"/>
        <v>86.968273255958096</v>
      </c>
      <c r="F80" s="34">
        <f t="shared" si="4"/>
        <v>-873.75309000000016</v>
      </c>
    </row>
    <row r="81" spans="1:6" hidden="1">
      <c r="A81" s="35" t="s">
        <v>70</v>
      </c>
      <c r="B81" s="51" t="s">
        <v>71</v>
      </c>
      <c r="C81" s="37"/>
      <c r="D81" s="37"/>
      <c r="E81" s="38" t="e">
        <f t="shared" si="3"/>
        <v>#DIV/0!</v>
      </c>
      <c r="F81" s="38">
        <f t="shared" si="4"/>
        <v>0</v>
      </c>
    </row>
    <row r="82" spans="1:6">
      <c r="A82" s="35" t="s">
        <v>72</v>
      </c>
      <c r="B82" s="51" t="s">
        <v>73</v>
      </c>
      <c r="C82" s="37">
        <v>5884.1903899999998</v>
      </c>
      <c r="D82" s="37">
        <v>5129.0073899999998</v>
      </c>
      <c r="E82" s="38">
        <f t="shared" si="3"/>
        <v>87.165897940974006</v>
      </c>
      <c r="F82" s="38">
        <f t="shared" si="4"/>
        <v>-755.18299999999999</v>
      </c>
    </row>
    <row r="83" spans="1:6">
      <c r="A83" s="35" t="s">
        <v>74</v>
      </c>
      <c r="B83" s="39" t="s">
        <v>75</v>
      </c>
      <c r="C83" s="37">
        <v>820.62400000000002</v>
      </c>
      <c r="D83" s="37">
        <v>702.05390999999997</v>
      </c>
      <c r="E83" s="38">
        <f t="shared" si="3"/>
        <v>85.551228089843818</v>
      </c>
      <c r="F83" s="38">
        <f t="shared" si="4"/>
        <v>-118.57009000000005</v>
      </c>
    </row>
    <row r="84" spans="1:6" s="6" customFormat="1">
      <c r="A84" s="30" t="s">
        <v>86</v>
      </c>
      <c r="B84" s="31" t="s">
        <v>87</v>
      </c>
      <c r="C84" s="32">
        <f>C85</f>
        <v>1357.4</v>
      </c>
      <c r="D84" s="32">
        <f>SUM(D85)</f>
        <v>994.90153999999995</v>
      </c>
      <c r="E84" s="34">
        <f t="shared" si="3"/>
        <v>73.294647119493135</v>
      </c>
      <c r="F84" s="34">
        <f t="shared" si="4"/>
        <v>-362.49846000000014</v>
      </c>
    </row>
    <row r="85" spans="1:6" ht="16.5" customHeight="1">
      <c r="A85" s="35" t="s">
        <v>88</v>
      </c>
      <c r="B85" s="39" t="s">
        <v>234</v>
      </c>
      <c r="C85" s="37">
        <v>1357.4</v>
      </c>
      <c r="D85" s="37">
        <v>994.90153999999995</v>
      </c>
      <c r="E85" s="38">
        <f t="shared" si="3"/>
        <v>73.294647119493135</v>
      </c>
      <c r="F85" s="38">
        <f t="shared" si="4"/>
        <v>-362.49846000000014</v>
      </c>
    </row>
    <row r="86" spans="1:6" s="6" customFormat="1" ht="0.75" hidden="1" customHeight="1">
      <c r="A86" s="52">
        <v>1000</v>
      </c>
      <c r="B86" s="31" t="s">
        <v>89</v>
      </c>
      <c r="C86" s="32">
        <f>SUM(C87:C90)</f>
        <v>0</v>
      </c>
      <c r="D86" s="32">
        <f>SUM(D87:D90)</f>
        <v>0</v>
      </c>
      <c r="E86" s="34" t="e">
        <f t="shared" si="3"/>
        <v>#DIV/0!</v>
      </c>
      <c r="F86" s="34">
        <f t="shared" si="4"/>
        <v>0</v>
      </c>
    </row>
    <row r="87" spans="1:6" ht="15" hidden="1" customHeight="1">
      <c r="A87" s="53">
        <v>1001</v>
      </c>
      <c r="B87" s="54" t="s">
        <v>90</v>
      </c>
      <c r="C87" s="37"/>
      <c r="D87" s="37"/>
      <c r="E87" s="38" t="e">
        <f t="shared" si="3"/>
        <v>#DIV/0!</v>
      </c>
      <c r="F87" s="38">
        <f t="shared" si="4"/>
        <v>0</v>
      </c>
    </row>
    <row r="88" spans="1:6" ht="15.75" hidden="1" customHeight="1">
      <c r="A88" s="53">
        <v>1003</v>
      </c>
      <c r="B88" s="54" t="s">
        <v>91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6.5" hidden="1" customHeight="1">
      <c r="A89" s="53">
        <v>1004</v>
      </c>
      <c r="B89" s="54" t="s">
        <v>92</v>
      </c>
      <c r="C89" s="37">
        <v>0</v>
      </c>
      <c r="D89" s="55">
        <v>0</v>
      </c>
      <c r="E89" s="38" t="e">
        <f t="shared" si="3"/>
        <v>#DIV/0!</v>
      </c>
      <c r="F89" s="38">
        <f t="shared" si="4"/>
        <v>0</v>
      </c>
    </row>
    <row r="90" spans="1:6" ht="12.75" hidden="1" customHeight="1">
      <c r="A90" s="35" t="s">
        <v>93</v>
      </c>
      <c r="B90" s="39" t="s">
        <v>94</v>
      </c>
      <c r="C90" s="37">
        <v>0</v>
      </c>
      <c r="D90" s="37">
        <v>0</v>
      </c>
      <c r="E90" s="38"/>
      <c r="F90" s="38">
        <f t="shared" si="4"/>
        <v>0</v>
      </c>
    </row>
    <row r="91" spans="1:6" ht="15" customHeight="1">
      <c r="A91" s="30" t="s">
        <v>95</v>
      </c>
      <c r="B91" s="31" t="s">
        <v>96</v>
      </c>
      <c r="C91" s="32">
        <f>C92+C93+C94+C95+C96</f>
        <v>10</v>
      </c>
      <c r="D91" s="32">
        <f>D92+D93+D94+D95+D96</f>
        <v>1.53</v>
      </c>
      <c r="E91" s="38">
        <f t="shared" si="3"/>
        <v>15.299999999999999</v>
      </c>
      <c r="F91" s="22">
        <f>F92+F93+F94+F95+F96</f>
        <v>-8.4700000000000006</v>
      </c>
    </row>
    <row r="92" spans="1:6" ht="19.5" customHeight="1">
      <c r="A92" s="35" t="s">
        <v>97</v>
      </c>
      <c r="B92" s="39" t="s">
        <v>98</v>
      </c>
      <c r="C92" s="37">
        <v>10</v>
      </c>
      <c r="D92" s="37">
        <v>1.53</v>
      </c>
      <c r="E92" s="38">
        <f t="shared" si="3"/>
        <v>15.299999999999999</v>
      </c>
      <c r="F92" s="38">
        <f>SUM(D92-C92)</f>
        <v>-8.4700000000000006</v>
      </c>
    </row>
    <row r="93" spans="1:6" ht="15" hidden="1" customHeight="1">
      <c r="A93" s="35" t="s">
        <v>99</v>
      </c>
      <c r="B93" s="39" t="s">
        <v>100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5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57.75" hidden="1" customHeight="1">
      <c r="A96" s="35" t="s">
        <v>105</v>
      </c>
      <c r="B96" s="39" t="s">
        <v>106</v>
      </c>
      <c r="C96" s="240"/>
      <c r="D96" s="240"/>
      <c r="E96" s="38" t="e">
        <f t="shared" si="3"/>
        <v>#DIV/0!</v>
      </c>
      <c r="F96" s="38"/>
    </row>
    <row r="97" spans="1:6" s="6" customFormat="1" ht="1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6.5" hidden="1" customHeight="1">
      <c r="A98" s="53">
        <v>1401</v>
      </c>
      <c r="B98" s="54" t="s">
        <v>116</v>
      </c>
      <c r="C98" s="92">
        <v>0</v>
      </c>
      <c r="D98" s="92">
        <v>0</v>
      </c>
      <c r="E98" s="38" t="e">
        <f t="shared" si="3"/>
        <v>#DIV/0!</v>
      </c>
      <c r="F98" s="38">
        <f t="shared" si="4"/>
        <v>0</v>
      </c>
    </row>
    <row r="99" spans="1:6" ht="20.25" hidden="1" customHeight="1">
      <c r="A99" s="53">
        <v>1402</v>
      </c>
      <c r="B99" s="54" t="s">
        <v>117</v>
      </c>
      <c r="C99" s="106">
        <v>0</v>
      </c>
      <c r="D99" s="92">
        <v>0</v>
      </c>
      <c r="E99" s="38" t="e">
        <f t="shared" si="3"/>
        <v>#DIV/0!</v>
      </c>
      <c r="F99" s="38">
        <f t="shared" si="4"/>
        <v>0</v>
      </c>
    </row>
    <row r="100" spans="1:6" ht="13.5" hidden="1" customHeight="1">
      <c r="A100" s="53">
        <v>1403</v>
      </c>
      <c r="B100" s="54" t="s">
        <v>118</v>
      </c>
      <c r="C100" s="106">
        <v>0</v>
      </c>
      <c r="D100" s="92">
        <v>0</v>
      </c>
      <c r="E100" s="38" t="e">
        <f t="shared" si="3"/>
        <v>#DIV/0!</v>
      </c>
      <c r="F100" s="38">
        <f t="shared" si="4"/>
        <v>0</v>
      </c>
    </row>
    <row r="101" spans="1:6" s="6" customFormat="1">
      <c r="A101" s="52"/>
      <c r="B101" s="57" t="s">
        <v>119</v>
      </c>
      <c r="C101" s="102">
        <f>C57+C65+C67+C73+C80+C84+C86+C91+C78</f>
        <v>11536.15072</v>
      </c>
      <c r="D101" s="102">
        <f>D57+D65+D67+D73+D80+D84+D91+D86</f>
        <v>9264.6268100000016</v>
      </c>
      <c r="E101" s="34">
        <f t="shared" si="3"/>
        <v>80.309516015061234</v>
      </c>
      <c r="F101" s="34">
        <f t="shared" si="4"/>
        <v>-2271.5239099999981</v>
      </c>
    </row>
    <row r="102" spans="1:6" ht="5.25" customHeight="1">
      <c r="C102" s="120"/>
      <c r="D102" s="61"/>
    </row>
    <row r="103" spans="1:6" s="65" customFormat="1" ht="12.75">
      <c r="A103" s="63" t="s">
        <v>120</v>
      </c>
      <c r="B103" s="63"/>
      <c r="C103" s="116"/>
      <c r="D103" s="64"/>
    </row>
    <row r="104" spans="1:6" s="65" customFormat="1" ht="12.75">
      <c r="A104" s="66" t="s">
        <v>121</v>
      </c>
      <c r="B104" s="66"/>
      <c r="C104" s="65" t="s">
        <v>122</v>
      </c>
    </row>
    <row r="105" spans="1:6">
      <c r="C105" s="120"/>
    </row>
    <row r="143" hidden="1"/>
  </sheetData>
  <customSheetViews>
    <customSheetView guid="{8E17DC23-BE06-48DD-840B-6DD85B9E86D1}" scale="70" showPageBreaks="1" printArea="1" hiddenRows="1" view="pageBreakPreview" topLeftCell="A66">
      <selection activeCell="C101" activeCellId="2" sqref="C52:D53 C41:D41 C101:D101"/>
      <pageMargins left="0.70866141732283472" right="0.70866141732283472" top="0.74803149606299213" bottom="0.74803149606299213" header="0.31496062992125984" footer="0.31496062992125984"/>
      <pageSetup paperSize="9" scale="63" orientation="portrait" r:id="rId1"/>
    </customSheetView>
    <customSheetView guid="{5BFCA170-DEAE-4D2C-98A0-1E68B427AC01}" showPageBreaks="1" printArea="1" hiddenRows="1" topLeftCell="A47">
      <selection activeCell="B100" sqref="B100"/>
      <pageMargins left="0.7" right="0.7" top="0.75" bottom="0.75" header="0.3" footer="0.3"/>
      <pageSetup paperSize="9" scale="51" orientation="portrait" r:id="rId2"/>
    </customSheetView>
    <customSheetView guid="{3DCB9AAA-F09C-4EA6-B992-F93E466D374A}" hiddenRows="1" topLeftCell="A47">
      <selection activeCell="B100" sqref="B100"/>
      <pageMargins left="0.7" right="0.7" top="0.75" bottom="0.75" header="0.3" footer="0.3"/>
      <pageSetup paperSize="9" scale="51" orientation="portrait" r:id="rId3"/>
    </customSheetView>
    <customSheetView guid="{1718F1EE-9F48-4DBE-9531-3B70F9C4A5DD}" scale="70" showPageBreaks="1" printArea="1" hiddenRows="1" view="pageBreakPreview" topLeftCell="A40">
      <selection activeCell="C99" sqref="C99:D99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printArea="1" hiddenRows="1" view="pageBreakPreview" topLeftCell="A40">
      <selection activeCell="A51" sqref="A51:B5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 topLeftCell="A40">
      <selection activeCell="C100" sqref="C100:D100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printArea="1" hiddenRows="1" view="pageBreakPreview" topLeftCell="A66">
      <selection activeCell="C101" activeCellId="2" sqref="C52:D53 C41:D41 C101:D101"/>
      <pageMargins left="0.70866141732283472" right="0.70866141732283472" top="0.74803149606299213" bottom="0.74803149606299213" header="0.31496062992125984" footer="0.31496062992125984"/>
      <pageSetup paperSize="9" scale="63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3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H141"/>
  <sheetViews>
    <sheetView view="pageBreakPreview" topLeftCell="A50" zoomScale="70" zoomScaleNormal="100" zoomScaleSheetLayoutView="70" workbookViewId="0">
      <selection activeCell="C96" activeCellId="2" sqref="C40 C50:D50 C96:D96"/>
    </sheetView>
  </sheetViews>
  <sheetFormatPr defaultRowHeight="15.75"/>
  <cols>
    <col min="1" max="1" width="14.7109375" style="58" customWidth="1"/>
    <col min="2" max="2" width="57.5703125" style="59" customWidth="1"/>
    <col min="3" max="3" width="17.85546875" style="62" customWidth="1"/>
    <col min="4" max="4" width="16.140625" style="62" customWidth="1"/>
    <col min="5" max="5" width="11" style="62" customWidth="1"/>
    <col min="6" max="6" width="10.85546875" style="62" customWidth="1"/>
    <col min="7" max="7" width="15.42578125" style="1" bestFit="1" customWidth="1"/>
    <col min="8" max="8" width="10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6">
      <c r="A1" s="459" t="s">
        <v>421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280">
        <f>C5+C12+C14+C17+C20+C7</f>
        <v>4166.8600000000006</v>
      </c>
      <c r="D4" s="280">
        <f>D5+D12+D14+D17+D20+D7</f>
        <v>2993.1216800000002</v>
      </c>
      <c r="E4" s="5">
        <f>SUM(D4/C4*100)</f>
        <v>71.831587334347674</v>
      </c>
      <c r="F4" s="5">
        <f>SUM(D4-C4)</f>
        <v>-1173.7383200000004</v>
      </c>
    </row>
    <row r="5" spans="1:6" s="6" customFormat="1">
      <c r="A5" s="68">
        <v>1010000000</v>
      </c>
      <c r="B5" s="67" t="s">
        <v>6</v>
      </c>
      <c r="C5" s="280">
        <f>C6</f>
        <v>456.3</v>
      </c>
      <c r="D5" s="280">
        <f>D6</f>
        <v>350.71706999999998</v>
      </c>
      <c r="E5" s="5">
        <f t="shared" ref="E5:E50" si="0">SUM(D5/C5*100)</f>
        <v>76.861071663379349</v>
      </c>
      <c r="F5" s="5">
        <f t="shared" ref="F5:F50" si="1">SUM(D5-C5)</f>
        <v>-105.58293000000003</v>
      </c>
    </row>
    <row r="6" spans="1:6">
      <c r="A6" s="7">
        <v>1010200001</v>
      </c>
      <c r="B6" s="8" t="s">
        <v>229</v>
      </c>
      <c r="C6" s="329">
        <v>456.3</v>
      </c>
      <c r="D6" s="330">
        <v>350.71706999999998</v>
      </c>
      <c r="E6" s="9">
        <f t="shared" ref="E6:E11" si="2">SUM(D6/C6*100)</f>
        <v>76.861071663379349</v>
      </c>
      <c r="F6" s="9">
        <f t="shared" si="1"/>
        <v>-105.58293000000003</v>
      </c>
    </row>
    <row r="7" spans="1:6" ht="31.5">
      <c r="A7" s="3">
        <v>1030000000</v>
      </c>
      <c r="B7" s="13" t="s">
        <v>281</v>
      </c>
      <c r="C7" s="280">
        <f>C8+C10+C9</f>
        <v>719.56000000000006</v>
      </c>
      <c r="D7" s="280">
        <f>D8+D10+D9+D11</f>
        <v>623.16109000000006</v>
      </c>
      <c r="E7" s="5">
        <f t="shared" si="2"/>
        <v>86.603075490577581</v>
      </c>
      <c r="F7" s="5">
        <f t="shared" si="1"/>
        <v>-96.398910000000001</v>
      </c>
    </row>
    <row r="8" spans="1:6">
      <c r="A8" s="7">
        <v>1030223001</v>
      </c>
      <c r="B8" s="8" t="s">
        <v>283</v>
      </c>
      <c r="C8" s="329">
        <v>272.49</v>
      </c>
      <c r="D8" s="330">
        <v>274.86304999999999</v>
      </c>
      <c r="E8" s="9">
        <f t="shared" si="2"/>
        <v>100.87087599544937</v>
      </c>
      <c r="F8" s="9">
        <f t="shared" si="1"/>
        <v>2.3730499999999779</v>
      </c>
    </row>
    <row r="9" spans="1:6">
      <c r="A9" s="7">
        <v>1030224001</v>
      </c>
      <c r="B9" s="8" t="s">
        <v>289</v>
      </c>
      <c r="C9" s="329">
        <v>2.85</v>
      </c>
      <c r="D9" s="330">
        <v>2.5502099999999999</v>
      </c>
      <c r="E9" s="9">
        <f t="shared" si="2"/>
        <v>89.481052631578933</v>
      </c>
      <c r="F9" s="9">
        <f t="shared" si="1"/>
        <v>-0.29979000000000022</v>
      </c>
    </row>
    <row r="10" spans="1:6">
      <c r="A10" s="7">
        <v>1030225001</v>
      </c>
      <c r="B10" s="8" t="s">
        <v>282</v>
      </c>
      <c r="C10" s="329">
        <v>444.22</v>
      </c>
      <c r="D10" s="330">
        <v>407.83425</v>
      </c>
      <c r="E10" s="9">
        <f t="shared" si="2"/>
        <v>91.809069830264278</v>
      </c>
      <c r="F10" s="9">
        <f t="shared" si="1"/>
        <v>-36.38575000000003</v>
      </c>
    </row>
    <row r="11" spans="1:6">
      <c r="A11" s="7">
        <v>1030226001</v>
      </c>
      <c r="B11" s="8" t="s">
        <v>290</v>
      </c>
      <c r="C11" s="329">
        <v>0</v>
      </c>
      <c r="D11" s="328">
        <v>-62.086419999999997</v>
      </c>
      <c r="E11" s="9" t="e">
        <f t="shared" si="2"/>
        <v>#DIV/0!</v>
      </c>
      <c r="F11" s="9">
        <f t="shared" si="1"/>
        <v>-62.086419999999997</v>
      </c>
    </row>
    <row r="12" spans="1:6" s="6" customFormat="1">
      <c r="A12" s="68">
        <v>1050000000</v>
      </c>
      <c r="B12" s="67" t="s">
        <v>7</v>
      </c>
      <c r="C12" s="280">
        <f>SUM(C13:C13)</f>
        <v>50</v>
      </c>
      <c r="D12" s="280">
        <f>D13</f>
        <v>28.16273</v>
      </c>
      <c r="E12" s="5">
        <f t="shared" si="0"/>
        <v>56.325460000000007</v>
      </c>
      <c r="F12" s="5">
        <f t="shared" si="1"/>
        <v>-21.83727</v>
      </c>
    </row>
    <row r="13" spans="1:6" ht="15.75" customHeight="1">
      <c r="A13" s="7">
        <v>1050300000</v>
      </c>
      <c r="B13" s="11" t="s">
        <v>230</v>
      </c>
      <c r="C13" s="331">
        <v>50</v>
      </c>
      <c r="D13" s="330">
        <v>28.16273</v>
      </c>
      <c r="E13" s="9">
        <f t="shared" si="0"/>
        <v>56.325460000000007</v>
      </c>
      <c r="F13" s="9">
        <f t="shared" si="1"/>
        <v>-21.83727</v>
      </c>
    </row>
    <row r="14" spans="1:6" s="6" customFormat="1" ht="15.75" customHeight="1">
      <c r="A14" s="68">
        <v>1060000000</v>
      </c>
      <c r="B14" s="67" t="s">
        <v>136</v>
      </c>
      <c r="C14" s="280">
        <f>C15+C16</f>
        <v>2916</v>
      </c>
      <c r="D14" s="280">
        <f>D15+D16</f>
        <v>1969.9807900000001</v>
      </c>
      <c r="E14" s="5">
        <f t="shared" si="0"/>
        <v>67.557640260631004</v>
      </c>
      <c r="F14" s="5">
        <f t="shared" si="1"/>
        <v>-946.01920999999993</v>
      </c>
    </row>
    <row r="15" spans="1:6" s="6" customFormat="1" ht="15.75" customHeight="1">
      <c r="A15" s="7">
        <v>1060100000</v>
      </c>
      <c r="B15" s="11" t="s">
        <v>9</v>
      </c>
      <c r="C15" s="329">
        <v>255</v>
      </c>
      <c r="D15" s="330">
        <v>122.40824000000001</v>
      </c>
      <c r="E15" s="9">
        <f t="shared" si="0"/>
        <v>48.003231372549024</v>
      </c>
      <c r="F15" s="9">
        <f>SUM(D15-C15)</f>
        <v>-132.59175999999999</v>
      </c>
    </row>
    <row r="16" spans="1:6" ht="15.75" customHeight="1">
      <c r="A16" s="7">
        <v>1060600000</v>
      </c>
      <c r="B16" s="11" t="s">
        <v>8</v>
      </c>
      <c r="C16" s="329">
        <v>2661</v>
      </c>
      <c r="D16" s="330">
        <v>1847.5725500000001</v>
      </c>
      <c r="E16" s="9">
        <f t="shared" si="0"/>
        <v>69.431512589252165</v>
      </c>
      <c r="F16" s="9">
        <f t="shared" si="1"/>
        <v>-813.42744999999991</v>
      </c>
    </row>
    <row r="17" spans="1:6" s="6" customFormat="1">
      <c r="A17" s="3">
        <v>1080000000</v>
      </c>
      <c r="B17" s="4" t="s">
        <v>11</v>
      </c>
      <c r="C17" s="280">
        <f>C18</f>
        <v>25</v>
      </c>
      <c r="D17" s="280">
        <f>D18</f>
        <v>21.1</v>
      </c>
      <c r="E17" s="5">
        <f t="shared" si="0"/>
        <v>84.4</v>
      </c>
      <c r="F17" s="5">
        <f t="shared" si="1"/>
        <v>-3.8999999999999986</v>
      </c>
    </row>
    <row r="18" spans="1:6" ht="18" customHeight="1">
      <c r="A18" s="7">
        <v>1080400001</v>
      </c>
      <c r="B18" s="8" t="s">
        <v>228</v>
      </c>
      <c r="C18" s="329">
        <v>25</v>
      </c>
      <c r="D18" s="330">
        <v>21.1</v>
      </c>
      <c r="E18" s="9">
        <f t="shared" si="0"/>
        <v>84.4</v>
      </c>
      <c r="F18" s="9">
        <f t="shared" si="1"/>
        <v>-3.8999999999999986</v>
      </c>
    </row>
    <row r="19" spans="1:6" ht="47.25" hidden="1" customHeight="1">
      <c r="A19" s="7">
        <v>1080714001</v>
      </c>
      <c r="B19" s="8" t="s">
        <v>12</v>
      </c>
      <c r="C19" s="329"/>
      <c r="D19" s="330"/>
      <c r="E19" s="9" t="e">
        <f t="shared" si="0"/>
        <v>#DIV/0!</v>
      </c>
      <c r="F19" s="9">
        <f t="shared" si="1"/>
        <v>0</v>
      </c>
    </row>
    <row r="20" spans="1:6" s="15" customFormat="1" ht="29.25" hidden="1">
      <c r="A20" s="68">
        <v>1090000000</v>
      </c>
      <c r="B20" s="69" t="s">
        <v>124</v>
      </c>
      <c r="C20" s="280">
        <f>C21+C22+C23+C24</f>
        <v>0</v>
      </c>
      <c r="D20" s="280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31.5" hidden="1">
      <c r="A21" s="7">
        <v>1090100000</v>
      </c>
      <c r="B21" s="8" t="s">
        <v>125</v>
      </c>
      <c r="C21" s="280"/>
      <c r="D21" s="332"/>
      <c r="E21" s="9" t="e">
        <f t="shared" si="0"/>
        <v>#DIV/0!</v>
      </c>
      <c r="F21" s="9">
        <f t="shared" si="1"/>
        <v>0</v>
      </c>
    </row>
    <row r="22" spans="1:6" s="15" customFormat="1" hidden="1">
      <c r="A22" s="7">
        <v>1090400000</v>
      </c>
      <c r="B22" s="8" t="s">
        <v>126</v>
      </c>
      <c r="C22" s="280"/>
      <c r="D22" s="332"/>
      <c r="E22" s="9" t="e">
        <f t="shared" si="0"/>
        <v>#DIV/0!</v>
      </c>
      <c r="F22" s="9">
        <f t="shared" si="1"/>
        <v>0</v>
      </c>
    </row>
    <row r="23" spans="1:6" s="15" customFormat="1" hidden="1">
      <c r="A23" s="7">
        <v>1090600000</v>
      </c>
      <c r="B23" s="8" t="s">
        <v>127</v>
      </c>
      <c r="C23" s="280"/>
      <c r="D23" s="332"/>
      <c r="E23" s="9" t="e">
        <f t="shared" si="0"/>
        <v>#DIV/0!</v>
      </c>
      <c r="F23" s="9">
        <f t="shared" si="1"/>
        <v>0</v>
      </c>
    </row>
    <row r="24" spans="1:6" s="15" customFormat="1" hidden="1">
      <c r="A24" s="7">
        <v>1090700000</v>
      </c>
      <c r="B24" s="8" t="s">
        <v>128</v>
      </c>
      <c r="C24" s="280"/>
      <c r="D24" s="332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280">
        <f>C26+C29+C31+C36</f>
        <v>72</v>
      </c>
      <c r="D25" s="93">
        <f>D26+D29+D31+D36+D34</f>
        <v>-257.29844999999995</v>
      </c>
      <c r="E25" s="5">
        <f t="shared" si="0"/>
        <v>-357.35895833333325</v>
      </c>
      <c r="F25" s="5">
        <f t="shared" si="1"/>
        <v>-329.29844999999995</v>
      </c>
    </row>
    <row r="26" spans="1:6" s="6" customFormat="1" ht="30" customHeight="1">
      <c r="A26" s="68">
        <v>1110000000</v>
      </c>
      <c r="B26" s="69" t="s">
        <v>129</v>
      </c>
      <c r="C26" s="280">
        <f>C27+C28</f>
        <v>72</v>
      </c>
      <c r="D26" s="93">
        <f>D27+D28</f>
        <v>-286.74849999999998</v>
      </c>
      <c r="E26" s="5">
        <f t="shared" si="0"/>
        <v>-398.2618055555555</v>
      </c>
      <c r="F26" s="5">
        <f t="shared" si="1"/>
        <v>-358.74849999999998</v>
      </c>
    </row>
    <row r="27" spans="1:6" ht="15" customHeight="1">
      <c r="A27" s="16">
        <v>1110502510</v>
      </c>
      <c r="B27" s="17" t="s">
        <v>226</v>
      </c>
      <c r="C27" s="331">
        <v>70</v>
      </c>
      <c r="D27" s="328">
        <v>-286.74849999999998</v>
      </c>
      <c r="E27" s="9">
        <f t="shared" si="0"/>
        <v>-409.64071428571424</v>
      </c>
      <c r="F27" s="9">
        <f t="shared" si="1"/>
        <v>-356.74849999999998</v>
      </c>
    </row>
    <row r="28" spans="1:6" ht="15.75" customHeight="1">
      <c r="A28" s="7">
        <v>1110503505</v>
      </c>
      <c r="B28" s="11" t="s">
        <v>225</v>
      </c>
      <c r="C28" s="331">
        <v>2</v>
      </c>
      <c r="D28" s="330">
        <v>0</v>
      </c>
      <c r="E28" s="9">
        <f t="shared" si="0"/>
        <v>0</v>
      </c>
      <c r="F28" s="9">
        <f t="shared" si="1"/>
        <v>-2</v>
      </c>
    </row>
    <row r="29" spans="1:6" s="15" customFormat="1" ht="29.25">
      <c r="A29" s="68">
        <v>1130000000</v>
      </c>
      <c r="B29" s="69" t="s">
        <v>131</v>
      </c>
      <c r="C29" s="280">
        <f>C30</f>
        <v>0</v>
      </c>
      <c r="D29" s="280">
        <f>D30</f>
        <v>29.843050000000002</v>
      </c>
      <c r="E29" s="5" t="e">
        <f t="shared" si="0"/>
        <v>#DIV/0!</v>
      </c>
      <c r="F29" s="5">
        <f t="shared" si="1"/>
        <v>29.843050000000002</v>
      </c>
    </row>
    <row r="30" spans="1:6" ht="17.25" customHeight="1">
      <c r="A30" s="7">
        <v>1130206005</v>
      </c>
      <c r="B30" s="8" t="s">
        <v>224</v>
      </c>
      <c r="C30" s="329">
        <v>0</v>
      </c>
      <c r="D30" s="330">
        <v>29.843050000000002</v>
      </c>
      <c r="E30" s="9" t="e">
        <f t="shared" si="0"/>
        <v>#DIV/0!</v>
      </c>
      <c r="F30" s="9">
        <f t="shared" si="1"/>
        <v>29.843050000000002</v>
      </c>
    </row>
    <row r="31" spans="1:6" ht="28.5" hidden="1">
      <c r="A31" s="70">
        <v>1140000000</v>
      </c>
      <c r="B31" s="71" t="s">
        <v>132</v>
      </c>
      <c r="C31" s="280">
        <f>C32+C33</f>
        <v>0</v>
      </c>
      <c r="D31" s="280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222</v>
      </c>
      <c r="C32" s="329">
        <v>0</v>
      </c>
      <c r="D32" s="33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329">
        <v>0</v>
      </c>
      <c r="D33" s="33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280">
        <f>C35</f>
        <v>0</v>
      </c>
      <c r="D34" s="280">
        <f>D35</f>
        <v>0</v>
      </c>
      <c r="E34" s="5" t="e">
        <f>SUM(D34/C34*100)</f>
        <v>#DIV/0!</v>
      </c>
      <c r="F34" s="5">
        <f>SUM(D34-C34)</f>
        <v>0</v>
      </c>
    </row>
    <row r="35" spans="1:7" ht="47.25" hidden="1">
      <c r="A35" s="7">
        <v>1163305010</v>
      </c>
      <c r="B35" s="8" t="s">
        <v>268</v>
      </c>
      <c r="C35" s="329">
        <v>0</v>
      </c>
      <c r="D35" s="330">
        <v>0</v>
      </c>
      <c r="E35" s="9" t="e">
        <f>SUM(D35/C35*100)</f>
        <v>#DIV/0!</v>
      </c>
      <c r="F35" s="9">
        <f>SUM(D35-C35)</f>
        <v>0</v>
      </c>
    </row>
    <row r="36" spans="1:7" ht="16.5" customHeight="1">
      <c r="A36" s="3">
        <v>1170000000</v>
      </c>
      <c r="B36" s="13" t="s">
        <v>135</v>
      </c>
      <c r="C36" s="280">
        <f>C37+C38</f>
        <v>0</v>
      </c>
      <c r="D36" s="93">
        <f>D37+D38</f>
        <v>-0.39300000000000002</v>
      </c>
      <c r="E36" s="5" t="e">
        <f t="shared" si="0"/>
        <v>#DIV/0!</v>
      </c>
      <c r="F36" s="5">
        <f t="shared" si="1"/>
        <v>-0.39300000000000002</v>
      </c>
    </row>
    <row r="37" spans="1:7" ht="19.5" customHeight="1">
      <c r="A37" s="7">
        <v>1170105005</v>
      </c>
      <c r="B37" s="8" t="s">
        <v>18</v>
      </c>
      <c r="C37" s="329">
        <f>C38</f>
        <v>0</v>
      </c>
      <c r="D37" s="339">
        <v>-0.39300000000000002</v>
      </c>
      <c r="E37" s="9" t="e">
        <f t="shared" si="0"/>
        <v>#DIV/0!</v>
      </c>
      <c r="F37" s="9">
        <f t="shared" si="1"/>
        <v>-0.39300000000000002</v>
      </c>
    </row>
    <row r="38" spans="1:7" ht="17.25" hidden="1" customHeight="1">
      <c r="A38" s="7">
        <v>1170505005</v>
      </c>
      <c r="B38" s="11" t="s">
        <v>221</v>
      </c>
      <c r="C38" s="329">
        <v>0</v>
      </c>
      <c r="D38" s="33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333">
        <f>SUM(C4,C25)</f>
        <v>4238.8600000000006</v>
      </c>
      <c r="D39" s="333">
        <f>D4+D25</f>
        <v>2735.8232300000004</v>
      </c>
      <c r="E39" s="5">
        <f t="shared" si="0"/>
        <v>64.541485918383714</v>
      </c>
      <c r="F39" s="5">
        <f t="shared" si="1"/>
        <v>-1503.0367700000002</v>
      </c>
    </row>
    <row r="40" spans="1:7" s="6" customFormat="1">
      <c r="A40" s="3">
        <v>2000000000</v>
      </c>
      <c r="B40" s="4" t="s">
        <v>20</v>
      </c>
      <c r="C40" s="93">
        <f>C41+C43+C45+C46+C47+C48+C42+C44</f>
        <v>2727.2319800000005</v>
      </c>
      <c r="D40" s="280">
        <f>D41+D43+D45+D46+D47+D48+D42</f>
        <v>1844.3451000000002</v>
      </c>
      <c r="E40" s="5">
        <f t="shared" si="0"/>
        <v>67.626997392425707</v>
      </c>
      <c r="F40" s="5">
        <f t="shared" si="1"/>
        <v>-882.88688000000025</v>
      </c>
      <c r="G40" s="19"/>
    </row>
    <row r="41" spans="1:7">
      <c r="A41" s="16">
        <v>2021000000</v>
      </c>
      <c r="B41" s="17" t="s">
        <v>21</v>
      </c>
      <c r="C41" s="334">
        <v>1128.914</v>
      </c>
      <c r="D41" s="335">
        <v>999.98199999999997</v>
      </c>
      <c r="E41" s="9">
        <f t="shared" si="0"/>
        <v>88.579112315021334</v>
      </c>
      <c r="F41" s="9">
        <f t="shared" si="1"/>
        <v>-128.93200000000002</v>
      </c>
    </row>
    <row r="42" spans="1:7" ht="17.25" hidden="1" customHeight="1">
      <c r="A42" s="16">
        <v>2021500200</v>
      </c>
      <c r="B42" s="17" t="s">
        <v>232</v>
      </c>
      <c r="C42" s="334">
        <v>0</v>
      </c>
      <c r="D42" s="335">
        <v>0</v>
      </c>
      <c r="E42" s="9" t="e">
        <f>SUM(D42/C42*100)</f>
        <v>#DIV/0!</v>
      </c>
      <c r="F42" s="9">
        <f>SUM(D42-C42)</f>
        <v>0</v>
      </c>
    </row>
    <row r="43" spans="1:7" ht="15.75" customHeight="1">
      <c r="A43" s="16">
        <v>2022000000</v>
      </c>
      <c r="B43" s="17" t="s">
        <v>22</v>
      </c>
      <c r="C43" s="334">
        <v>1190.3929800000001</v>
      </c>
      <c r="D43" s="330">
        <v>442.11900000000003</v>
      </c>
      <c r="E43" s="9">
        <f t="shared" si="0"/>
        <v>37.140592008531506</v>
      </c>
      <c r="F43" s="9">
        <f t="shared" si="1"/>
        <v>-748.27398000000005</v>
      </c>
    </row>
    <row r="44" spans="1:7" ht="0.75" hidden="1" customHeight="1">
      <c r="A44" s="16">
        <v>2022999910</v>
      </c>
      <c r="B44" s="18" t="s">
        <v>352</v>
      </c>
      <c r="C44" s="334">
        <v>0</v>
      </c>
      <c r="D44" s="330">
        <v>0</v>
      </c>
      <c r="E44" s="9" t="e">
        <f>SUM(D44/C44*100)</f>
        <v>#DIV/0!</v>
      </c>
      <c r="F44" s="9">
        <f>SUM(D44-C44)</f>
        <v>0</v>
      </c>
    </row>
    <row r="45" spans="1:7" ht="15.75" customHeight="1">
      <c r="A45" s="16">
        <v>2023000000</v>
      </c>
      <c r="B45" s="17" t="s">
        <v>23</v>
      </c>
      <c r="C45" s="331">
        <v>157.59899999999999</v>
      </c>
      <c r="D45" s="336">
        <v>151.91810000000001</v>
      </c>
      <c r="E45" s="9">
        <f t="shared" si="0"/>
        <v>96.395345148129124</v>
      </c>
      <c r="F45" s="9">
        <f t="shared" si="1"/>
        <v>-5.6808999999999799</v>
      </c>
    </row>
    <row r="46" spans="1:7" ht="12.75" hidden="1" customHeight="1">
      <c r="A46" s="16">
        <v>2020400000</v>
      </c>
      <c r="B46" s="17" t="s">
        <v>24</v>
      </c>
      <c r="C46" s="331"/>
      <c r="D46" s="337"/>
      <c r="E46" s="9" t="e">
        <f t="shared" si="0"/>
        <v>#DIV/0!</v>
      </c>
      <c r="F46" s="9">
        <f t="shared" si="1"/>
        <v>0</v>
      </c>
    </row>
    <row r="47" spans="1:7" ht="17.25" customHeight="1">
      <c r="A47" s="7">
        <v>2070500010</v>
      </c>
      <c r="B47" s="17" t="s">
        <v>359</v>
      </c>
      <c r="C47" s="331">
        <v>250.32599999999999</v>
      </c>
      <c r="D47" s="337">
        <v>250.32599999999999</v>
      </c>
      <c r="E47" s="9">
        <f t="shared" si="0"/>
        <v>100</v>
      </c>
      <c r="F47" s="9">
        <f t="shared" si="1"/>
        <v>0</v>
      </c>
    </row>
    <row r="48" spans="1:7" ht="21" hidden="1" customHeight="1">
      <c r="A48" s="7">
        <v>2190500005</v>
      </c>
      <c r="B48" s="11" t="s">
        <v>26</v>
      </c>
      <c r="C48" s="332"/>
      <c r="D48" s="332"/>
      <c r="E48" s="5"/>
      <c r="F48" s="5">
        <f>SUM(D48-C48)</f>
        <v>0</v>
      </c>
    </row>
    <row r="49" spans="1:8" s="6" customFormat="1" ht="17.25" hidden="1" customHeight="1">
      <c r="A49" s="3">
        <v>3000000000</v>
      </c>
      <c r="B49" s="13" t="s">
        <v>27</v>
      </c>
      <c r="C49" s="338">
        <v>0</v>
      </c>
      <c r="D49" s="332">
        <v>0</v>
      </c>
      <c r="E49" s="5" t="e">
        <f t="shared" si="0"/>
        <v>#DIV/0!</v>
      </c>
      <c r="F49" s="5">
        <f t="shared" si="1"/>
        <v>0</v>
      </c>
    </row>
    <row r="50" spans="1:8" s="6" customFormat="1" ht="18" customHeight="1">
      <c r="A50" s="3"/>
      <c r="B50" s="4" t="s">
        <v>28</v>
      </c>
      <c r="C50" s="408">
        <f>C39+C40</f>
        <v>6966.0919800000011</v>
      </c>
      <c r="D50" s="407">
        <f>D39+D40</f>
        <v>4580.1683300000004</v>
      </c>
      <c r="E50" s="280">
        <f t="shared" si="0"/>
        <v>65.749466747638323</v>
      </c>
      <c r="F50" s="93">
        <f t="shared" si="1"/>
        <v>-2385.9236500000006</v>
      </c>
      <c r="G50" s="151"/>
      <c r="H50" s="293"/>
    </row>
    <row r="51" spans="1:8" s="6" customFormat="1">
      <c r="A51" s="3"/>
      <c r="B51" s="21" t="s">
        <v>321</v>
      </c>
      <c r="C51" s="93">
        <f>C50-C96</f>
        <v>-676.83369999999832</v>
      </c>
      <c r="D51" s="93">
        <f>D50-D96</f>
        <v>-755.81360999999924</v>
      </c>
      <c r="E51" s="32"/>
      <c r="F51" s="32"/>
    </row>
    <row r="52" spans="1:8">
      <c r="A52" s="23"/>
      <c r="B52" s="24"/>
      <c r="C52" s="326"/>
      <c r="D52" s="326"/>
      <c r="E52" s="26"/>
      <c r="F52" s="27"/>
    </row>
    <row r="53" spans="1:8" ht="45.75" customHeight="1">
      <c r="A53" s="28" t="s">
        <v>1</v>
      </c>
      <c r="B53" s="28" t="s">
        <v>29</v>
      </c>
      <c r="C53" s="243" t="s">
        <v>346</v>
      </c>
      <c r="D53" s="244" t="s">
        <v>412</v>
      </c>
      <c r="E53" s="72" t="s">
        <v>3</v>
      </c>
      <c r="F53" s="74" t="s">
        <v>4</v>
      </c>
    </row>
    <row r="54" spans="1:8">
      <c r="A54" s="29">
        <v>1</v>
      </c>
      <c r="B54" s="28">
        <v>2</v>
      </c>
      <c r="C54" s="87">
        <v>3</v>
      </c>
      <c r="D54" s="87">
        <v>4</v>
      </c>
      <c r="E54" s="87">
        <v>5</v>
      </c>
      <c r="F54" s="87">
        <v>6</v>
      </c>
    </row>
    <row r="55" spans="1:8" s="6" customFormat="1" ht="29.25" customHeight="1">
      <c r="A55" s="30" t="s">
        <v>30</v>
      </c>
      <c r="B55" s="31" t="s">
        <v>31</v>
      </c>
      <c r="C55" s="32">
        <f>C56+C57+C58+C59+C60+C62+C61</f>
        <v>1604.3</v>
      </c>
      <c r="D55" s="32">
        <f>D56+D57+D58+D59+D60+D62+D61</f>
        <v>1223.8081099999999</v>
      </c>
      <c r="E55" s="34">
        <f>SUM(D55/C55*100)</f>
        <v>76.282996322383596</v>
      </c>
      <c r="F55" s="34">
        <f>SUM(D55-C55)</f>
        <v>-380.49189000000001</v>
      </c>
    </row>
    <row r="56" spans="1:8" s="6" customFormat="1" ht="31.5" hidden="1">
      <c r="A56" s="35" t="s">
        <v>32</v>
      </c>
      <c r="B56" s="36" t="s">
        <v>33</v>
      </c>
      <c r="C56" s="37"/>
      <c r="D56" s="37"/>
      <c r="E56" s="38"/>
      <c r="F56" s="38"/>
    </row>
    <row r="57" spans="1:8" ht="15.75" customHeight="1">
      <c r="A57" s="35" t="s">
        <v>34</v>
      </c>
      <c r="B57" s="39" t="s">
        <v>35</v>
      </c>
      <c r="C57" s="37">
        <v>1593.7139999999999</v>
      </c>
      <c r="D57" s="37">
        <v>1218.70111</v>
      </c>
      <c r="E57" s="38">
        <f t="shared" ref="E57:E69" si="3">SUM(D57/C57*100)</f>
        <v>76.46924793281606</v>
      </c>
      <c r="F57" s="38">
        <f t="shared" ref="F57:F69" si="4">SUM(D57-C57)</f>
        <v>-375.01288999999997</v>
      </c>
    </row>
    <row r="58" spans="1:8" ht="0.75" hidden="1" customHeight="1">
      <c r="A58" s="35" t="s">
        <v>36</v>
      </c>
      <c r="B58" s="39" t="s">
        <v>37</v>
      </c>
      <c r="C58" s="37"/>
      <c r="D58" s="37"/>
      <c r="E58" s="38"/>
      <c r="F58" s="38">
        <f t="shared" si="4"/>
        <v>0</v>
      </c>
    </row>
    <row r="59" spans="1:8" ht="31.5" hidden="1" customHeight="1">
      <c r="A59" s="35" t="s">
        <v>38</v>
      </c>
      <c r="B59" s="39" t="s">
        <v>39</v>
      </c>
      <c r="C59" s="37"/>
      <c r="D59" s="37"/>
      <c r="E59" s="38" t="e">
        <f t="shared" si="3"/>
        <v>#DIV/0!</v>
      </c>
      <c r="F59" s="38">
        <f t="shared" si="4"/>
        <v>0</v>
      </c>
    </row>
    <row r="60" spans="1:8" ht="17.25" hidden="1" customHeight="1">
      <c r="A60" s="35" t="s">
        <v>40</v>
      </c>
      <c r="B60" s="39" t="s">
        <v>41</v>
      </c>
      <c r="C60" s="37">
        <v>0</v>
      </c>
      <c r="D60" s="37">
        <v>0</v>
      </c>
      <c r="E60" s="38" t="e">
        <f t="shared" si="3"/>
        <v>#DIV/0!</v>
      </c>
      <c r="F60" s="38">
        <f t="shared" si="4"/>
        <v>0</v>
      </c>
    </row>
    <row r="61" spans="1:8" ht="17.25" customHeight="1">
      <c r="A61" s="35" t="s">
        <v>42</v>
      </c>
      <c r="B61" s="39" t="s">
        <v>43</v>
      </c>
      <c r="C61" s="37">
        <v>5</v>
      </c>
      <c r="D61" s="32">
        <v>0</v>
      </c>
      <c r="E61" s="38">
        <f t="shared" si="3"/>
        <v>0</v>
      </c>
      <c r="F61" s="38">
        <f t="shared" si="4"/>
        <v>-5</v>
      </c>
    </row>
    <row r="62" spans="1:8" ht="15" customHeight="1">
      <c r="A62" s="35" t="s">
        <v>44</v>
      </c>
      <c r="B62" s="39" t="s">
        <v>45</v>
      </c>
      <c r="C62" s="37">
        <v>5.5860000000000003</v>
      </c>
      <c r="D62" s="37">
        <v>5.1070000000000002</v>
      </c>
      <c r="E62" s="38">
        <f t="shared" si="3"/>
        <v>91.424991049051201</v>
      </c>
      <c r="F62" s="38">
        <f t="shared" si="4"/>
        <v>-0.47900000000000009</v>
      </c>
    </row>
    <row r="63" spans="1:8" s="6" customFormat="1">
      <c r="A63" s="41" t="s">
        <v>46</v>
      </c>
      <c r="B63" s="42" t="s">
        <v>47</v>
      </c>
      <c r="C63" s="32">
        <f>C64</f>
        <v>150.881</v>
      </c>
      <c r="D63" s="32">
        <f>D64</f>
        <v>114.26248</v>
      </c>
      <c r="E63" s="34">
        <f t="shared" si="3"/>
        <v>75.73019797058609</v>
      </c>
      <c r="F63" s="34">
        <f t="shared" si="4"/>
        <v>-36.618520000000004</v>
      </c>
    </row>
    <row r="64" spans="1:8">
      <c r="A64" s="43" t="s">
        <v>48</v>
      </c>
      <c r="B64" s="44" t="s">
        <v>49</v>
      </c>
      <c r="C64" s="37">
        <v>150.881</v>
      </c>
      <c r="D64" s="37">
        <v>114.26248</v>
      </c>
      <c r="E64" s="38">
        <f t="shared" si="3"/>
        <v>75.73019797058609</v>
      </c>
      <c r="F64" s="38">
        <f t="shared" si="4"/>
        <v>-36.618520000000004</v>
      </c>
    </row>
    <row r="65" spans="1:7" s="6" customFormat="1" ht="15.75" customHeight="1">
      <c r="A65" s="30" t="s">
        <v>50</v>
      </c>
      <c r="B65" s="31" t="s">
        <v>51</v>
      </c>
      <c r="C65" s="32">
        <f>C68+C69</f>
        <v>2.4</v>
      </c>
      <c r="D65" s="32">
        <f>D68+D69</f>
        <v>1.8</v>
      </c>
      <c r="E65" s="34">
        <f t="shared" si="3"/>
        <v>75</v>
      </c>
      <c r="F65" s="34">
        <f t="shared" si="4"/>
        <v>-0.59999999999999987</v>
      </c>
    </row>
    <row r="66" spans="1:7" hidden="1">
      <c r="A66" s="35" t="s">
        <v>52</v>
      </c>
      <c r="B66" s="39" t="s">
        <v>53</v>
      </c>
      <c r="C66" s="37"/>
      <c r="D66" s="37"/>
      <c r="E66" s="34" t="e">
        <f t="shared" si="3"/>
        <v>#DIV/0!</v>
      </c>
      <c r="F66" s="34">
        <f t="shared" si="4"/>
        <v>0</v>
      </c>
    </row>
    <row r="67" spans="1:7" hidden="1">
      <c r="A67" s="45" t="s">
        <v>54</v>
      </c>
      <c r="B67" s="39" t="s">
        <v>55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t="17.25" customHeight="1">
      <c r="A68" s="46" t="s">
        <v>56</v>
      </c>
      <c r="B68" s="47" t="s">
        <v>57</v>
      </c>
      <c r="C68" s="37">
        <v>0</v>
      </c>
      <c r="D68" s="37">
        <v>0</v>
      </c>
      <c r="E68" s="34" t="e">
        <f t="shared" si="3"/>
        <v>#DIV/0!</v>
      </c>
      <c r="F68" s="34">
        <f t="shared" si="4"/>
        <v>0</v>
      </c>
    </row>
    <row r="69" spans="1:7" s="6" customFormat="1" ht="15.75" customHeight="1">
      <c r="A69" s="46" t="s">
        <v>219</v>
      </c>
      <c r="B69" s="47" t="s">
        <v>220</v>
      </c>
      <c r="C69" s="37">
        <v>2.4</v>
      </c>
      <c r="D69" s="37">
        <v>1.8</v>
      </c>
      <c r="E69" s="38">
        <f t="shared" si="3"/>
        <v>75</v>
      </c>
      <c r="F69" s="38">
        <f t="shared" si="4"/>
        <v>-0.59999999999999987</v>
      </c>
    </row>
    <row r="70" spans="1:7">
      <c r="A70" s="30" t="s">
        <v>58</v>
      </c>
      <c r="B70" s="31" t="s">
        <v>59</v>
      </c>
      <c r="C70" s="48">
        <f>SUM(C71:C74)</f>
        <v>2705.7626799999998</v>
      </c>
      <c r="D70" s="48">
        <f>SUM(D71:D74)</f>
        <v>1755.1650999999999</v>
      </c>
      <c r="E70" s="34">
        <f t="shared" ref="E70:E85" si="5">SUM(D70/C70*100)</f>
        <v>64.867666073360141</v>
      </c>
      <c r="F70" s="34">
        <f t="shared" ref="F70:F85" si="6">SUM(D70-C70)</f>
        <v>-950.59757999999988</v>
      </c>
    </row>
    <row r="71" spans="1:7" s="6" customFormat="1" ht="17.25" customHeight="1">
      <c r="A71" s="35" t="s">
        <v>60</v>
      </c>
      <c r="B71" s="39" t="s">
        <v>61</v>
      </c>
      <c r="C71" s="49">
        <v>16.25</v>
      </c>
      <c r="D71" s="37">
        <v>3.75</v>
      </c>
      <c r="E71" s="38">
        <f t="shared" si="5"/>
        <v>23.076923076923077</v>
      </c>
      <c r="F71" s="38">
        <f t="shared" si="6"/>
        <v>-12.5</v>
      </c>
      <c r="G71" s="50"/>
    </row>
    <row r="72" spans="1:7">
      <c r="A72" s="35" t="s">
        <v>62</v>
      </c>
      <c r="B72" s="39" t="s">
        <v>63</v>
      </c>
      <c r="C72" s="49">
        <v>444</v>
      </c>
      <c r="D72" s="37">
        <v>332.91552000000001</v>
      </c>
      <c r="E72" s="38">
        <f t="shared" si="5"/>
        <v>74.980972972972978</v>
      </c>
      <c r="F72" s="38">
        <f t="shared" si="6"/>
        <v>-111.08447999999999</v>
      </c>
    </row>
    <row r="73" spans="1:7">
      <c r="A73" s="35" t="s">
        <v>64</v>
      </c>
      <c r="B73" s="39" t="s">
        <v>65</v>
      </c>
      <c r="C73" s="49">
        <v>2200.5126799999998</v>
      </c>
      <c r="D73" s="37">
        <v>1416.4995799999999</v>
      </c>
      <c r="E73" s="38">
        <f t="shared" si="5"/>
        <v>64.371343681600607</v>
      </c>
      <c r="F73" s="38">
        <f t="shared" si="6"/>
        <v>-784.01309999999989</v>
      </c>
    </row>
    <row r="74" spans="1:7" s="6" customFormat="1">
      <c r="A74" s="35" t="s">
        <v>66</v>
      </c>
      <c r="B74" s="39" t="s">
        <v>67</v>
      </c>
      <c r="C74" s="49">
        <v>45</v>
      </c>
      <c r="D74" s="37">
        <v>2</v>
      </c>
      <c r="E74" s="38">
        <f t="shared" si="5"/>
        <v>4.4444444444444446</v>
      </c>
      <c r="F74" s="38">
        <f t="shared" si="6"/>
        <v>-43</v>
      </c>
    </row>
    <row r="75" spans="1:7" ht="17.25" customHeight="1">
      <c r="A75" s="30" t="s">
        <v>68</v>
      </c>
      <c r="B75" s="31" t="s">
        <v>69</v>
      </c>
      <c r="C75" s="32">
        <f>SUM(C76:C78)</f>
        <v>1144.8820000000001</v>
      </c>
      <c r="D75" s="32">
        <f>SUM(D76:D78)</f>
        <v>829.24625000000003</v>
      </c>
      <c r="E75" s="34">
        <f t="shared" si="5"/>
        <v>72.430717750824982</v>
      </c>
      <c r="F75" s="34">
        <f t="shared" si="6"/>
        <v>-315.63575000000003</v>
      </c>
    </row>
    <row r="76" spans="1:7" ht="0.75" hidden="1" customHeight="1">
      <c r="A76" s="35" t="s">
        <v>70</v>
      </c>
      <c r="B76" s="51" t="s">
        <v>71</v>
      </c>
      <c r="C76" s="37">
        <v>0</v>
      </c>
      <c r="D76" s="37">
        <v>0</v>
      </c>
      <c r="E76" s="38" t="e">
        <f t="shared" si="5"/>
        <v>#DIV/0!</v>
      </c>
      <c r="F76" s="38">
        <f t="shared" si="6"/>
        <v>0</v>
      </c>
    </row>
    <row r="77" spans="1:7" ht="17.25" hidden="1" customHeight="1">
      <c r="A77" s="35" t="s">
        <v>72</v>
      </c>
      <c r="B77" s="51" t="s">
        <v>73</v>
      </c>
      <c r="C77" s="37">
        <v>0</v>
      </c>
      <c r="D77" s="37">
        <v>0</v>
      </c>
      <c r="E77" s="38" t="e">
        <f t="shared" si="5"/>
        <v>#DIV/0!</v>
      </c>
      <c r="F77" s="38">
        <f t="shared" si="6"/>
        <v>0</v>
      </c>
    </row>
    <row r="78" spans="1:7" s="6" customFormat="1">
      <c r="A78" s="35" t="s">
        <v>74</v>
      </c>
      <c r="B78" s="39" t="s">
        <v>75</v>
      </c>
      <c r="C78" s="37">
        <v>1144.8820000000001</v>
      </c>
      <c r="D78" s="37">
        <v>829.24625000000003</v>
      </c>
      <c r="E78" s="38">
        <f t="shared" si="5"/>
        <v>72.430717750824982</v>
      </c>
      <c r="F78" s="38">
        <f t="shared" si="6"/>
        <v>-315.63575000000003</v>
      </c>
    </row>
    <row r="79" spans="1:7">
      <c r="A79" s="30" t="s">
        <v>86</v>
      </c>
      <c r="B79" s="31" t="s">
        <v>87</v>
      </c>
      <c r="C79" s="32">
        <f>C80</f>
        <v>2033.7</v>
      </c>
      <c r="D79" s="32">
        <f>D80</f>
        <v>1411.7</v>
      </c>
      <c r="E79" s="34">
        <f t="shared" si="5"/>
        <v>69.415351330088015</v>
      </c>
      <c r="F79" s="34">
        <f t="shared" si="6"/>
        <v>-622</v>
      </c>
    </row>
    <row r="80" spans="1:7" s="6" customFormat="1" ht="15" customHeight="1">
      <c r="A80" s="35" t="s">
        <v>88</v>
      </c>
      <c r="B80" s="39" t="s">
        <v>234</v>
      </c>
      <c r="C80" s="37">
        <v>2033.7</v>
      </c>
      <c r="D80" s="37">
        <v>1411.7</v>
      </c>
      <c r="E80" s="38">
        <f t="shared" si="5"/>
        <v>69.415351330088015</v>
      </c>
      <c r="F80" s="38">
        <f t="shared" si="6"/>
        <v>-622</v>
      </c>
    </row>
    <row r="81" spans="1:6" ht="20.25" hidden="1" customHeight="1">
      <c r="A81" s="52">
        <v>1000</v>
      </c>
      <c r="B81" s="31" t="s">
        <v>89</v>
      </c>
      <c r="C81" s="32">
        <f>SUM(C82:C85)</f>
        <v>0</v>
      </c>
      <c r="D81" s="32">
        <f>SUM(D82:D85)</f>
        <v>0</v>
      </c>
      <c r="E81" s="34" t="e">
        <f t="shared" si="5"/>
        <v>#DIV/0!</v>
      </c>
      <c r="F81" s="34">
        <f t="shared" si="6"/>
        <v>0</v>
      </c>
    </row>
    <row r="82" spans="1:6" ht="18" hidden="1" customHeight="1">
      <c r="A82" s="53">
        <v>1001</v>
      </c>
      <c r="B82" s="54" t="s">
        <v>90</v>
      </c>
      <c r="C82" s="37">
        <v>0</v>
      </c>
      <c r="D82" s="37">
        <v>0</v>
      </c>
      <c r="E82" s="38" t="e">
        <f t="shared" si="5"/>
        <v>#DIV/0!</v>
      </c>
      <c r="F82" s="38">
        <f t="shared" si="6"/>
        <v>0</v>
      </c>
    </row>
    <row r="83" spans="1:6" ht="17.25" hidden="1" customHeight="1">
      <c r="A83" s="53">
        <v>1003</v>
      </c>
      <c r="B83" s="54" t="s">
        <v>91</v>
      </c>
      <c r="C83" s="37">
        <v>0</v>
      </c>
      <c r="D83" s="37">
        <v>0</v>
      </c>
      <c r="E83" s="38" t="e">
        <f t="shared" si="5"/>
        <v>#DIV/0!</v>
      </c>
      <c r="F83" s="38">
        <f t="shared" si="6"/>
        <v>0</v>
      </c>
    </row>
    <row r="84" spans="1:6" ht="17.25" hidden="1" customHeight="1">
      <c r="A84" s="53">
        <v>1004</v>
      </c>
      <c r="B84" s="54" t="s">
        <v>92</v>
      </c>
      <c r="C84" s="37">
        <v>0</v>
      </c>
      <c r="D84" s="55">
        <v>0</v>
      </c>
      <c r="E84" s="38" t="e">
        <f t="shared" si="5"/>
        <v>#DIV/0!</v>
      </c>
      <c r="F84" s="38">
        <f t="shared" si="6"/>
        <v>0</v>
      </c>
    </row>
    <row r="85" spans="1:6" ht="21.75" hidden="1" customHeight="1">
      <c r="A85" s="35" t="s">
        <v>93</v>
      </c>
      <c r="B85" s="39" t="s">
        <v>94</v>
      </c>
      <c r="C85" s="37">
        <v>0</v>
      </c>
      <c r="D85" s="37"/>
      <c r="E85" s="38" t="e">
        <f t="shared" si="5"/>
        <v>#DIV/0!</v>
      </c>
      <c r="F85" s="38">
        <f t="shared" si="6"/>
        <v>0</v>
      </c>
    </row>
    <row r="86" spans="1:6">
      <c r="A86" s="30" t="s">
        <v>95</v>
      </c>
      <c r="B86" s="31" t="s">
        <v>96</v>
      </c>
      <c r="C86" s="32">
        <f>C87+C88+C89+C90+C91</f>
        <v>1</v>
      </c>
      <c r="D86" s="32">
        <f>D87+D88+D89+D90+D91</f>
        <v>0</v>
      </c>
      <c r="E86" s="38">
        <f t="shared" ref="E86:E96" si="7">SUM(D86/C86*100)</f>
        <v>0</v>
      </c>
      <c r="F86" s="22">
        <f>F87+F88+F89+F90+F91</f>
        <v>-1</v>
      </c>
    </row>
    <row r="87" spans="1:6" ht="15.75" customHeight="1">
      <c r="A87" s="35" t="s">
        <v>97</v>
      </c>
      <c r="B87" s="39" t="s">
        <v>98</v>
      </c>
      <c r="C87" s="37">
        <v>1</v>
      </c>
      <c r="D87" s="37">
        <v>0</v>
      </c>
      <c r="E87" s="38">
        <f t="shared" si="7"/>
        <v>0</v>
      </c>
      <c r="F87" s="38">
        <f>SUM(D87-C87)</f>
        <v>-1</v>
      </c>
    </row>
    <row r="88" spans="1:6" ht="15" hidden="1" customHeight="1">
      <c r="A88" s="35" t="s">
        <v>99</v>
      </c>
      <c r="B88" s="39" t="s">
        <v>100</v>
      </c>
      <c r="C88" s="37"/>
      <c r="D88" s="37"/>
      <c r="E88" s="38" t="e">
        <f t="shared" si="7"/>
        <v>#DIV/0!</v>
      </c>
      <c r="F88" s="38">
        <f>SUM(D88-C88)</f>
        <v>0</v>
      </c>
    </row>
    <row r="89" spans="1:6" ht="15" hidden="1" customHeight="1">
      <c r="A89" s="35" t="s">
        <v>101</v>
      </c>
      <c r="B89" s="39" t="s">
        <v>102</v>
      </c>
      <c r="C89" s="37"/>
      <c r="D89" s="37"/>
      <c r="E89" s="38" t="e">
        <f t="shared" si="7"/>
        <v>#DIV/0!</v>
      </c>
      <c r="F89" s="38"/>
    </row>
    <row r="90" spans="1:6" ht="15" hidden="1" customHeight="1">
      <c r="A90" s="35" t="s">
        <v>103</v>
      </c>
      <c r="B90" s="39" t="s">
        <v>104</v>
      </c>
      <c r="C90" s="37"/>
      <c r="D90" s="37"/>
      <c r="E90" s="38" t="e">
        <f t="shared" si="7"/>
        <v>#DIV/0!</v>
      </c>
      <c r="F90" s="38"/>
    </row>
    <row r="91" spans="1:6" s="6" customFormat="1" ht="15" hidden="1" customHeight="1">
      <c r="A91" s="35" t="s">
        <v>105</v>
      </c>
      <c r="B91" s="39" t="s">
        <v>106</v>
      </c>
      <c r="C91" s="37"/>
      <c r="D91" s="37"/>
      <c r="E91" s="38" t="e">
        <f t="shared" si="7"/>
        <v>#DIV/0!</v>
      </c>
      <c r="F91" s="38"/>
    </row>
    <row r="92" spans="1:6" ht="18.75" hidden="1" customHeight="1">
      <c r="A92" s="52">
        <v>1400</v>
      </c>
      <c r="B92" s="56" t="s">
        <v>115</v>
      </c>
      <c r="C92" s="48">
        <f>C93+C94+C95</f>
        <v>0</v>
      </c>
      <c r="D92" s="48">
        <f>SUM(D93:D95)</f>
        <v>0</v>
      </c>
      <c r="E92" s="34" t="e">
        <f t="shared" si="7"/>
        <v>#DIV/0!</v>
      </c>
      <c r="F92" s="34">
        <f>SUM(D92-C92)</f>
        <v>0</v>
      </c>
    </row>
    <row r="93" spans="1:6" ht="18" hidden="1" customHeight="1">
      <c r="A93" s="53">
        <v>1401</v>
      </c>
      <c r="B93" s="54" t="s">
        <v>116</v>
      </c>
      <c r="C93" s="49"/>
      <c r="D93" s="37"/>
      <c r="E93" s="38" t="e">
        <f t="shared" si="7"/>
        <v>#DIV/0!</v>
      </c>
      <c r="F93" s="38">
        <f>SUM(D93-C93)</f>
        <v>0</v>
      </c>
    </row>
    <row r="94" spans="1:6" ht="18" hidden="1" customHeight="1">
      <c r="A94" s="53">
        <v>1402</v>
      </c>
      <c r="B94" s="54" t="s">
        <v>117</v>
      </c>
      <c r="C94" s="49"/>
      <c r="D94" s="37"/>
      <c r="E94" s="38" t="e">
        <f t="shared" si="7"/>
        <v>#DIV/0!</v>
      </c>
      <c r="F94" s="38">
        <f>SUM(D94-C94)</f>
        <v>0</v>
      </c>
    </row>
    <row r="95" spans="1:6" s="6" customFormat="1" ht="18" hidden="1" customHeight="1">
      <c r="A95" s="53">
        <v>1403</v>
      </c>
      <c r="B95" s="54" t="s">
        <v>118</v>
      </c>
      <c r="C95" s="49"/>
      <c r="D95" s="37"/>
      <c r="E95" s="38" t="e">
        <f t="shared" si="7"/>
        <v>#DIV/0!</v>
      </c>
      <c r="F95" s="38">
        <f>SUM(D95-C95)</f>
        <v>0</v>
      </c>
    </row>
    <row r="96" spans="1:6" ht="15" customHeight="1">
      <c r="A96" s="52"/>
      <c r="B96" s="57" t="s">
        <v>119</v>
      </c>
      <c r="C96" s="408">
        <f>C55+C63+C65+C70+C75+C79+C81+C86+C92</f>
        <v>7642.9256799999994</v>
      </c>
      <c r="D96" s="408">
        <f>D55+D63+D65+D70+D75+D79+D81+D86+D92</f>
        <v>5335.9819399999997</v>
      </c>
      <c r="E96" s="34">
        <f t="shared" si="7"/>
        <v>69.815960057850518</v>
      </c>
      <c r="F96" s="34">
        <f>SUM(D96-C96)</f>
        <v>-2306.9437399999997</v>
      </c>
    </row>
    <row r="97" spans="1:6" s="65" customFormat="1" ht="22.5" customHeight="1">
      <c r="A97" s="63" t="s">
        <v>120</v>
      </c>
      <c r="B97" s="63"/>
      <c r="C97" s="249"/>
      <c r="D97" s="249"/>
    </row>
    <row r="98" spans="1:6" ht="16.5" customHeight="1">
      <c r="A98" s="66" t="s">
        <v>121</v>
      </c>
      <c r="B98" s="66"/>
      <c r="C98" s="249" t="s">
        <v>122</v>
      </c>
      <c r="D98" s="249"/>
      <c r="E98" s="65"/>
      <c r="F98" s="65"/>
    </row>
    <row r="99" spans="1:6" ht="20.25" customHeight="1">
      <c r="C99" s="120"/>
    </row>
    <row r="100" spans="1:6" ht="13.5" customHeight="1"/>
    <row r="101" spans="1:6" ht="5.25" customHeight="1"/>
    <row r="141" hidden="1"/>
  </sheetData>
  <customSheetViews>
    <customSheetView guid="{8E17DC23-BE06-48DD-840B-6DD85B9E86D1}" scale="70" showPageBreaks="1" hiddenRows="1" view="pageBreakPreview" topLeftCell="A50">
      <selection activeCell="C96" activeCellId="2" sqref="C40 C50:D50 C96:D96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hiddenRows="1" topLeftCell="A50">
      <selection activeCell="B100" sqref="B100"/>
      <pageMargins left="0.7" right="0.7" top="0.75" bottom="0.75" header="0.3" footer="0.3"/>
      <pageSetup paperSize="9" scale="54" orientation="portrait" r:id="rId2"/>
    </customSheetView>
    <customSheetView guid="{3DCB9AAA-F09C-4EA6-B992-F93E466D374A}" hiddenRows="1" topLeftCell="A50">
      <selection activeCell="B100" sqref="B100"/>
      <pageMargins left="0.7" right="0.7" top="0.75" bottom="0.75" header="0.3" footer="0.3"/>
      <pageSetup paperSize="9" scale="54" orientation="portrait" r:id="rId3"/>
    </customSheetView>
    <customSheetView guid="{1718F1EE-9F48-4DBE-9531-3B70F9C4A5DD}" scale="70" showPageBreaks="1" hiddenRows="1" view="pageBreakPreview" topLeftCell="A9">
      <selection activeCell="G51" sqref="G51"/>
      <pageMargins left="0.7" right="0.7" top="0.75" bottom="0.75" header="0.3" footer="0.3"/>
      <pageSetup paperSize="9" scale="42" orientation="portrait" r:id="rId4"/>
    </customSheetView>
    <customSheetView guid="{42584DC0-1D41-4C93-9B38-C388E7B8DAC4}" scale="70" showPageBreaks="1" hiddenRows="1" view="pageBreakPreview" topLeftCell="A53">
      <selection activeCell="C74" sqref="C74"/>
      <pageMargins left="0.70866141732283472" right="0.70866141732283472" top="0.74803149606299213" bottom="0.74803149606299213" header="0.31496062992125984" footer="0.31496062992125984"/>
      <pageSetup paperSize="9" scale="65" orientation="portrait" r:id="rId5"/>
    </customSheetView>
    <customSheetView guid="{B30CE22D-C12F-4E12-8BB9-3AAE0A6991CC}" scale="70" showPageBreaks="1" hiddenRows="1" view="pageBreakPreview" topLeftCell="A25">
      <selection activeCell="D96" sqref="D96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50">
      <selection activeCell="C96" activeCellId="2" sqref="C40 C50:D50 C96:D96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G141"/>
  <sheetViews>
    <sheetView view="pageBreakPreview" topLeftCell="A36" zoomScale="70" zoomScaleNormal="100" zoomScaleSheetLayoutView="70" workbookViewId="0">
      <selection activeCell="C51" activeCellId="1" sqref="C97:D97 C51:D51"/>
    </sheetView>
  </sheetViews>
  <sheetFormatPr defaultRowHeight="15.75"/>
  <cols>
    <col min="1" max="1" width="14.7109375" style="58" customWidth="1"/>
    <col min="2" max="2" width="58.140625" style="59" customWidth="1"/>
    <col min="3" max="3" width="16.85546875" style="62" customWidth="1"/>
    <col min="4" max="4" width="16.42578125" style="62" customWidth="1"/>
    <col min="5" max="5" width="12.5703125" style="62" customWidth="1"/>
    <col min="6" max="6" width="13.7109375" style="62" customWidth="1"/>
    <col min="7" max="7" width="19.1406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422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4276.0099999999993</v>
      </c>
      <c r="D4" s="5">
        <f>D5+D12+D14+D7+D20+D17</f>
        <v>3139.5666899999997</v>
      </c>
      <c r="E4" s="5">
        <f>SUM(D4/C4*100)</f>
        <v>73.422809815692673</v>
      </c>
      <c r="F4" s="5">
        <f>SUM(D4-C4)</f>
        <v>-1136.4433099999997</v>
      </c>
    </row>
    <row r="5" spans="1:6" s="6" customFormat="1">
      <c r="A5" s="68">
        <v>1010000000</v>
      </c>
      <c r="B5" s="67" t="s">
        <v>6</v>
      </c>
      <c r="C5" s="5">
        <f>C6</f>
        <v>1624.2</v>
      </c>
      <c r="D5" s="5">
        <f>D6</f>
        <v>1350.3019099999999</v>
      </c>
      <c r="E5" s="5">
        <f t="shared" ref="E5:E51" si="0">SUM(D5/C5*100)</f>
        <v>83.136430858268668</v>
      </c>
      <c r="F5" s="5">
        <f t="shared" ref="F5:F51" si="1">SUM(D5-C5)</f>
        <v>-273.89809000000014</v>
      </c>
    </row>
    <row r="6" spans="1:6">
      <c r="A6" s="7">
        <v>1010200001</v>
      </c>
      <c r="B6" s="8" t="s">
        <v>229</v>
      </c>
      <c r="C6" s="91">
        <v>1624.2</v>
      </c>
      <c r="D6" s="10">
        <v>1350.3019099999999</v>
      </c>
      <c r="E6" s="9">
        <f t="shared" ref="E6:E11" si="2">SUM(D6/C6*100)</f>
        <v>83.136430858268668</v>
      </c>
      <c r="F6" s="9">
        <f t="shared" si="1"/>
        <v>-273.89809000000014</v>
      </c>
    </row>
    <row r="7" spans="1:6">
      <c r="A7" s="3">
        <v>1030200001</v>
      </c>
      <c r="B7" s="13" t="s">
        <v>279</v>
      </c>
      <c r="C7" s="5">
        <f>C8+C10+C9</f>
        <v>350.11</v>
      </c>
      <c r="D7" s="5">
        <f>D8+D9+D10+D11</f>
        <v>305.98322999999999</v>
      </c>
      <c r="E7" s="9">
        <f t="shared" si="2"/>
        <v>87.396312587472508</v>
      </c>
      <c r="F7" s="9">
        <f t="shared" si="1"/>
        <v>-44.126770000000022</v>
      </c>
    </row>
    <row r="8" spans="1:6">
      <c r="A8" s="7">
        <v>1030223001</v>
      </c>
      <c r="B8" s="8" t="s">
        <v>283</v>
      </c>
      <c r="C8" s="9">
        <v>130.59</v>
      </c>
      <c r="D8" s="10">
        <v>134.96268000000001</v>
      </c>
      <c r="E8" s="9">
        <f t="shared" si="2"/>
        <v>103.34840339995407</v>
      </c>
      <c r="F8" s="9">
        <f t="shared" si="1"/>
        <v>4.3726800000000026</v>
      </c>
    </row>
    <row r="9" spans="1:6">
      <c r="A9" s="7">
        <v>1030224001</v>
      </c>
      <c r="B9" s="8" t="s">
        <v>289</v>
      </c>
      <c r="C9" s="9">
        <v>1.4</v>
      </c>
      <c r="D9" s="10">
        <v>1.2521899999999999</v>
      </c>
      <c r="E9" s="9">
        <f t="shared" si="2"/>
        <v>89.442142857142855</v>
      </c>
      <c r="F9" s="9">
        <f t="shared" si="1"/>
        <v>-0.14781</v>
      </c>
    </row>
    <row r="10" spans="1:6">
      <c r="A10" s="7">
        <v>1030225001</v>
      </c>
      <c r="B10" s="8" t="s">
        <v>282</v>
      </c>
      <c r="C10" s="9">
        <v>218.12</v>
      </c>
      <c r="D10" s="10">
        <v>200.25391999999999</v>
      </c>
      <c r="E10" s="9">
        <f t="shared" si="2"/>
        <v>91.809059233449474</v>
      </c>
      <c r="F10" s="9">
        <f t="shared" si="1"/>
        <v>-17.866080000000011</v>
      </c>
    </row>
    <row r="11" spans="1:6">
      <c r="A11" s="7">
        <v>1030226001</v>
      </c>
      <c r="B11" s="8" t="s">
        <v>291</v>
      </c>
      <c r="C11" s="9">
        <v>0</v>
      </c>
      <c r="D11" s="10">
        <v>-30.48556</v>
      </c>
      <c r="E11" s="9" t="e">
        <f t="shared" si="2"/>
        <v>#DIV/0!</v>
      </c>
      <c r="F11" s="9">
        <f t="shared" si="1"/>
        <v>-30.48556</v>
      </c>
    </row>
    <row r="12" spans="1:6" s="6" customFormat="1" ht="15" customHeight="1">
      <c r="A12" s="68">
        <v>1050000000</v>
      </c>
      <c r="B12" s="67" t="s">
        <v>7</v>
      </c>
      <c r="C12" s="5">
        <f>SUM(C13:C13)</f>
        <v>75</v>
      </c>
      <c r="D12" s="5">
        <f>SUM(D13:D13)</f>
        <v>75.141949999999994</v>
      </c>
      <c r="E12" s="5">
        <f t="shared" si="0"/>
        <v>100.18926666666665</v>
      </c>
      <c r="F12" s="5">
        <f t="shared" si="1"/>
        <v>0.14194999999999425</v>
      </c>
    </row>
    <row r="13" spans="1:6" ht="15.75" customHeight="1">
      <c r="A13" s="7">
        <v>1050300000</v>
      </c>
      <c r="B13" s="11" t="s">
        <v>230</v>
      </c>
      <c r="C13" s="12">
        <v>75</v>
      </c>
      <c r="D13" s="10">
        <v>75.141949999999994</v>
      </c>
      <c r="E13" s="9">
        <f t="shared" si="0"/>
        <v>100.18926666666665</v>
      </c>
      <c r="F13" s="9">
        <f t="shared" si="1"/>
        <v>0.14194999999999425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2226.6999999999998</v>
      </c>
      <c r="D14" s="5">
        <f>D15+D16</f>
        <v>1408.1396</v>
      </c>
      <c r="E14" s="5">
        <f t="shared" si="0"/>
        <v>63.238855705752918</v>
      </c>
      <c r="F14" s="5">
        <f t="shared" si="1"/>
        <v>-818.56039999999985</v>
      </c>
    </row>
    <row r="15" spans="1:6" s="6" customFormat="1" ht="15" customHeight="1">
      <c r="A15" s="7">
        <v>1060100000</v>
      </c>
      <c r="B15" s="11" t="s">
        <v>254</v>
      </c>
      <c r="C15" s="9">
        <v>550</v>
      </c>
      <c r="D15" s="10">
        <v>330.74975000000001</v>
      </c>
      <c r="E15" s="9">
        <f t="shared" si="0"/>
        <v>60.136318181818183</v>
      </c>
      <c r="F15" s="9">
        <f>SUM(D15-C15)</f>
        <v>-219.25024999999999</v>
      </c>
    </row>
    <row r="16" spans="1:6" ht="17.25" customHeight="1">
      <c r="A16" s="7">
        <v>1060600000</v>
      </c>
      <c r="B16" s="11" t="s">
        <v>8</v>
      </c>
      <c r="C16" s="9">
        <v>1676.7</v>
      </c>
      <c r="D16" s="10">
        <v>1077.38985</v>
      </c>
      <c r="E16" s="9">
        <f t="shared" si="0"/>
        <v>64.256566469851492</v>
      </c>
      <c r="F16" s="9">
        <f t="shared" si="1"/>
        <v>-599.31015000000002</v>
      </c>
    </row>
    <row r="17" spans="1:6" s="6" customFormat="1" ht="0.75" hidden="1" customHeight="1">
      <c r="A17" s="3">
        <v>1080000000</v>
      </c>
      <c r="B17" s="4" t="s">
        <v>11</v>
      </c>
      <c r="C17" s="5">
        <f>C18</f>
        <v>0</v>
      </c>
      <c r="D17" s="5">
        <f>D18</f>
        <v>0</v>
      </c>
      <c r="E17" s="5" t="e">
        <f t="shared" si="0"/>
        <v>#DIV/0!</v>
      </c>
      <c r="F17" s="5">
        <f t="shared" si="1"/>
        <v>0</v>
      </c>
    </row>
    <row r="18" spans="1:6" ht="15.75" hidden="1" customHeight="1">
      <c r="A18" s="7">
        <v>1080400001</v>
      </c>
      <c r="B18" s="8" t="s">
        <v>228</v>
      </c>
      <c r="C18" s="9">
        <v>0</v>
      </c>
      <c r="D18" s="10">
        <v>0</v>
      </c>
      <c r="E18" s="9" t="e">
        <f t="shared" si="0"/>
        <v>#DIV/0!</v>
      </c>
      <c r="F18" s="9">
        <f t="shared" si="1"/>
        <v>0</v>
      </c>
    </row>
    <row r="19" spans="1:6" ht="47.25" hidden="1" customHeight="1">
      <c r="A19" s="7">
        <v>1080714001</v>
      </c>
      <c r="B19" s="8" t="s">
        <v>12</v>
      </c>
      <c r="C19" s="9">
        <v>0</v>
      </c>
      <c r="D19" s="10">
        <v>0</v>
      </c>
      <c r="E19" s="9" t="e">
        <f t="shared" si="0"/>
        <v>#DIV/0!</v>
      </c>
      <c r="F19" s="9">
        <f t="shared" si="1"/>
        <v>0</v>
      </c>
    </row>
    <row r="20" spans="1:6" s="15" customFormat="1" ht="29.2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0.7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8.75" hidden="1" customHeight="1">
      <c r="A22" s="7">
        <v>1090400000</v>
      </c>
      <c r="B22" s="8" t="s">
        <v>233</v>
      </c>
      <c r="C22" s="9">
        <v>0</v>
      </c>
      <c r="D22" s="10">
        <v>0</v>
      </c>
      <c r="E22" s="9" t="e">
        <f t="shared" si="0"/>
        <v>#DIV/0!</v>
      </c>
      <c r="F22" s="9">
        <f t="shared" si="1"/>
        <v>0</v>
      </c>
    </row>
    <row r="23" spans="1:6" s="15" customFormat="1" ht="1.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6.5" hidden="1" customHeight="1">
      <c r="A24" s="7">
        <v>1090700000</v>
      </c>
      <c r="B24" s="8" t="s">
        <v>128</v>
      </c>
      <c r="C24" s="9">
        <v>0</v>
      </c>
      <c r="D24" s="10">
        <v>0</v>
      </c>
      <c r="E24" s="9" t="e">
        <f t="shared" si="0"/>
        <v>#DIV/0!</v>
      </c>
      <c r="F24" s="9">
        <f t="shared" si="1"/>
        <v>0</v>
      </c>
    </row>
    <row r="25" spans="1:6" s="6" customFormat="1" ht="20.25" customHeight="1">
      <c r="A25" s="3"/>
      <c r="B25" s="4" t="s">
        <v>13</v>
      </c>
      <c r="C25" s="5">
        <f>C26+C29+C31+C34+C36</f>
        <v>20</v>
      </c>
      <c r="D25" s="5">
        <f>D26+D29+D31+D34+D36</f>
        <v>-3.153459999999999</v>
      </c>
      <c r="E25" s="5">
        <f t="shared" si="0"/>
        <v>-15.767299999999995</v>
      </c>
      <c r="F25" s="5">
        <f t="shared" si="1"/>
        <v>-23.153459999999999</v>
      </c>
    </row>
    <row r="26" spans="1:6" s="6" customFormat="1" ht="32.25" customHeight="1">
      <c r="A26" s="68">
        <v>1110000000</v>
      </c>
      <c r="B26" s="69" t="s">
        <v>129</v>
      </c>
      <c r="C26" s="5">
        <f>C27+C28</f>
        <v>10</v>
      </c>
      <c r="D26" s="5">
        <f>D27+D28</f>
        <v>0</v>
      </c>
      <c r="E26" s="5">
        <f t="shared" si="0"/>
        <v>0</v>
      </c>
      <c r="F26" s="5">
        <f t="shared" si="1"/>
        <v>-10</v>
      </c>
    </row>
    <row r="27" spans="1:6" ht="17.25" hidden="1" customHeight="1">
      <c r="A27" s="16">
        <v>1110502501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>
      <c r="A28" s="7">
        <v>1110503505</v>
      </c>
      <c r="B28" s="11" t="s">
        <v>225</v>
      </c>
      <c r="C28" s="12">
        <v>10</v>
      </c>
      <c r="D28" s="10">
        <v>0</v>
      </c>
      <c r="E28" s="9">
        <f t="shared" si="0"/>
        <v>0</v>
      </c>
      <c r="F28" s="9">
        <f t="shared" si="1"/>
        <v>-10</v>
      </c>
    </row>
    <row r="29" spans="1:6" s="15" customFormat="1" ht="29.25">
      <c r="A29" s="68">
        <v>1130000000</v>
      </c>
      <c r="B29" s="69" t="s">
        <v>131</v>
      </c>
      <c r="C29" s="5">
        <f>C30</f>
        <v>10</v>
      </c>
      <c r="D29" s="5">
        <f>D30</f>
        <v>8.3664100000000001</v>
      </c>
      <c r="E29" s="5">
        <f t="shared" si="0"/>
        <v>83.664099999999991</v>
      </c>
      <c r="F29" s="5">
        <f t="shared" si="1"/>
        <v>-1.6335899999999999</v>
      </c>
    </row>
    <row r="30" spans="1:6" ht="18" customHeight="1">
      <c r="A30" s="7">
        <v>1130206005</v>
      </c>
      <c r="B30" s="8" t="s">
        <v>224</v>
      </c>
      <c r="C30" s="9">
        <v>10</v>
      </c>
      <c r="D30" s="10">
        <v>8.3664100000000001</v>
      </c>
      <c r="E30" s="9">
        <f t="shared" si="0"/>
        <v>83.664099999999991</v>
      </c>
      <c r="F30" s="9">
        <f t="shared" si="1"/>
        <v>-1.6335899999999999</v>
      </c>
    </row>
    <row r="31" spans="1:6" ht="28.5" hidden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idden="1">
      <c r="A32" s="16">
        <v>1140200000</v>
      </c>
      <c r="B32" s="18" t="s">
        <v>133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idden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idden="1">
      <c r="A34" s="3">
        <v>1160000000</v>
      </c>
      <c r="B34" s="13" t="s">
        <v>252</v>
      </c>
      <c r="C34" s="5">
        <f>C35</f>
        <v>0</v>
      </c>
      <c r="D34" s="14">
        <f>D35</f>
        <v>0</v>
      </c>
      <c r="E34" s="5" t="e">
        <f t="shared" si="0"/>
        <v>#DIV/0!</v>
      </c>
      <c r="F34" s="5">
        <f t="shared" si="1"/>
        <v>0</v>
      </c>
    </row>
    <row r="35" spans="1:7" ht="47.25" hidden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20.25" customHeight="1">
      <c r="A36" s="3">
        <v>1170000000</v>
      </c>
      <c r="B36" s="13" t="s">
        <v>135</v>
      </c>
      <c r="C36" s="5">
        <f>C37+C38</f>
        <v>0</v>
      </c>
      <c r="D36" s="5">
        <f>D37+D38</f>
        <v>-11.519869999999999</v>
      </c>
      <c r="E36" s="5">
        <v>0</v>
      </c>
      <c r="F36" s="5">
        <f t="shared" si="1"/>
        <v>-11.519869999999999</v>
      </c>
    </row>
    <row r="37" spans="1:7" ht="15" hidden="1" customHeight="1">
      <c r="A37" s="7">
        <v>1170105005</v>
      </c>
      <c r="B37" s="8" t="s">
        <v>18</v>
      </c>
      <c r="C37" s="9">
        <v>0</v>
      </c>
      <c r="D37" s="9">
        <v>0</v>
      </c>
      <c r="E37" s="9">
        <v>0</v>
      </c>
      <c r="F37" s="9">
        <f t="shared" si="1"/>
        <v>0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-11.519869999999999</v>
      </c>
      <c r="E38" s="9">
        <v>0</v>
      </c>
      <c r="F38" s="9">
        <f t="shared" si="1"/>
        <v>-11.519869999999999</v>
      </c>
    </row>
    <row r="39" spans="1:7" s="6" customFormat="1" ht="18" customHeight="1">
      <c r="A39" s="3">
        <v>1000000000</v>
      </c>
      <c r="B39" s="4" t="s">
        <v>19</v>
      </c>
      <c r="C39" s="127">
        <f>SUM(C4,C25)</f>
        <v>4296.0099999999993</v>
      </c>
      <c r="D39" s="127">
        <f>D4+D25</f>
        <v>3136.4132299999997</v>
      </c>
      <c r="E39" s="5">
        <f t="shared" si="0"/>
        <v>73.007586807293279</v>
      </c>
      <c r="F39" s="5">
        <f t="shared" si="1"/>
        <v>-1159.5967699999997</v>
      </c>
    </row>
    <row r="40" spans="1:7" s="6" customFormat="1">
      <c r="A40" s="3">
        <v>2000000000</v>
      </c>
      <c r="B40" s="4" t="s">
        <v>20</v>
      </c>
      <c r="C40" s="5">
        <f>C41+C43+C45+C46+C47+C49+C42+C44+C48</f>
        <v>4910.0419999999995</v>
      </c>
      <c r="D40" s="5">
        <f>D41+D43+D45+D46+D47+D49+D42+D48</f>
        <v>4258.8534900000004</v>
      </c>
      <c r="E40" s="5">
        <f t="shared" si="0"/>
        <v>86.737618334018336</v>
      </c>
      <c r="F40" s="5">
        <f t="shared" si="1"/>
        <v>-651.18850999999904</v>
      </c>
      <c r="G40" s="19"/>
    </row>
    <row r="41" spans="1:7" ht="17.25" customHeight="1">
      <c r="A41" s="16">
        <v>2021000000</v>
      </c>
      <c r="B41" s="17" t="s">
        <v>21</v>
      </c>
      <c r="C41" s="12">
        <v>4512.616</v>
      </c>
      <c r="D41" s="20">
        <v>3963.788</v>
      </c>
      <c r="E41" s="9">
        <f t="shared" si="0"/>
        <v>87.837919291160603</v>
      </c>
      <c r="F41" s="9">
        <f t="shared" si="1"/>
        <v>-548.82799999999997</v>
      </c>
    </row>
    <row r="42" spans="1:7" ht="15" customHeight="1">
      <c r="A42" s="16">
        <v>2021500210</v>
      </c>
      <c r="B42" s="17" t="s">
        <v>232</v>
      </c>
      <c r="C42" s="12">
        <v>0</v>
      </c>
      <c r="D42" s="20">
        <v>0</v>
      </c>
      <c r="E42" s="9" t="e">
        <f>SUM(D42/C42*100)</f>
        <v>#DIV/0!</v>
      </c>
      <c r="F42" s="9">
        <f>SUM(D42-C42)</f>
        <v>0</v>
      </c>
    </row>
    <row r="43" spans="1:7" ht="20.25" customHeight="1">
      <c r="A43" s="16">
        <v>2022000000</v>
      </c>
      <c r="B43" s="17" t="s">
        <v>22</v>
      </c>
      <c r="C43" s="279">
        <v>261.73</v>
      </c>
      <c r="D43" s="10">
        <v>171.66</v>
      </c>
      <c r="E43" s="9">
        <f t="shared" si="0"/>
        <v>65.586673289267566</v>
      </c>
      <c r="F43" s="9">
        <f t="shared" si="1"/>
        <v>-90.070000000000022</v>
      </c>
    </row>
    <row r="44" spans="1:7" ht="0.75" hidden="1" customHeight="1">
      <c r="A44" s="16">
        <v>2022999910</v>
      </c>
      <c r="B44" s="18" t="s">
        <v>352</v>
      </c>
      <c r="C44" s="279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6.5" customHeight="1">
      <c r="A45" s="16">
        <v>2023000000</v>
      </c>
      <c r="B45" s="17" t="s">
        <v>23</v>
      </c>
      <c r="C45" s="12">
        <v>15.396000000000001</v>
      </c>
      <c r="D45" s="251">
        <v>1.3828</v>
      </c>
      <c r="E45" s="9">
        <f t="shared" si="0"/>
        <v>8.9815536502987783</v>
      </c>
      <c r="F45" s="9">
        <f t="shared" si="1"/>
        <v>-14.013200000000001</v>
      </c>
    </row>
    <row r="46" spans="1:7" ht="0.7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47.25" hidden="1">
      <c r="A47" s="16">
        <v>2020900000</v>
      </c>
      <c r="B47" s="18" t="s">
        <v>25</v>
      </c>
      <c r="C47" s="12"/>
      <c r="D47" s="252"/>
      <c r="E47" s="9" t="e">
        <f>SUM(D47/C47*100)</f>
        <v>#DIV/0!</v>
      </c>
      <c r="F47" s="9">
        <f>SUM(D47-C47)</f>
        <v>0</v>
      </c>
    </row>
    <row r="48" spans="1:7" ht="18" customHeight="1">
      <c r="A48" s="7">
        <v>2070500010</v>
      </c>
      <c r="B48" s="18" t="s">
        <v>298</v>
      </c>
      <c r="C48" s="12">
        <v>120.3</v>
      </c>
      <c r="D48" s="252">
        <v>122.02269</v>
      </c>
      <c r="E48" s="9">
        <f>SUM(D48/C48*100)</f>
        <v>101.43199501246882</v>
      </c>
      <c r="F48" s="9">
        <f>SUM(D48-C48)</f>
        <v>1.7226900000000001</v>
      </c>
    </row>
    <row r="49" spans="1:7" hidden="1">
      <c r="A49" s="7">
        <v>2190500005</v>
      </c>
      <c r="B49" s="11" t="s">
        <v>26</v>
      </c>
      <c r="C49" s="14">
        <v>0</v>
      </c>
      <c r="D49" s="14"/>
      <c r="E49" s="9" t="e">
        <f>SUM(D49/C49*100)</f>
        <v>#DIV/0!</v>
      </c>
      <c r="F49" s="9">
        <f>SUM(D49-C49)</f>
        <v>0</v>
      </c>
    </row>
    <row r="50" spans="1:7" s="6" customFormat="1" ht="31.5" hidden="1">
      <c r="A50" s="3">
        <v>3000000000</v>
      </c>
      <c r="B50" s="13" t="s">
        <v>27</v>
      </c>
      <c r="C50" s="277">
        <v>0</v>
      </c>
      <c r="D50" s="14">
        <v>0</v>
      </c>
      <c r="E50" s="9" t="e">
        <f>SUM(D50/C50*100)</f>
        <v>#DIV/0!</v>
      </c>
      <c r="F50" s="9">
        <f>SUM(D50-C50)</f>
        <v>0</v>
      </c>
    </row>
    <row r="51" spans="1:7" s="6" customFormat="1" ht="15" customHeight="1">
      <c r="A51" s="3"/>
      <c r="B51" s="4" t="s">
        <v>28</v>
      </c>
      <c r="C51" s="93">
        <f>SUM(C39,C40,C50)</f>
        <v>9206.0519999999997</v>
      </c>
      <c r="D51" s="407">
        <f>D39+D40</f>
        <v>7395.2667199999996</v>
      </c>
      <c r="E51" s="93">
        <f t="shared" si="0"/>
        <v>80.330490420866624</v>
      </c>
      <c r="F51" s="93">
        <f t="shared" si="1"/>
        <v>-1810.7852800000001</v>
      </c>
      <c r="G51" s="151"/>
    </row>
    <row r="52" spans="1:7" s="6" customFormat="1" ht="23.25" customHeight="1">
      <c r="A52" s="3"/>
      <c r="B52" s="21" t="s">
        <v>321</v>
      </c>
      <c r="C52" s="93">
        <f>C51-C97</f>
        <v>-50.512170000001788</v>
      </c>
      <c r="D52" s="93">
        <f>D51-D97</f>
        <v>902.31836999999996</v>
      </c>
      <c r="E52" s="281"/>
      <c r="F52" s="281"/>
    </row>
    <row r="53" spans="1:7">
      <c r="A53" s="23"/>
      <c r="B53" s="24"/>
      <c r="C53" s="25"/>
      <c r="D53" s="25"/>
      <c r="E53" s="26"/>
      <c r="F53" s="27"/>
    </row>
    <row r="54" spans="1:7" ht="32.25" customHeight="1">
      <c r="A54" s="28" t="s">
        <v>1</v>
      </c>
      <c r="B54" s="28" t="s">
        <v>29</v>
      </c>
      <c r="C54" s="248" t="s">
        <v>346</v>
      </c>
      <c r="D54" s="73" t="s">
        <v>412</v>
      </c>
      <c r="E54" s="72" t="s">
        <v>3</v>
      </c>
      <c r="F54" s="74" t="s">
        <v>4</v>
      </c>
    </row>
    <row r="55" spans="1:7">
      <c r="A55" s="2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15" customHeight="1">
      <c r="A56" s="30" t="s">
        <v>30</v>
      </c>
      <c r="B56" s="31" t="s">
        <v>31</v>
      </c>
      <c r="C56" s="32">
        <f>C57+C58+C59+C60+C61+C63+C62+C65</f>
        <v>1820.6569999999999</v>
      </c>
      <c r="D56" s="33">
        <f>D57+D58+D59+D60+D61+D63+D62</f>
        <v>1385.0664999999999</v>
      </c>
      <c r="E56" s="34">
        <f>SUM(D56/C56*100)</f>
        <v>76.075092672590173</v>
      </c>
      <c r="F56" s="34">
        <f>SUM(D56-C56)</f>
        <v>-435.59050000000002</v>
      </c>
    </row>
    <row r="57" spans="1:7" s="6" customFormat="1" ht="0.75" hidden="1" customHeight="1">
      <c r="A57" s="35" t="s">
        <v>32</v>
      </c>
      <c r="B57" s="36" t="s">
        <v>33</v>
      </c>
      <c r="C57" s="37"/>
      <c r="D57" s="37"/>
      <c r="E57" s="38"/>
      <c r="F57" s="38"/>
    </row>
    <row r="58" spans="1:7" ht="16.5" customHeight="1">
      <c r="A58" s="35" t="s">
        <v>34</v>
      </c>
      <c r="B58" s="39" t="s">
        <v>35</v>
      </c>
      <c r="C58" s="97">
        <v>1709.9159999999999</v>
      </c>
      <c r="D58" s="37">
        <v>1301.8254999999999</v>
      </c>
      <c r="E58" s="38">
        <f t="shared" ref="E58:E97" si="3">SUM(D58/C58*100)</f>
        <v>76.133886109025241</v>
      </c>
      <c r="F58" s="38">
        <f t="shared" ref="F58:F97" si="4">SUM(D58-C58)</f>
        <v>-408.09050000000002</v>
      </c>
    </row>
    <row r="59" spans="1:7" ht="1.5" hidden="1" customHeight="1">
      <c r="A59" s="35" t="s">
        <v>36</v>
      </c>
      <c r="B59" s="39" t="s">
        <v>37</v>
      </c>
      <c r="C59" s="97"/>
      <c r="D59" s="37"/>
      <c r="E59" s="38"/>
      <c r="F59" s="38">
        <f t="shared" si="4"/>
        <v>0</v>
      </c>
    </row>
    <row r="60" spans="1:7" ht="17.25" hidden="1" customHeight="1">
      <c r="A60" s="35" t="s">
        <v>38</v>
      </c>
      <c r="B60" s="39" t="s">
        <v>39</v>
      </c>
      <c r="C60" s="9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97">
        <v>68.039000000000001</v>
      </c>
      <c r="D61" s="37">
        <v>68.039000000000001</v>
      </c>
      <c r="E61" s="38">
        <f t="shared" si="3"/>
        <v>100</v>
      </c>
      <c r="F61" s="38">
        <f t="shared" si="4"/>
        <v>0</v>
      </c>
    </row>
    <row r="62" spans="1:7" ht="18" customHeight="1">
      <c r="A62" s="35" t="s">
        <v>42</v>
      </c>
      <c r="B62" s="39" t="s">
        <v>43</v>
      </c>
      <c r="C62" s="149">
        <v>20</v>
      </c>
      <c r="D62" s="40">
        <v>0</v>
      </c>
      <c r="E62" s="38">
        <f t="shared" si="3"/>
        <v>0</v>
      </c>
      <c r="F62" s="38">
        <f t="shared" si="4"/>
        <v>-20</v>
      </c>
    </row>
    <row r="63" spans="1:7" ht="15.75" customHeight="1">
      <c r="A63" s="35" t="s">
        <v>44</v>
      </c>
      <c r="B63" s="39" t="s">
        <v>45</v>
      </c>
      <c r="C63" s="97">
        <v>22.702000000000002</v>
      </c>
      <c r="D63" s="37">
        <v>15.202</v>
      </c>
      <c r="E63" s="38">
        <f t="shared" si="3"/>
        <v>66.963263148621266</v>
      </c>
      <c r="F63" s="38">
        <f t="shared" si="4"/>
        <v>-7.5000000000000018</v>
      </c>
    </row>
    <row r="64" spans="1:7" s="6" customFormat="1" ht="15.75" hidden="1" customHeight="1">
      <c r="A64" s="41" t="s">
        <v>46</v>
      </c>
      <c r="B64" s="42" t="s">
        <v>47</v>
      </c>
      <c r="C64" s="150">
        <f>C65</f>
        <v>0</v>
      </c>
      <c r="D64" s="32">
        <f>D65</f>
        <v>0</v>
      </c>
      <c r="E64" s="34" t="e">
        <f t="shared" si="3"/>
        <v>#DIV/0!</v>
      </c>
      <c r="F64" s="34">
        <f t="shared" si="4"/>
        <v>0</v>
      </c>
    </row>
    <row r="65" spans="1:7" ht="18" hidden="1" customHeight="1">
      <c r="A65" s="43" t="s">
        <v>48</v>
      </c>
      <c r="B65" s="44" t="s">
        <v>49</v>
      </c>
      <c r="C65" s="97">
        <v>0</v>
      </c>
      <c r="D65" s="37">
        <v>0</v>
      </c>
      <c r="E65" s="38" t="e">
        <f t="shared" si="3"/>
        <v>#DIV/0!</v>
      </c>
      <c r="F65" s="38">
        <f t="shared" si="4"/>
        <v>0</v>
      </c>
    </row>
    <row r="66" spans="1:7" s="6" customFormat="1" ht="18" customHeight="1">
      <c r="A66" s="30" t="s">
        <v>50</v>
      </c>
      <c r="B66" s="31" t="s">
        <v>51</v>
      </c>
      <c r="C66" s="150">
        <f>C69+C70</f>
        <v>30</v>
      </c>
      <c r="D66" s="150">
        <f>D69+D70</f>
        <v>0</v>
      </c>
      <c r="E66" s="34">
        <f t="shared" si="3"/>
        <v>0</v>
      </c>
      <c r="F66" s="34">
        <f t="shared" si="4"/>
        <v>-30</v>
      </c>
    </row>
    <row r="67" spans="1:7" ht="3.75" hidden="1" customHeight="1">
      <c r="A67" s="35" t="s">
        <v>52</v>
      </c>
      <c r="B67" s="39" t="s">
        <v>53</v>
      </c>
      <c r="C67" s="97"/>
      <c r="D67" s="37"/>
      <c r="E67" s="34" t="e">
        <f t="shared" si="3"/>
        <v>#DIV/0!</v>
      </c>
      <c r="F67" s="34">
        <f t="shared" si="4"/>
        <v>0</v>
      </c>
    </row>
    <row r="68" spans="1:7" ht="15.75" hidden="1" customHeight="1">
      <c r="A68" s="45" t="s">
        <v>54</v>
      </c>
      <c r="B68" s="39" t="s">
        <v>55</v>
      </c>
      <c r="C68" s="97"/>
      <c r="D68" s="37"/>
      <c r="E68" s="34" t="e">
        <f t="shared" si="3"/>
        <v>#DIV/0!</v>
      </c>
      <c r="F68" s="34">
        <f t="shared" si="4"/>
        <v>0</v>
      </c>
    </row>
    <row r="69" spans="1:7" ht="19.5" customHeight="1">
      <c r="A69" s="46" t="s">
        <v>56</v>
      </c>
      <c r="B69" s="47" t="s">
        <v>57</v>
      </c>
      <c r="C69" s="97">
        <v>20</v>
      </c>
      <c r="D69" s="37">
        <v>0</v>
      </c>
      <c r="E69" s="34">
        <f t="shared" si="3"/>
        <v>0</v>
      </c>
      <c r="F69" s="34">
        <f t="shared" si="4"/>
        <v>-20</v>
      </c>
    </row>
    <row r="70" spans="1:7" ht="17.25" customHeight="1">
      <c r="A70" s="46" t="s">
        <v>219</v>
      </c>
      <c r="B70" s="47" t="s">
        <v>220</v>
      </c>
      <c r="C70" s="97">
        <v>10</v>
      </c>
      <c r="D70" s="37">
        <v>0</v>
      </c>
      <c r="E70" s="34">
        <f t="shared" si="3"/>
        <v>0</v>
      </c>
      <c r="F70" s="34">
        <f t="shared" si="4"/>
        <v>-10</v>
      </c>
    </row>
    <row r="71" spans="1:7" s="6" customFormat="1" ht="16.5" customHeight="1">
      <c r="A71" s="30" t="s">
        <v>58</v>
      </c>
      <c r="B71" s="31" t="s">
        <v>59</v>
      </c>
      <c r="C71" s="48">
        <f>SUM(C72:C75)</f>
        <v>1497.46117</v>
      </c>
      <c r="D71" s="48">
        <f>SUM(D72:D75)</f>
        <v>716.70069999999998</v>
      </c>
      <c r="E71" s="34">
        <f t="shared" si="3"/>
        <v>47.861054053241325</v>
      </c>
      <c r="F71" s="34">
        <f t="shared" si="4"/>
        <v>-780.76047000000005</v>
      </c>
    </row>
    <row r="72" spans="1:7" ht="15" customHeight="1">
      <c r="A72" s="35" t="s">
        <v>60</v>
      </c>
      <c r="B72" s="39" t="s">
        <v>61</v>
      </c>
      <c r="C72" s="49">
        <v>35</v>
      </c>
      <c r="D72" s="37">
        <v>5</v>
      </c>
      <c r="E72" s="38">
        <f t="shared" si="3"/>
        <v>14.285714285714285</v>
      </c>
      <c r="F72" s="38">
        <f t="shared" si="4"/>
        <v>-30</v>
      </c>
    </row>
    <row r="73" spans="1:7" s="6" customFormat="1" ht="15.75" customHeight="1">
      <c r="A73" s="35" t="s">
        <v>62</v>
      </c>
      <c r="B73" s="39" t="s">
        <v>63</v>
      </c>
      <c r="C73" s="49">
        <v>409.80900000000003</v>
      </c>
      <c r="D73" s="37">
        <v>247.52861999999999</v>
      </c>
      <c r="E73" s="38">
        <f t="shared" si="3"/>
        <v>60.400972160201448</v>
      </c>
      <c r="F73" s="38">
        <f t="shared" si="4"/>
        <v>-162.28038000000004</v>
      </c>
      <c r="G73" s="50"/>
    </row>
    <row r="74" spans="1:7" ht="15" customHeight="1">
      <c r="A74" s="35" t="s">
        <v>64</v>
      </c>
      <c r="B74" s="39" t="s">
        <v>65</v>
      </c>
      <c r="C74" s="49">
        <v>752.65216999999996</v>
      </c>
      <c r="D74" s="37">
        <v>367.10854</v>
      </c>
      <c r="E74" s="38">
        <f t="shared" si="3"/>
        <v>48.775324729350082</v>
      </c>
      <c r="F74" s="38">
        <f t="shared" si="4"/>
        <v>-385.54362999999995</v>
      </c>
    </row>
    <row r="75" spans="1:7" ht="18" customHeight="1">
      <c r="A75" s="35" t="s">
        <v>66</v>
      </c>
      <c r="B75" s="39" t="s">
        <v>67</v>
      </c>
      <c r="C75" s="49">
        <v>300</v>
      </c>
      <c r="D75" s="37">
        <v>97.063540000000003</v>
      </c>
      <c r="E75" s="38">
        <f t="shared" si="3"/>
        <v>32.354513333333337</v>
      </c>
      <c r="F75" s="38">
        <f t="shared" si="4"/>
        <v>-202.93646000000001</v>
      </c>
    </row>
    <row r="76" spans="1:7" s="6" customFormat="1" ht="17.25" customHeight="1">
      <c r="A76" s="30" t="s">
        <v>68</v>
      </c>
      <c r="B76" s="31" t="s">
        <v>69</v>
      </c>
      <c r="C76" s="32">
        <f>C77+C78+C79+C82</f>
        <v>3509.1460000000002</v>
      </c>
      <c r="D76" s="32">
        <f>D77+D78+D79+D82</f>
        <v>2213.1811499999999</v>
      </c>
      <c r="E76" s="34">
        <f t="shared" si="3"/>
        <v>63.068938995413696</v>
      </c>
      <c r="F76" s="34">
        <f t="shared" si="4"/>
        <v>-1295.9648500000003</v>
      </c>
    </row>
    <row r="77" spans="1:7" ht="18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20.2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7.25" customHeight="1">
      <c r="A79" s="35" t="s">
        <v>74</v>
      </c>
      <c r="B79" s="39" t="s">
        <v>75</v>
      </c>
      <c r="C79" s="37">
        <v>3509.1460000000002</v>
      </c>
      <c r="D79" s="37">
        <v>2213.1811499999999</v>
      </c>
      <c r="E79" s="38">
        <f t="shared" si="3"/>
        <v>63.068938995413696</v>
      </c>
      <c r="F79" s="38">
        <f t="shared" si="4"/>
        <v>-1295.9648500000003</v>
      </c>
    </row>
    <row r="80" spans="1:7" s="6" customFormat="1" ht="18.75" customHeight="1">
      <c r="A80" s="30" t="s">
        <v>86</v>
      </c>
      <c r="B80" s="31" t="s">
        <v>87</v>
      </c>
      <c r="C80" s="32">
        <f>C81</f>
        <v>2374.3000000000002</v>
      </c>
      <c r="D80" s="32">
        <f>D81</f>
        <v>2178</v>
      </c>
      <c r="E80" s="38">
        <f t="shared" si="3"/>
        <v>91.732300046329442</v>
      </c>
      <c r="F80" s="38">
        <f t="shared" si="4"/>
        <v>-196.30000000000018</v>
      </c>
    </row>
    <row r="81" spans="1:6" ht="19.5" customHeight="1">
      <c r="A81" s="35" t="s">
        <v>88</v>
      </c>
      <c r="B81" s="39" t="s">
        <v>234</v>
      </c>
      <c r="C81" s="37">
        <v>2374.3000000000002</v>
      </c>
      <c r="D81" s="37">
        <v>2178</v>
      </c>
      <c r="E81" s="38">
        <f t="shared" si="3"/>
        <v>91.732300046329442</v>
      </c>
      <c r="F81" s="38">
        <f t="shared" si="4"/>
        <v>-196.30000000000018</v>
      </c>
    </row>
    <row r="82" spans="1:6" ht="15" hidden="1" customHeight="1">
      <c r="A82" s="35" t="s">
        <v>264</v>
      </c>
      <c r="B82" s="39" t="s">
        <v>265</v>
      </c>
      <c r="C82" s="37">
        <v>0</v>
      </c>
      <c r="D82" s="37"/>
      <c r="E82" s="38" t="e">
        <f t="shared" si="3"/>
        <v>#DIV/0!</v>
      </c>
      <c r="F82" s="38">
        <f t="shared" si="4"/>
        <v>0</v>
      </c>
    </row>
    <row r="83" spans="1:6" s="6" customFormat="1" ht="12.75" hidden="1" customHeight="1">
      <c r="A83" s="52">
        <v>1000</v>
      </c>
      <c r="B83" s="31" t="s">
        <v>89</v>
      </c>
      <c r="C83" s="32">
        <f>SUM(C84:C87)</f>
        <v>0</v>
      </c>
      <c r="D83" s="32">
        <f>SUM(D84:D87)</f>
        <v>0</v>
      </c>
      <c r="E83" s="34" t="e">
        <f t="shared" si="3"/>
        <v>#DIV/0!</v>
      </c>
      <c r="F83" s="34">
        <f t="shared" si="4"/>
        <v>0</v>
      </c>
    </row>
    <row r="84" spans="1:6" ht="12.75" hidden="1" customHeight="1">
      <c r="A84" s="53">
        <v>1001</v>
      </c>
      <c r="B84" s="54" t="s">
        <v>90</v>
      </c>
      <c r="C84" s="37"/>
      <c r="D84" s="37"/>
      <c r="E84" s="38" t="e">
        <f t="shared" si="3"/>
        <v>#DIV/0!</v>
      </c>
      <c r="F84" s="38">
        <f t="shared" si="4"/>
        <v>0</v>
      </c>
    </row>
    <row r="85" spans="1:6" ht="15.75" hidden="1" customHeight="1">
      <c r="A85" s="53">
        <v>1003</v>
      </c>
      <c r="B85" s="54" t="s">
        <v>91</v>
      </c>
      <c r="C85" s="37">
        <v>0</v>
      </c>
      <c r="D85" s="37">
        <v>0</v>
      </c>
      <c r="E85" s="38" t="e">
        <f t="shared" si="3"/>
        <v>#DIV/0!</v>
      </c>
      <c r="F85" s="38">
        <f t="shared" si="4"/>
        <v>0</v>
      </c>
    </row>
    <row r="86" spans="1:6" ht="18.75" hidden="1" customHeight="1">
      <c r="A86" s="53">
        <v>1004</v>
      </c>
      <c r="B86" s="54" t="s">
        <v>92</v>
      </c>
      <c r="C86" s="37">
        <v>0</v>
      </c>
      <c r="D86" s="55">
        <v>0</v>
      </c>
      <c r="E86" s="38" t="e">
        <f t="shared" si="3"/>
        <v>#DIV/0!</v>
      </c>
      <c r="F86" s="38">
        <f t="shared" si="4"/>
        <v>0</v>
      </c>
    </row>
    <row r="87" spans="1:6" ht="17.25" hidden="1" customHeight="1">
      <c r="A87" s="35" t="s">
        <v>93</v>
      </c>
      <c r="B87" s="39" t="s">
        <v>94</v>
      </c>
      <c r="C87" s="37">
        <v>0</v>
      </c>
      <c r="D87" s="37">
        <v>0</v>
      </c>
      <c r="E87" s="38"/>
      <c r="F87" s="38">
        <f t="shared" si="4"/>
        <v>0</v>
      </c>
    </row>
    <row r="88" spans="1:6" ht="19.5" customHeight="1">
      <c r="A88" s="30" t="s">
        <v>95</v>
      </c>
      <c r="B88" s="31" t="s">
        <v>96</v>
      </c>
      <c r="C88" s="32">
        <f>C89+C90+C91+C92+C93</f>
        <v>25</v>
      </c>
      <c r="D88" s="32">
        <f>D89+D90+D91+D92+D93</f>
        <v>0</v>
      </c>
      <c r="E88" s="38">
        <f t="shared" si="3"/>
        <v>0</v>
      </c>
      <c r="F88" s="22">
        <f>F89+F90+F91+F92+F93</f>
        <v>-25</v>
      </c>
    </row>
    <row r="89" spans="1:6" ht="15.75" customHeight="1">
      <c r="A89" s="35" t="s">
        <v>97</v>
      </c>
      <c r="B89" s="39" t="s">
        <v>98</v>
      </c>
      <c r="C89" s="37">
        <v>25</v>
      </c>
      <c r="D89" s="37">
        <v>0</v>
      </c>
      <c r="E89" s="38">
        <f t="shared" si="3"/>
        <v>0</v>
      </c>
      <c r="F89" s="38">
        <f>SUM(D89-C89)</f>
        <v>-25</v>
      </c>
    </row>
    <row r="90" spans="1:6" ht="15" hidden="1" customHeight="1">
      <c r="A90" s="35" t="s">
        <v>99</v>
      </c>
      <c r="B90" s="39" t="s">
        <v>100</v>
      </c>
      <c r="C90" s="37"/>
      <c r="D90" s="37"/>
      <c r="E90" s="38" t="e">
        <f t="shared" si="3"/>
        <v>#DIV/0!</v>
      </c>
      <c r="F90" s="38">
        <f>SUM(D90-C90)</f>
        <v>0</v>
      </c>
    </row>
    <row r="91" spans="1:6" ht="15" hidden="1" customHeight="1">
      <c r="A91" s="35" t="s">
        <v>101</v>
      </c>
      <c r="B91" s="39" t="s">
        <v>102</v>
      </c>
      <c r="C91" s="37"/>
      <c r="D91" s="37"/>
      <c r="E91" s="38" t="e">
        <f t="shared" si="3"/>
        <v>#DIV/0!</v>
      </c>
      <c r="F91" s="38"/>
    </row>
    <row r="92" spans="1:6" ht="15" hidden="1" customHeight="1">
      <c r="A92" s="35" t="s">
        <v>103</v>
      </c>
      <c r="B92" s="39" t="s">
        <v>104</v>
      </c>
      <c r="C92" s="37"/>
      <c r="D92" s="37"/>
      <c r="E92" s="38" t="e">
        <f t="shared" si="3"/>
        <v>#DIV/0!</v>
      </c>
      <c r="F92" s="38"/>
    </row>
    <row r="93" spans="1:6" ht="15" hidden="1" customHeight="1">
      <c r="A93" s="35" t="s">
        <v>105</v>
      </c>
      <c r="B93" s="39" t="s">
        <v>106</v>
      </c>
      <c r="C93" s="37"/>
      <c r="D93" s="37"/>
      <c r="E93" s="38" t="e">
        <f t="shared" si="3"/>
        <v>#DIV/0!</v>
      </c>
      <c r="F93" s="38"/>
    </row>
    <row r="94" spans="1:6" s="6" customFormat="1" ht="18" hidden="1" customHeight="1">
      <c r="A94" s="52">
        <v>1400</v>
      </c>
      <c r="B94" s="56" t="s">
        <v>115</v>
      </c>
      <c r="C94" s="48">
        <f>SUM(C95+C96)</f>
        <v>0</v>
      </c>
      <c r="D94" s="48">
        <f>SUM(D95+D96)</f>
        <v>0</v>
      </c>
      <c r="E94" s="34" t="e">
        <f t="shared" si="3"/>
        <v>#DIV/0!</v>
      </c>
      <c r="F94" s="34">
        <f t="shared" si="4"/>
        <v>0</v>
      </c>
    </row>
    <row r="95" spans="1:6" ht="20.25" hidden="1" customHeight="1">
      <c r="A95" s="53">
        <v>1402</v>
      </c>
      <c r="B95" s="54" t="s">
        <v>117</v>
      </c>
      <c r="C95" s="239"/>
      <c r="D95" s="240"/>
      <c r="E95" s="38" t="e">
        <f t="shared" si="3"/>
        <v>#DIV/0!</v>
      </c>
      <c r="F95" s="38">
        <f t="shared" si="4"/>
        <v>0</v>
      </c>
    </row>
    <row r="96" spans="1:6" ht="15" hidden="1" customHeight="1">
      <c r="A96" s="53">
        <v>1403</v>
      </c>
      <c r="B96" s="54" t="s">
        <v>118</v>
      </c>
      <c r="C96" s="49"/>
      <c r="D96" s="37"/>
      <c r="E96" s="38" t="e">
        <f t="shared" si="3"/>
        <v>#DIV/0!</v>
      </c>
      <c r="F96" s="38">
        <f t="shared" si="4"/>
        <v>0</v>
      </c>
    </row>
    <row r="97" spans="1:7" s="6" customFormat="1" ht="16.5" customHeight="1">
      <c r="A97" s="52"/>
      <c r="B97" s="57" t="s">
        <v>119</v>
      </c>
      <c r="C97" s="408">
        <f>C56+C71+C76+C83+C88+C94+C66+C80</f>
        <v>9256.5641700000015</v>
      </c>
      <c r="D97" s="408">
        <f>D56+D71+D76+D83+D88+D94+D66+D80</f>
        <v>6492.9483499999997</v>
      </c>
      <c r="E97" s="34">
        <f t="shared" si="3"/>
        <v>70.14425904422805</v>
      </c>
      <c r="F97" s="34">
        <f t="shared" si="4"/>
        <v>-2763.6158200000018</v>
      </c>
      <c r="G97" s="293"/>
    </row>
    <row r="98" spans="1:7" ht="20.25" customHeight="1">
      <c r="D98" s="245"/>
    </row>
    <row r="99" spans="1:7" s="65" customFormat="1" ht="13.5" customHeight="1">
      <c r="A99" s="63" t="s">
        <v>120</v>
      </c>
      <c r="B99" s="63"/>
      <c r="C99" s="119"/>
      <c r="D99" s="64"/>
    </row>
    <row r="100" spans="1:7" s="65" customFormat="1" ht="12.75">
      <c r="A100" s="66" t="s">
        <v>121</v>
      </c>
      <c r="B100" s="66"/>
      <c r="C100" s="134" t="s">
        <v>122</v>
      </c>
      <c r="D100" s="134"/>
    </row>
    <row r="101" spans="1:7" ht="5.25" customHeight="1"/>
    <row r="141" hidden="1"/>
  </sheetData>
  <customSheetViews>
    <customSheetView guid="{8E17DC23-BE06-48DD-840B-6DD85B9E86D1}" scale="70" showPageBreaks="1" printArea="1" hiddenRows="1" view="pageBreakPreview" topLeftCell="A36">
      <selection activeCell="C51" activeCellId="1" sqref="C97:D97 C51:D51"/>
      <pageMargins left="0.70866141732283472" right="0.70866141732283472" top="0.74803149606299213" bottom="0.74803149606299213" header="0.31496062992125984" footer="0.31496062992125984"/>
      <pageSetup paperSize="9" scale="65" orientation="portrait" r:id="rId1"/>
    </customSheetView>
    <customSheetView guid="{5BFCA170-DEAE-4D2C-98A0-1E68B427AC01}" showPageBreaks="1" printArea="1" hiddenRows="1" topLeftCell="A31">
      <selection activeCell="B100" sqref="B100"/>
      <pageMargins left="0.7" right="0.7" top="0.75" bottom="0.75" header="0.3" footer="0.3"/>
      <pageSetup paperSize="9" scale="50" orientation="portrait" r:id="rId2"/>
    </customSheetView>
    <customSheetView guid="{3DCB9AAA-F09C-4EA6-B992-F93E466D374A}" hiddenRows="1" topLeftCell="A31">
      <selection activeCell="B100" sqref="B100"/>
      <pageMargins left="0.7" right="0.7" top="0.75" bottom="0.75" header="0.3" footer="0.3"/>
      <pageSetup paperSize="9" scale="50" orientation="portrait" r:id="rId3"/>
    </customSheetView>
    <customSheetView guid="{1718F1EE-9F48-4DBE-9531-3B70F9C4A5DD}" scale="70" showPageBreaks="1" printArea="1" hiddenRows="1" view="pageBreakPreview" topLeftCell="A42">
      <selection activeCell="C41" sqref="C41:C48"/>
      <pageMargins left="0.7" right="0.7" top="0.75" bottom="0.75" header="0.3" footer="0.3"/>
      <pageSetup paperSize="9" scale="41" orientation="portrait" r:id="rId4"/>
    </customSheetView>
    <customSheetView guid="{42584DC0-1D41-4C93-9B38-C388E7B8DAC4}" scale="70" showPageBreaks="1" printArea="1" hiddenRows="1" view="pageBreakPreview" topLeftCell="A54">
      <selection activeCell="C97" sqref="C97:D97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printArea="1" hiddenRows="1" view="pageBreakPreview" topLeftCell="A15">
      <selection activeCell="C62" sqref="C62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printArea="1" hiddenRows="1" view="pageBreakPreview" topLeftCell="A36">
      <selection activeCell="C51" activeCellId="1" sqref="C97:D97 C51:D51"/>
      <pageMargins left="0.70866141732283472" right="0.70866141732283472" top="0.74803149606299213" bottom="0.74803149606299213" header="0.31496062992125984" footer="0.31496062992125984"/>
      <pageSetup paperSize="9" scale="65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8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G141"/>
  <sheetViews>
    <sheetView view="pageBreakPreview" topLeftCell="A15" zoomScale="70" zoomScaleNormal="100" zoomScaleSheetLayoutView="70" workbookViewId="0">
      <selection activeCell="C51" activeCellId="1" sqref="C101:D101 C51:D51"/>
    </sheetView>
  </sheetViews>
  <sheetFormatPr defaultRowHeight="15.75"/>
  <cols>
    <col min="1" max="1" width="14.7109375" style="58" customWidth="1"/>
    <col min="2" max="2" width="57.5703125" style="59" customWidth="1"/>
    <col min="3" max="3" width="17.7109375" style="62" customWidth="1"/>
    <col min="4" max="4" width="16.85546875" style="62" customWidth="1"/>
    <col min="5" max="5" width="14.7109375" style="62" customWidth="1"/>
    <col min="6" max="6" width="16" style="62" customWidth="1"/>
    <col min="7" max="7" width="15.42578125" style="1" bestFit="1" customWidth="1"/>
    <col min="8" max="9" width="9.140625" style="1"/>
    <col min="10" max="10" width="9.140625" style="1" customWidth="1"/>
    <col min="11" max="16384" width="9.140625" style="1"/>
  </cols>
  <sheetData>
    <row r="1" spans="1:6">
      <c r="A1" s="459" t="s">
        <v>423</v>
      </c>
      <c r="B1" s="459"/>
      <c r="C1" s="459"/>
      <c r="D1" s="459"/>
      <c r="E1" s="459"/>
      <c r="F1" s="459"/>
    </row>
    <row r="2" spans="1:6">
      <c r="A2" s="459"/>
      <c r="B2" s="459"/>
      <c r="C2" s="459"/>
      <c r="D2" s="459"/>
      <c r="E2" s="459"/>
      <c r="F2" s="459"/>
    </row>
    <row r="3" spans="1:6" ht="63">
      <c r="A3" s="2" t="s">
        <v>1</v>
      </c>
      <c r="B3" s="2" t="s">
        <v>2</v>
      </c>
      <c r="C3" s="72" t="s">
        <v>346</v>
      </c>
      <c r="D3" s="73" t="s">
        <v>416</v>
      </c>
      <c r="E3" s="72" t="s">
        <v>3</v>
      </c>
      <c r="F3" s="74" t="s">
        <v>4</v>
      </c>
    </row>
    <row r="4" spans="1:6" s="6" customFormat="1">
      <c r="A4" s="3"/>
      <c r="B4" s="4" t="s">
        <v>5</v>
      </c>
      <c r="C4" s="5">
        <f>C5+C12+C14+C17+C20+C7</f>
        <v>4831.7</v>
      </c>
      <c r="D4" s="5">
        <f>D5+D12+D14+D17+D20+D7</f>
        <v>3705.9531399999996</v>
      </c>
      <c r="E4" s="5">
        <f>SUM(D4/C4*100)</f>
        <v>76.700812136515097</v>
      </c>
      <c r="F4" s="5">
        <f>SUM(D4-C4)</f>
        <v>-1125.7468600000002</v>
      </c>
    </row>
    <row r="5" spans="1:6" s="6" customFormat="1">
      <c r="A5" s="68">
        <v>1010000000</v>
      </c>
      <c r="B5" s="67" t="s">
        <v>6</v>
      </c>
      <c r="C5" s="5">
        <f>C6</f>
        <v>1309.9000000000001</v>
      </c>
      <c r="D5" s="5">
        <f>D6</f>
        <v>997.64643999999998</v>
      </c>
      <c r="E5" s="5">
        <f t="shared" ref="E5:E51" si="0">SUM(D5/C5*100)</f>
        <v>76.162030689365594</v>
      </c>
      <c r="F5" s="5">
        <f t="shared" ref="F5:F51" si="1">SUM(D5-C5)</f>
        <v>-312.25356000000011</v>
      </c>
    </row>
    <row r="6" spans="1:6">
      <c r="A6" s="7">
        <v>1010200001</v>
      </c>
      <c r="B6" s="8" t="s">
        <v>229</v>
      </c>
      <c r="C6" s="9">
        <v>1309.9000000000001</v>
      </c>
      <c r="D6" s="10">
        <v>997.64643999999998</v>
      </c>
      <c r="E6" s="9">
        <f t="shared" ref="E6:E11" si="2">SUM(D6/C6*100)</f>
        <v>76.162030689365594</v>
      </c>
      <c r="F6" s="9">
        <f t="shared" si="1"/>
        <v>-312.25356000000011</v>
      </c>
    </row>
    <row r="7" spans="1:6" ht="31.5">
      <c r="A7" s="3">
        <v>1030000000</v>
      </c>
      <c r="B7" s="13" t="s">
        <v>281</v>
      </c>
      <c r="C7" s="5">
        <f>C8+C10+C9</f>
        <v>661.8</v>
      </c>
      <c r="D7" s="5">
        <f>D8+D10+D9+D11</f>
        <v>578.38297999999998</v>
      </c>
      <c r="E7" s="9">
        <f t="shared" si="2"/>
        <v>87.395433665760052</v>
      </c>
      <c r="F7" s="9">
        <f t="shared" si="1"/>
        <v>-83.41701999999998</v>
      </c>
    </row>
    <row r="8" spans="1:6">
      <c r="A8" s="7">
        <v>1030223001</v>
      </c>
      <c r="B8" s="8" t="s">
        <v>283</v>
      </c>
      <c r="C8" s="9">
        <v>246.85</v>
      </c>
      <c r="D8" s="10">
        <v>255.11240000000001</v>
      </c>
      <c r="E8" s="9">
        <f t="shared" si="2"/>
        <v>103.3471338869759</v>
      </c>
      <c r="F8" s="9">
        <f t="shared" si="1"/>
        <v>8.2624000000000137</v>
      </c>
    </row>
    <row r="9" spans="1:6">
      <c r="A9" s="7">
        <v>1030224001</v>
      </c>
      <c r="B9" s="8" t="s">
        <v>289</v>
      </c>
      <c r="C9" s="9">
        <v>2.65</v>
      </c>
      <c r="D9" s="10">
        <v>2.3669600000000002</v>
      </c>
      <c r="E9" s="9">
        <f t="shared" si="2"/>
        <v>89.319245283018873</v>
      </c>
      <c r="F9" s="9">
        <f t="shared" si="1"/>
        <v>-0.28303999999999974</v>
      </c>
    </row>
    <row r="10" spans="1:6">
      <c r="A10" s="7">
        <v>1030225001</v>
      </c>
      <c r="B10" s="8" t="s">
        <v>282</v>
      </c>
      <c r="C10" s="9">
        <v>412.3</v>
      </c>
      <c r="D10" s="10">
        <v>378.52875</v>
      </c>
      <c r="E10" s="9">
        <f t="shared" si="2"/>
        <v>91.809058937666748</v>
      </c>
      <c r="F10" s="9">
        <f t="shared" si="1"/>
        <v>-33.771250000000009</v>
      </c>
    </row>
    <row r="11" spans="1:6">
      <c r="A11" s="7">
        <v>1030226001</v>
      </c>
      <c r="B11" s="8" t="s">
        <v>292</v>
      </c>
      <c r="C11" s="9">
        <v>0</v>
      </c>
      <c r="D11" s="10">
        <v>-57.625129999999999</v>
      </c>
      <c r="E11" s="9" t="e">
        <f t="shared" si="2"/>
        <v>#DIV/0!</v>
      </c>
      <c r="F11" s="9">
        <f t="shared" si="1"/>
        <v>-57.625129999999999</v>
      </c>
    </row>
    <row r="12" spans="1:6" s="6" customFormat="1">
      <c r="A12" s="68">
        <v>1050000000</v>
      </c>
      <c r="B12" s="67" t="s">
        <v>7</v>
      </c>
      <c r="C12" s="5">
        <f>SUM(C13:C13)</f>
        <v>10</v>
      </c>
      <c r="D12" s="5">
        <f>SUM(D13:D13)</f>
        <v>28.442399999999999</v>
      </c>
      <c r="E12" s="5">
        <f t="shared" si="0"/>
        <v>284.42400000000004</v>
      </c>
      <c r="F12" s="5">
        <f t="shared" si="1"/>
        <v>18.442399999999999</v>
      </c>
    </row>
    <row r="13" spans="1:6" ht="15.75" customHeight="1">
      <c r="A13" s="7">
        <v>1050300000</v>
      </c>
      <c r="B13" s="11" t="s">
        <v>230</v>
      </c>
      <c r="C13" s="12">
        <v>10</v>
      </c>
      <c r="D13" s="10">
        <v>28.442399999999999</v>
      </c>
      <c r="E13" s="9">
        <f t="shared" si="0"/>
        <v>284.42400000000004</v>
      </c>
      <c r="F13" s="9">
        <f t="shared" si="1"/>
        <v>18.442399999999999</v>
      </c>
    </row>
    <row r="14" spans="1:6" s="6" customFormat="1" ht="15.75" customHeight="1">
      <c r="A14" s="68">
        <v>1060000000</v>
      </c>
      <c r="B14" s="67" t="s">
        <v>136</v>
      </c>
      <c r="C14" s="5">
        <f>C15+C16</f>
        <v>2840</v>
      </c>
      <c r="D14" s="5">
        <f>D15+D16</f>
        <v>2093.8313199999998</v>
      </c>
      <c r="E14" s="5">
        <f t="shared" si="0"/>
        <v>73.726454929577457</v>
      </c>
      <c r="F14" s="5">
        <f t="shared" si="1"/>
        <v>-746.16868000000022</v>
      </c>
    </row>
    <row r="15" spans="1:6" s="6" customFormat="1" ht="15.75" customHeight="1">
      <c r="A15" s="7">
        <v>1060100000</v>
      </c>
      <c r="B15" s="11" t="s">
        <v>9</v>
      </c>
      <c r="C15" s="9">
        <v>190</v>
      </c>
      <c r="D15" s="10">
        <v>92.903599999999997</v>
      </c>
      <c r="E15" s="9">
        <f t="shared" si="0"/>
        <v>48.896631578947371</v>
      </c>
      <c r="F15" s="9">
        <f>SUM(D15-C15)</f>
        <v>-97.096400000000003</v>
      </c>
    </row>
    <row r="16" spans="1:6" ht="15.75" customHeight="1">
      <c r="A16" s="7">
        <v>1060600000</v>
      </c>
      <c r="B16" s="11" t="s">
        <v>8</v>
      </c>
      <c r="C16" s="9">
        <v>2650</v>
      </c>
      <c r="D16" s="10">
        <v>2000.9277199999999</v>
      </c>
      <c r="E16" s="9">
        <f t="shared" si="0"/>
        <v>75.506706415094342</v>
      </c>
      <c r="F16" s="9">
        <f t="shared" si="1"/>
        <v>-649.07228000000009</v>
      </c>
    </row>
    <row r="17" spans="1:6" s="6" customFormat="1">
      <c r="A17" s="3">
        <v>1080000000</v>
      </c>
      <c r="B17" s="4" t="s">
        <v>11</v>
      </c>
      <c r="C17" s="5">
        <f>C18</f>
        <v>10</v>
      </c>
      <c r="D17" s="5">
        <f>D18</f>
        <v>7.65</v>
      </c>
      <c r="E17" s="5">
        <f t="shared" si="0"/>
        <v>76.5</v>
      </c>
      <c r="F17" s="5">
        <f t="shared" si="1"/>
        <v>-2.3499999999999996</v>
      </c>
    </row>
    <row r="18" spans="1:6" ht="15" customHeight="1">
      <c r="A18" s="7">
        <v>1080400001</v>
      </c>
      <c r="B18" s="8" t="s">
        <v>228</v>
      </c>
      <c r="C18" s="9">
        <v>10</v>
      </c>
      <c r="D18" s="10">
        <v>7.65</v>
      </c>
      <c r="E18" s="9">
        <f t="shared" si="0"/>
        <v>76.5</v>
      </c>
      <c r="F18" s="9">
        <f t="shared" si="1"/>
        <v>-2.3499999999999996</v>
      </c>
    </row>
    <row r="19" spans="1:6" ht="15" hidden="1" customHeight="1">
      <c r="A19" s="7">
        <v>1080714001</v>
      </c>
      <c r="B19" s="8" t="s">
        <v>12</v>
      </c>
      <c r="C19" s="9"/>
      <c r="D19" s="10"/>
      <c r="E19" s="9" t="e">
        <f t="shared" si="0"/>
        <v>#DIV/0!</v>
      </c>
      <c r="F19" s="9">
        <f t="shared" si="1"/>
        <v>0</v>
      </c>
    </row>
    <row r="20" spans="1:6" s="15" customFormat="1" ht="15" hidden="1" customHeight="1">
      <c r="A20" s="68">
        <v>1090000000</v>
      </c>
      <c r="B20" s="69" t="s">
        <v>124</v>
      </c>
      <c r="C20" s="5">
        <f>C21+C22+C23+C24</f>
        <v>0</v>
      </c>
      <c r="D20" s="5">
        <f>D21+D22+D23+D24</f>
        <v>0</v>
      </c>
      <c r="E20" s="5" t="e">
        <f t="shared" si="0"/>
        <v>#DIV/0!</v>
      </c>
      <c r="F20" s="5">
        <f t="shared" si="1"/>
        <v>0</v>
      </c>
    </row>
    <row r="21" spans="1:6" s="15" customFormat="1" ht="15" hidden="1" customHeight="1">
      <c r="A21" s="7">
        <v>1090100000</v>
      </c>
      <c r="B21" s="8" t="s">
        <v>125</v>
      </c>
      <c r="C21" s="5"/>
      <c r="D21" s="14"/>
      <c r="E21" s="9" t="e">
        <f t="shared" si="0"/>
        <v>#DIV/0!</v>
      </c>
      <c r="F21" s="9">
        <f t="shared" si="1"/>
        <v>0</v>
      </c>
    </row>
    <row r="22" spans="1:6" s="15" customFormat="1" ht="15" hidden="1" customHeight="1">
      <c r="A22" s="7">
        <v>1090400000</v>
      </c>
      <c r="B22" s="8" t="s">
        <v>126</v>
      </c>
      <c r="C22" s="5"/>
      <c r="D22" s="14"/>
      <c r="E22" s="9" t="e">
        <f t="shared" si="0"/>
        <v>#DIV/0!</v>
      </c>
      <c r="F22" s="9">
        <f t="shared" si="1"/>
        <v>0</v>
      </c>
    </row>
    <row r="23" spans="1:6" s="15" customFormat="1" ht="15" hidden="1" customHeight="1">
      <c r="A23" s="7">
        <v>1090600000</v>
      </c>
      <c r="B23" s="8" t="s">
        <v>127</v>
      </c>
      <c r="C23" s="5"/>
      <c r="D23" s="14"/>
      <c r="E23" s="9" t="e">
        <f t="shared" si="0"/>
        <v>#DIV/0!</v>
      </c>
      <c r="F23" s="9">
        <f t="shared" si="1"/>
        <v>0</v>
      </c>
    </row>
    <row r="24" spans="1:6" s="15" customFormat="1" ht="15" hidden="1" customHeight="1">
      <c r="A24" s="7">
        <v>1090700000</v>
      </c>
      <c r="B24" s="8" t="s">
        <v>128</v>
      </c>
      <c r="C24" s="5"/>
      <c r="D24" s="14"/>
      <c r="E24" s="9" t="e">
        <f t="shared" si="0"/>
        <v>#DIV/0!</v>
      </c>
      <c r="F24" s="9">
        <f t="shared" si="1"/>
        <v>0</v>
      </c>
    </row>
    <row r="25" spans="1:6" s="6" customFormat="1" ht="15" customHeight="1">
      <c r="A25" s="3"/>
      <c r="B25" s="4" t="s">
        <v>13</v>
      </c>
      <c r="C25" s="5">
        <f>C26+C29+C31+C36</f>
        <v>2</v>
      </c>
      <c r="D25" s="5">
        <f>D26+D29+D31+D36+D34</f>
        <v>-0.25339</v>
      </c>
      <c r="E25" s="5">
        <f t="shared" si="0"/>
        <v>-12.669499999999999</v>
      </c>
      <c r="F25" s="5">
        <f t="shared" si="1"/>
        <v>-2.25339</v>
      </c>
    </row>
    <row r="26" spans="1:6" s="6" customFormat="1" ht="30" customHeight="1">
      <c r="A26" s="68">
        <v>1110000000</v>
      </c>
      <c r="B26" s="69" t="s">
        <v>129</v>
      </c>
      <c r="C26" s="5">
        <f>C27+C28</f>
        <v>2</v>
      </c>
      <c r="D26" s="5">
        <f>D27+D28</f>
        <v>0</v>
      </c>
      <c r="E26" s="5">
        <f t="shared" si="0"/>
        <v>0</v>
      </c>
      <c r="F26" s="5">
        <f t="shared" si="1"/>
        <v>-2</v>
      </c>
    </row>
    <row r="27" spans="1:6">
      <c r="A27" s="16">
        <v>1110501101</v>
      </c>
      <c r="B27" s="17" t="s">
        <v>226</v>
      </c>
      <c r="C27" s="12">
        <v>0</v>
      </c>
      <c r="D27" s="10">
        <v>0</v>
      </c>
      <c r="E27" s="9" t="e">
        <f t="shared" si="0"/>
        <v>#DIV/0!</v>
      </c>
      <c r="F27" s="9">
        <f t="shared" si="1"/>
        <v>0</v>
      </c>
    </row>
    <row r="28" spans="1:6" ht="18" customHeight="1">
      <c r="A28" s="7">
        <v>1110503505</v>
      </c>
      <c r="B28" s="11" t="s">
        <v>14</v>
      </c>
      <c r="C28" s="12">
        <v>2</v>
      </c>
      <c r="D28" s="10">
        <v>0</v>
      </c>
      <c r="E28" s="9">
        <f t="shared" si="0"/>
        <v>0</v>
      </c>
      <c r="F28" s="9">
        <f t="shared" si="1"/>
        <v>-2</v>
      </c>
    </row>
    <row r="29" spans="1:6" s="15" customFormat="1" ht="17.25" hidden="1" customHeight="1">
      <c r="A29" s="68">
        <v>1130000000</v>
      </c>
      <c r="B29" s="69" t="s">
        <v>131</v>
      </c>
      <c r="C29" s="5">
        <f>C30</f>
        <v>0</v>
      </c>
      <c r="D29" s="5">
        <f>D30</f>
        <v>0</v>
      </c>
      <c r="E29" s="5" t="e">
        <f t="shared" si="0"/>
        <v>#DIV/0!</v>
      </c>
      <c r="F29" s="5">
        <f t="shared" si="1"/>
        <v>0</v>
      </c>
    </row>
    <row r="30" spans="1:6" ht="19.5" hidden="1" customHeight="1">
      <c r="A30" s="7">
        <v>1130206005</v>
      </c>
      <c r="B30" s="8" t="s">
        <v>15</v>
      </c>
      <c r="C30" s="9">
        <v>0</v>
      </c>
      <c r="D30" s="10">
        <v>0</v>
      </c>
      <c r="E30" s="9" t="e">
        <f t="shared" si="0"/>
        <v>#DIV/0!</v>
      </c>
      <c r="F30" s="9">
        <f t="shared" si="1"/>
        <v>0</v>
      </c>
    </row>
    <row r="31" spans="1:6" ht="25.5" hidden="1" customHeight="1">
      <c r="A31" s="70">
        <v>1140000000</v>
      </c>
      <c r="B31" s="71" t="s">
        <v>132</v>
      </c>
      <c r="C31" s="5">
        <f>C32+C33</f>
        <v>0</v>
      </c>
      <c r="D31" s="5">
        <f>D32+D33</f>
        <v>0</v>
      </c>
      <c r="E31" s="5" t="e">
        <f t="shared" si="0"/>
        <v>#DIV/0!</v>
      </c>
      <c r="F31" s="5">
        <f t="shared" si="1"/>
        <v>0</v>
      </c>
    </row>
    <row r="32" spans="1:6" ht="21.75" hidden="1" customHeight="1">
      <c r="A32" s="16">
        <v>1140200000</v>
      </c>
      <c r="B32" s="18" t="s">
        <v>222</v>
      </c>
      <c r="C32" s="9">
        <v>0</v>
      </c>
      <c r="D32" s="10">
        <v>0</v>
      </c>
      <c r="E32" s="9" t="e">
        <f t="shared" si="0"/>
        <v>#DIV/0!</v>
      </c>
      <c r="F32" s="9">
        <f t="shared" si="1"/>
        <v>0</v>
      </c>
    </row>
    <row r="33" spans="1:7" ht="15" hidden="1" customHeight="1">
      <c r="A33" s="7">
        <v>1140600000</v>
      </c>
      <c r="B33" s="8" t="s">
        <v>223</v>
      </c>
      <c r="C33" s="9">
        <v>0</v>
      </c>
      <c r="D33" s="10">
        <v>0</v>
      </c>
      <c r="E33" s="9" t="e">
        <f t="shared" si="0"/>
        <v>#DIV/0!</v>
      </c>
      <c r="F33" s="9">
        <f t="shared" si="1"/>
        <v>0</v>
      </c>
    </row>
    <row r="34" spans="1:7" ht="14.25" hidden="1" customHeight="1">
      <c r="A34" s="3">
        <v>1160000000</v>
      </c>
      <c r="B34" s="13" t="s">
        <v>252</v>
      </c>
      <c r="C34" s="5">
        <f>C35</f>
        <v>0</v>
      </c>
      <c r="D34" s="5">
        <f>D35</f>
        <v>0</v>
      </c>
      <c r="E34" s="5" t="e">
        <f t="shared" si="0"/>
        <v>#DIV/0!</v>
      </c>
      <c r="F34" s="5">
        <f t="shared" si="1"/>
        <v>0</v>
      </c>
    </row>
    <row r="35" spans="1:7" ht="53.25" hidden="1" customHeight="1">
      <c r="A35" s="7">
        <v>1163305010</v>
      </c>
      <c r="B35" s="8" t="s">
        <v>268</v>
      </c>
      <c r="C35" s="9">
        <v>0</v>
      </c>
      <c r="D35" s="10">
        <v>0</v>
      </c>
      <c r="E35" s="9" t="e">
        <f t="shared" si="0"/>
        <v>#DIV/0!</v>
      </c>
      <c r="F35" s="9">
        <f t="shared" si="1"/>
        <v>0</v>
      </c>
    </row>
    <row r="36" spans="1:7" ht="15" customHeight="1">
      <c r="A36" s="3">
        <v>1170000000</v>
      </c>
      <c r="B36" s="13" t="s">
        <v>135</v>
      </c>
      <c r="C36" s="5">
        <f>C37+C38</f>
        <v>0</v>
      </c>
      <c r="D36" s="5">
        <f>D37+D38</f>
        <v>-0.25339</v>
      </c>
      <c r="E36" s="5" t="e">
        <f t="shared" si="0"/>
        <v>#DIV/0!</v>
      </c>
      <c r="F36" s="5">
        <f t="shared" si="1"/>
        <v>-0.25339</v>
      </c>
    </row>
    <row r="37" spans="1:7" ht="15" customHeight="1">
      <c r="A37" s="7">
        <v>1170105005</v>
      </c>
      <c r="B37" s="8" t="s">
        <v>18</v>
      </c>
      <c r="C37" s="9">
        <v>0</v>
      </c>
      <c r="D37" s="9">
        <v>-0.25339</v>
      </c>
      <c r="E37" s="9" t="e">
        <f t="shared" si="0"/>
        <v>#DIV/0!</v>
      </c>
      <c r="F37" s="9">
        <f t="shared" si="1"/>
        <v>-0.25339</v>
      </c>
    </row>
    <row r="38" spans="1:7" ht="15" customHeight="1">
      <c r="A38" s="7">
        <v>1170505005</v>
      </c>
      <c r="B38" s="11" t="s">
        <v>221</v>
      </c>
      <c r="C38" s="9">
        <v>0</v>
      </c>
      <c r="D38" s="10">
        <v>0</v>
      </c>
      <c r="E38" s="9" t="e">
        <f t="shared" si="0"/>
        <v>#DIV/0!</v>
      </c>
      <c r="F38" s="9">
        <f t="shared" si="1"/>
        <v>0</v>
      </c>
    </row>
    <row r="39" spans="1:7" s="6" customFormat="1" ht="15" customHeight="1">
      <c r="A39" s="3">
        <v>1000000000</v>
      </c>
      <c r="B39" s="4" t="s">
        <v>19</v>
      </c>
      <c r="C39" s="127">
        <f>SUM(C4,C25)</f>
        <v>4833.7</v>
      </c>
      <c r="D39" s="127">
        <f>SUM(D4,D25)</f>
        <v>3705.6997499999998</v>
      </c>
      <c r="E39" s="5">
        <f t="shared" si="0"/>
        <v>76.663834122928591</v>
      </c>
      <c r="F39" s="5">
        <f t="shared" si="1"/>
        <v>-1128.0002500000001</v>
      </c>
    </row>
    <row r="40" spans="1:7" s="6" customFormat="1" ht="20.25" customHeight="1">
      <c r="A40" s="3">
        <v>2000000000</v>
      </c>
      <c r="B40" s="4" t="s">
        <v>20</v>
      </c>
      <c r="C40" s="5">
        <f>C41+C43+C45+C46+C47+C48+C42+C44+C50</f>
        <v>1901.42</v>
      </c>
      <c r="D40" s="5">
        <f>D41+D43+D45+D46+D47+D48+D42+D44+D50</f>
        <v>783.94686999999999</v>
      </c>
      <c r="E40" s="5">
        <f t="shared" si="0"/>
        <v>41.22954791682006</v>
      </c>
      <c r="F40" s="5">
        <f t="shared" si="1"/>
        <v>-1117.4731300000001</v>
      </c>
      <c r="G40" s="19"/>
    </row>
    <row r="41" spans="1:7" ht="15.75" customHeight="1">
      <c r="A41" s="16">
        <v>2021000000</v>
      </c>
      <c r="B41" s="17" t="s">
        <v>21</v>
      </c>
      <c r="C41" s="12">
        <v>35.76</v>
      </c>
      <c r="D41" s="20">
        <v>34.917999999999999</v>
      </c>
      <c r="E41" s="9">
        <f t="shared" si="0"/>
        <v>97.645413870246088</v>
      </c>
      <c r="F41" s="9">
        <f t="shared" si="1"/>
        <v>-0.84199999999999875</v>
      </c>
    </row>
    <row r="42" spans="1:7" ht="15.75" customHeight="1">
      <c r="A42" s="16">
        <v>2020100310</v>
      </c>
      <c r="B42" s="17" t="s">
        <v>232</v>
      </c>
      <c r="C42" s="12">
        <v>0</v>
      </c>
      <c r="D42" s="20">
        <v>0</v>
      </c>
      <c r="E42" s="9" t="e">
        <f t="shared" si="0"/>
        <v>#DIV/0!</v>
      </c>
      <c r="F42" s="9">
        <f t="shared" si="1"/>
        <v>0</v>
      </c>
    </row>
    <row r="43" spans="1:7" ht="15.75" customHeight="1">
      <c r="A43" s="16">
        <v>2022000000</v>
      </c>
      <c r="B43" s="17" t="s">
        <v>22</v>
      </c>
      <c r="C43" s="12">
        <v>1336.52</v>
      </c>
      <c r="D43" s="10">
        <v>323.24786999999998</v>
      </c>
      <c r="E43" s="9">
        <f t="shared" si="0"/>
        <v>24.18578622093197</v>
      </c>
      <c r="F43" s="9">
        <f t="shared" si="1"/>
        <v>-1013.2721300000001</v>
      </c>
    </row>
    <row r="44" spans="1:7" hidden="1">
      <c r="A44" s="16">
        <v>2022999910</v>
      </c>
      <c r="B44" s="18" t="s">
        <v>352</v>
      </c>
      <c r="C44" s="12">
        <v>0</v>
      </c>
      <c r="D44" s="10">
        <v>0</v>
      </c>
      <c r="E44" s="9" t="e">
        <f>SUM(D44/C44*100)</f>
        <v>#DIV/0!</v>
      </c>
      <c r="F44" s="9">
        <f>SUM(D44-C44)</f>
        <v>0</v>
      </c>
    </row>
    <row r="45" spans="1:7" ht="15" customHeight="1">
      <c r="A45" s="16">
        <v>2023000000</v>
      </c>
      <c r="B45" s="17" t="s">
        <v>23</v>
      </c>
      <c r="C45" s="12">
        <v>154.24</v>
      </c>
      <c r="D45" s="251">
        <v>150.881</v>
      </c>
      <c r="E45" s="9">
        <f t="shared" si="0"/>
        <v>97.822225103734439</v>
      </c>
      <c r="F45" s="9">
        <f t="shared" si="1"/>
        <v>-3.3590000000000089</v>
      </c>
    </row>
    <row r="46" spans="1:7" ht="12.75" hidden="1" customHeight="1">
      <c r="A46" s="16">
        <v>2020400000</v>
      </c>
      <c r="B46" s="17" t="s">
        <v>24</v>
      </c>
      <c r="C46" s="12">
        <v>0</v>
      </c>
      <c r="D46" s="252">
        <v>0</v>
      </c>
      <c r="E46" s="9" t="e">
        <f t="shared" si="0"/>
        <v>#DIV/0!</v>
      </c>
      <c r="F46" s="9">
        <f t="shared" si="1"/>
        <v>0</v>
      </c>
    </row>
    <row r="47" spans="1:7" ht="15" hidden="1" customHeight="1">
      <c r="A47" s="16">
        <v>2020900000</v>
      </c>
      <c r="B47" s="18" t="s">
        <v>25</v>
      </c>
      <c r="C47" s="12">
        <v>100</v>
      </c>
      <c r="D47" s="252">
        <v>0</v>
      </c>
      <c r="E47" s="9">
        <f t="shared" si="0"/>
        <v>0</v>
      </c>
      <c r="F47" s="9">
        <f t="shared" si="1"/>
        <v>-100</v>
      </c>
    </row>
    <row r="48" spans="1:7" ht="15.75" hidden="1" customHeight="1">
      <c r="A48" s="7">
        <v>2190500005</v>
      </c>
      <c r="B48" s="11" t="s">
        <v>26</v>
      </c>
      <c r="C48" s="14">
        <v>0</v>
      </c>
      <c r="D48" s="14">
        <v>0</v>
      </c>
      <c r="E48" s="5" t="e">
        <f>SUM(D48/C48*100)</f>
        <v>#DIV/0!</v>
      </c>
      <c r="F48" s="5">
        <f>SUM(D48-C48)</f>
        <v>0</v>
      </c>
    </row>
    <row r="49" spans="1:7" s="6" customFormat="1" ht="15" hidden="1" customHeight="1">
      <c r="A49" s="3">
        <v>3000000000</v>
      </c>
      <c r="B49" s="13" t="s">
        <v>27</v>
      </c>
      <c r="C49" s="277">
        <v>0</v>
      </c>
      <c r="D49" s="14">
        <v>0</v>
      </c>
      <c r="E49" s="5" t="e">
        <f t="shared" si="0"/>
        <v>#DIV/0!</v>
      </c>
      <c r="F49" s="5">
        <f t="shared" si="1"/>
        <v>0</v>
      </c>
    </row>
    <row r="50" spans="1:7" s="6" customFormat="1" ht="17.25" customHeight="1">
      <c r="A50" s="7">
        <v>2070500010</v>
      </c>
      <c r="B50" s="8" t="s">
        <v>354</v>
      </c>
      <c r="C50" s="12">
        <v>274.89999999999998</v>
      </c>
      <c r="D50" s="10">
        <v>274.89999999999998</v>
      </c>
      <c r="E50" s="9">
        <f t="shared" si="0"/>
        <v>100</v>
      </c>
      <c r="F50" s="9">
        <f t="shared" si="1"/>
        <v>0</v>
      </c>
    </row>
    <row r="51" spans="1:7" s="6" customFormat="1" ht="15.75" customHeight="1">
      <c r="A51" s="3"/>
      <c r="B51" s="4" t="s">
        <v>28</v>
      </c>
      <c r="C51" s="93">
        <f>C39+C40</f>
        <v>6735.12</v>
      </c>
      <c r="D51" s="407">
        <f>D39+D40</f>
        <v>4489.6466199999995</v>
      </c>
      <c r="E51" s="5">
        <f t="shared" si="0"/>
        <v>66.660232037439556</v>
      </c>
      <c r="F51" s="5">
        <f t="shared" si="1"/>
        <v>-2245.4733800000004</v>
      </c>
      <c r="G51" s="94"/>
    </row>
    <row r="52" spans="1:7" s="6" customFormat="1">
      <c r="A52" s="3"/>
      <c r="B52" s="21" t="s">
        <v>322</v>
      </c>
      <c r="C52" s="93">
        <f>C51-C101</f>
        <v>-328.24600999999984</v>
      </c>
      <c r="D52" s="93">
        <f>D51-D101</f>
        <v>654.15003999999999</v>
      </c>
      <c r="E52" s="22"/>
      <c r="F52" s="22"/>
    </row>
    <row r="53" spans="1:7">
      <c r="A53" s="23"/>
      <c r="B53" s="24"/>
      <c r="C53" s="250"/>
      <c r="D53" s="250"/>
      <c r="E53" s="26"/>
      <c r="F53" s="92"/>
    </row>
    <row r="54" spans="1:7" ht="42.75" customHeight="1">
      <c r="A54" s="28" t="s">
        <v>1</v>
      </c>
      <c r="B54" s="28" t="s">
        <v>29</v>
      </c>
      <c r="C54" s="243" t="s">
        <v>346</v>
      </c>
      <c r="D54" s="244" t="s">
        <v>412</v>
      </c>
      <c r="E54" s="72" t="s">
        <v>3</v>
      </c>
      <c r="F54" s="74" t="s">
        <v>4</v>
      </c>
    </row>
    <row r="55" spans="1:7">
      <c r="A55" s="89">
        <v>1</v>
      </c>
      <c r="B55" s="28">
        <v>2</v>
      </c>
      <c r="C55" s="87">
        <v>3</v>
      </c>
      <c r="D55" s="87">
        <v>4</v>
      </c>
      <c r="E55" s="87">
        <v>5</v>
      </c>
      <c r="F55" s="87">
        <v>6</v>
      </c>
    </row>
    <row r="56" spans="1:7" s="6" customFormat="1" ht="29.25" customHeight="1">
      <c r="A56" s="30" t="s">
        <v>30</v>
      </c>
      <c r="B56" s="31" t="s">
        <v>31</v>
      </c>
      <c r="C56" s="246">
        <f>C57+C58+C59+C60+C61+C63+C62</f>
        <v>1826.8579999999999</v>
      </c>
      <c r="D56" s="32">
        <f>D57+D58+D59+D60+D61+D63+D62</f>
        <v>1504.48451</v>
      </c>
      <c r="E56" s="34">
        <f>SUM(D56/C56*100)</f>
        <v>82.353664597905265</v>
      </c>
      <c r="F56" s="34">
        <f>SUM(D56-C56)</f>
        <v>-322.37348999999995</v>
      </c>
    </row>
    <row r="57" spans="1:7" s="6" customFormat="1" ht="31.5" hidden="1">
      <c r="A57" s="35" t="s">
        <v>32</v>
      </c>
      <c r="B57" s="36" t="s">
        <v>33</v>
      </c>
      <c r="C57" s="37"/>
      <c r="D57" s="37"/>
      <c r="E57" s="38"/>
      <c r="F57" s="38"/>
    </row>
    <row r="58" spans="1:7">
      <c r="A58" s="35" t="s">
        <v>34</v>
      </c>
      <c r="B58" s="39" t="s">
        <v>35</v>
      </c>
      <c r="C58" s="37">
        <v>1799.6769999999999</v>
      </c>
      <c r="D58" s="37">
        <v>1482.9880499999999</v>
      </c>
      <c r="E58" s="38">
        <f t="shared" ref="E58:E101" si="3">SUM(D58/C58*100)</f>
        <v>82.403011762666296</v>
      </c>
      <c r="F58" s="38">
        <f t="shared" ref="F58:F101" si="4">SUM(D58-C58)</f>
        <v>-316.68894999999998</v>
      </c>
    </row>
    <row r="59" spans="1:7" ht="0.75" hidden="1" customHeight="1">
      <c r="A59" s="35" t="s">
        <v>36</v>
      </c>
      <c r="B59" s="39" t="s">
        <v>37</v>
      </c>
      <c r="C59" s="37"/>
      <c r="D59" s="37"/>
      <c r="E59" s="38"/>
      <c r="F59" s="38">
        <f t="shared" si="4"/>
        <v>0</v>
      </c>
    </row>
    <row r="60" spans="1:7" ht="31.5" hidden="1" customHeight="1">
      <c r="A60" s="35" t="s">
        <v>38</v>
      </c>
      <c r="B60" s="39" t="s">
        <v>39</v>
      </c>
      <c r="C60" s="37"/>
      <c r="D60" s="37"/>
      <c r="E60" s="38" t="e">
        <f t="shared" si="3"/>
        <v>#DIV/0!</v>
      </c>
      <c r="F60" s="38">
        <f t="shared" si="4"/>
        <v>0</v>
      </c>
    </row>
    <row r="61" spans="1:7">
      <c r="A61" s="35" t="s">
        <v>40</v>
      </c>
      <c r="B61" s="39" t="s">
        <v>41</v>
      </c>
      <c r="C61" s="37">
        <v>16.698</v>
      </c>
      <c r="D61" s="37">
        <v>16.698</v>
      </c>
      <c r="E61" s="38">
        <f t="shared" si="3"/>
        <v>100</v>
      </c>
      <c r="F61" s="38">
        <f t="shared" si="4"/>
        <v>0</v>
      </c>
    </row>
    <row r="62" spans="1:7" ht="15.75" customHeight="1">
      <c r="A62" s="35" t="s">
        <v>42</v>
      </c>
      <c r="B62" s="39" t="s">
        <v>43</v>
      </c>
      <c r="C62" s="40">
        <v>5</v>
      </c>
      <c r="D62" s="40">
        <v>0</v>
      </c>
      <c r="E62" s="38">
        <f>SUM(D62/C62*100)</f>
        <v>0</v>
      </c>
      <c r="F62" s="38">
        <f t="shared" si="4"/>
        <v>-5</v>
      </c>
    </row>
    <row r="63" spans="1:7" ht="18" customHeight="1">
      <c r="A63" s="35" t="s">
        <v>44</v>
      </c>
      <c r="B63" s="39" t="s">
        <v>45</v>
      </c>
      <c r="C63" s="37">
        <v>5.4829999999999997</v>
      </c>
      <c r="D63" s="37">
        <v>4.7984600000000004</v>
      </c>
      <c r="E63" s="38">
        <f t="shared" si="3"/>
        <v>87.515228889294193</v>
      </c>
      <c r="F63" s="38">
        <f t="shared" si="4"/>
        <v>-0.68453999999999926</v>
      </c>
    </row>
    <row r="64" spans="1:7" s="6" customFormat="1">
      <c r="A64" s="41" t="s">
        <v>46</v>
      </c>
      <c r="B64" s="42" t="s">
        <v>47</v>
      </c>
      <c r="C64" s="32">
        <f>C65</f>
        <v>150.881</v>
      </c>
      <c r="D64" s="32">
        <f>D65</f>
        <v>150.262</v>
      </c>
      <c r="E64" s="34">
        <f t="shared" si="3"/>
        <v>99.589742909975413</v>
      </c>
      <c r="F64" s="34">
        <f t="shared" si="4"/>
        <v>-0.61899999999999977</v>
      </c>
    </row>
    <row r="65" spans="1:7">
      <c r="A65" s="43" t="s">
        <v>48</v>
      </c>
      <c r="B65" s="44" t="s">
        <v>49</v>
      </c>
      <c r="C65" s="37">
        <v>150.881</v>
      </c>
      <c r="D65" s="37">
        <v>150.262</v>
      </c>
      <c r="E65" s="38">
        <f t="shared" si="3"/>
        <v>99.589742909975413</v>
      </c>
      <c r="F65" s="38">
        <f t="shared" si="4"/>
        <v>-0.61899999999999977</v>
      </c>
    </row>
    <row r="66" spans="1:7" s="6" customFormat="1" ht="15" customHeight="1">
      <c r="A66" s="30" t="s">
        <v>50</v>
      </c>
      <c r="B66" s="31" t="s">
        <v>51</v>
      </c>
      <c r="C66" s="32">
        <f>C69+C70</f>
        <v>15</v>
      </c>
      <c r="D66" s="32">
        <f>D69+D70</f>
        <v>2.4</v>
      </c>
      <c r="E66" s="34">
        <f t="shared" si="3"/>
        <v>16</v>
      </c>
      <c r="F66" s="34">
        <f t="shared" si="4"/>
        <v>-12.6</v>
      </c>
    </row>
    <row r="67" spans="1:7" hidden="1">
      <c r="A67" s="35" t="s">
        <v>52</v>
      </c>
      <c r="B67" s="39" t="s">
        <v>53</v>
      </c>
      <c r="C67" s="37"/>
      <c r="D67" s="37"/>
      <c r="E67" s="34" t="e">
        <f t="shared" si="3"/>
        <v>#DIV/0!</v>
      </c>
      <c r="F67" s="34">
        <f t="shared" si="4"/>
        <v>0</v>
      </c>
    </row>
    <row r="68" spans="1:7" hidden="1">
      <c r="A68" s="45" t="s">
        <v>54</v>
      </c>
      <c r="B68" s="39" t="s">
        <v>55</v>
      </c>
      <c r="C68" s="37"/>
      <c r="D68" s="37"/>
      <c r="E68" s="34" t="e">
        <f t="shared" si="3"/>
        <v>#DIV/0!</v>
      </c>
      <c r="F68" s="34">
        <f t="shared" si="4"/>
        <v>0</v>
      </c>
    </row>
    <row r="69" spans="1:7" ht="17.25" customHeight="1">
      <c r="A69" s="46" t="s">
        <v>56</v>
      </c>
      <c r="B69" s="47" t="s">
        <v>57</v>
      </c>
      <c r="C69" s="96">
        <v>5</v>
      </c>
      <c r="D69" s="37">
        <v>0</v>
      </c>
      <c r="E69" s="34">
        <f t="shared" si="3"/>
        <v>0</v>
      </c>
      <c r="F69" s="34">
        <f t="shared" si="4"/>
        <v>-5</v>
      </c>
    </row>
    <row r="70" spans="1:7" ht="15.75" customHeight="1">
      <c r="A70" s="46" t="s">
        <v>219</v>
      </c>
      <c r="B70" s="47" t="s">
        <v>220</v>
      </c>
      <c r="C70" s="37">
        <v>10</v>
      </c>
      <c r="D70" s="37">
        <v>2.4</v>
      </c>
      <c r="E70" s="34">
        <f t="shared" si="3"/>
        <v>24</v>
      </c>
      <c r="F70" s="34">
        <f t="shared" si="4"/>
        <v>-7.6</v>
      </c>
    </row>
    <row r="71" spans="1:7" s="6" customFormat="1" ht="17.25" customHeight="1">
      <c r="A71" s="30" t="s">
        <v>58</v>
      </c>
      <c r="B71" s="31" t="s">
        <v>59</v>
      </c>
      <c r="C71" s="48">
        <f>SUM(C72:C75)</f>
        <v>2995.57501</v>
      </c>
      <c r="D71" s="48">
        <f>SUM(D72:D75)</f>
        <v>877.51490999999999</v>
      </c>
      <c r="E71" s="34">
        <f t="shared" si="3"/>
        <v>29.293705117402485</v>
      </c>
      <c r="F71" s="34">
        <f t="shared" si="4"/>
        <v>-2118.0601000000001</v>
      </c>
    </row>
    <row r="72" spans="1:7" ht="15" customHeight="1">
      <c r="A72" s="35" t="s">
        <v>60</v>
      </c>
      <c r="B72" s="39" t="s">
        <v>61</v>
      </c>
      <c r="C72" s="49">
        <v>7.5</v>
      </c>
      <c r="D72" s="37">
        <v>0</v>
      </c>
      <c r="E72" s="38">
        <f t="shared" si="3"/>
        <v>0</v>
      </c>
      <c r="F72" s="38">
        <f t="shared" si="4"/>
        <v>-7.5</v>
      </c>
    </row>
    <row r="73" spans="1:7" s="6" customFormat="1" ht="15" customHeight="1">
      <c r="A73" s="35" t="s">
        <v>62</v>
      </c>
      <c r="B73" s="39" t="s">
        <v>63</v>
      </c>
      <c r="C73" s="49">
        <v>476.60899999999998</v>
      </c>
      <c r="D73" s="37">
        <v>266.83006999999998</v>
      </c>
      <c r="E73" s="38">
        <f t="shared" si="3"/>
        <v>55.985109387359444</v>
      </c>
      <c r="F73" s="38">
        <f t="shared" si="4"/>
        <v>-209.77893</v>
      </c>
      <c r="G73" s="50"/>
    </row>
    <row r="74" spans="1:7">
      <c r="A74" s="35" t="s">
        <v>64</v>
      </c>
      <c r="B74" s="39" t="s">
        <v>65</v>
      </c>
      <c r="C74" s="49">
        <v>2311.4660100000001</v>
      </c>
      <c r="D74" s="37">
        <v>610.68484000000001</v>
      </c>
      <c r="E74" s="38">
        <f t="shared" si="3"/>
        <v>26.419806190444479</v>
      </c>
      <c r="F74" s="38">
        <f t="shared" si="4"/>
        <v>-1700.7811700000002</v>
      </c>
    </row>
    <row r="75" spans="1:7">
      <c r="A75" s="35" t="s">
        <v>66</v>
      </c>
      <c r="B75" s="39" t="s">
        <v>67</v>
      </c>
      <c r="C75" s="49">
        <v>200</v>
      </c>
      <c r="D75" s="37">
        <v>0</v>
      </c>
      <c r="E75" s="38">
        <f t="shared" si="3"/>
        <v>0</v>
      </c>
      <c r="F75" s="38">
        <f t="shared" si="4"/>
        <v>-200</v>
      </c>
    </row>
    <row r="76" spans="1:7" s="6" customFormat="1" ht="17.25" customHeight="1">
      <c r="A76" s="30" t="s">
        <v>68</v>
      </c>
      <c r="B76" s="31" t="s">
        <v>69</v>
      </c>
      <c r="C76" s="32">
        <f>SUM(C77:C80)</f>
        <v>944.15</v>
      </c>
      <c r="D76" s="32">
        <f>SUM(D77:D80)</f>
        <v>549.73515999999995</v>
      </c>
      <c r="E76" s="34">
        <f t="shared" si="3"/>
        <v>58.225404861515649</v>
      </c>
      <c r="F76" s="34">
        <f t="shared" si="4"/>
        <v>-394.41484000000003</v>
      </c>
    </row>
    <row r="77" spans="1:7" ht="17.25" hidden="1" customHeight="1">
      <c r="A77" s="35" t="s">
        <v>70</v>
      </c>
      <c r="B77" s="51" t="s">
        <v>71</v>
      </c>
      <c r="C77" s="37">
        <v>0</v>
      </c>
      <c r="D77" s="37">
        <v>0</v>
      </c>
      <c r="E77" s="38" t="e">
        <f t="shared" si="3"/>
        <v>#DIV/0!</v>
      </c>
      <c r="F77" s="38">
        <f t="shared" si="4"/>
        <v>0</v>
      </c>
    </row>
    <row r="78" spans="1:7" ht="15" hidden="1" customHeight="1">
      <c r="A78" s="35" t="s">
        <v>72</v>
      </c>
      <c r="B78" s="51" t="s">
        <v>73</v>
      </c>
      <c r="C78" s="37">
        <v>0</v>
      </c>
      <c r="D78" s="37">
        <v>0</v>
      </c>
      <c r="E78" s="38" t="e">
        <f t="shared" si="3"/>
        <v>#DIV/0!</v>
      </c>
      <c r="F78" s="38">
        <f t="shared" si="4"/>
        <v>0</v>
      </c>
    </row>
    <row r="79" spans="1:7" ht="18" customHeight="1">
      <c r="A79" s="35" t="s">
        <v>74</v>
      </c>
      <c r="B79" s="39" t="s">
        <v>75</v>
      </c>
      <c r="C79" s="37">
        <v>944.15</v>
      </c>
      <c r="D79" s="37">
        <v>549.73515999999995</v>
      </c>
      <c r="E79" s="38">
        <f t="shared" si="3"/>
        <v>58.225404861515649</v>
      </c>
      <c r="F79" s="38">
        <f t="shared" si="4"/>
        <v>-394.41484000000003</v>
      </c>
    </row>
    <row r="80" spans="1:7" hidden="1">
      <c r="A80" s="35" t="s">
        <v>264</v>
      </c>
      <c r="B80" s="39" t="s">
        <v>265</v>
      </c>
      <c r="C80" s="37">
        <v>0</v>
      </c>
      <c r="D80" s="37">
        <v>0</v>
      </c>
      <c r="E80" s="38" t="e">
        <f t="shared" si="3"/>
        <v>#DIV/0!</v>
      </c>
      <c r="F80" s="38">
        <f t="shared" si="4"/>
        <v>0</v>
      </c>
    </row>
    <row r="81" spans="1:6" s="6" customFormat="1" ht="20.25" customHeight="1">
      <c r="A81" s="30" t="s">
        <v>86</v>
      </c>
      <c r="B81" s="31" t="s">
        <v>87</v>
      </c>
      <c r="C81" s="32">
        <f>C82+C83</f>
        <v>1107.5999999999999</v>
      </c>
      <c r="D81" s="32">
        <f>SUM(D82:D83)</f>
        <v>741.1</v>
      </c>
      <c r="E81" s="34">
        <f t="shared" si="3"/>
        <v>66.910436980859515</v>
      </c>
      <c r="F81" s="34">
        <f t="shared" si="4"/>
        <v>-366.49999999999989</v>
      </c>
    </row>
    <row r="82" spans="1:6" ht="18" customHeight="1">
      <c r="A82" s="35" t="s">
        <v>88</v>
      </c>
      <c r="B82" s="39" t="s">
        <v>234</v>
      </c>
      <c r="C82" s="37">
        <v>1107.5999999999999</v>
      </c>
      <c r="D82" s="37">
        <v>741.1</v>
      </c>
      <c r="E82" s="38">
        <f t="shared" si="3"/>
        <v>66.910436980859515</v>
      </c>
      <c r="F82" s="38">
        <f t="shared" si="4"/>
        <v>-366.49999999999989</v>
      </c>
    </row>
    <row r="83" spans="1:6" hidden="1">
      <c r="A83" s="35" t="s">
        <v>273</v>
      </c>
      <c r="B83" s="39" t="s">
        <v>274</v>
      </c>
      <c r="C83" s="37"/>
      <c r="D83" s="37"/>
      <c r="E83" s="38" t="e">
        <f t="shared" si="3"/>
        <v>#DIV/0!</v>
      </c>
      <c r="F83" s="38">
        <f t="shared" si="4"/>
        <v>0</v>
      </c>
    </row>
    <row r="84" spans="1:6" s="6" customFormat="1" hidden="1">
      <c r="A84" s="52">
        <v>1000</v>
      </c>
      <c r="B84" s="31" t="s">
        <v>89</v>
      </c>
      <c r="C84" s="32">
        <f>SUM(C85:C88)</f>
        <v>0</v>
      </c>
      <c r="D84" s="32">
        <f>SUM(D85:D88)</f>
        <v>0</v>
      </c>
      <c r="E84" s="38" t="e">
        <f t="shared" si="3"/>
        <v>#DIV/0!</v>
      </c>
      <c r="F84" s="38">
        <f t="shared" si="4"/>
        <v>0</v>
      </c>
    </row>
    <row r="85" spans="1:6" hidden="1">
      <c r="A85" s="53">
        <v>1001</v>
      </c>
      <c r="B85" s="54" t="s">
        <v>90</v>
      </c>
      <c r="C85" s="37"/>
      <c r="D85" s="37"/>
      <c r="E85" s="38" t="e">
        <f t="shared" si="3"/>
        <v>#DIV/0!</v>
      </c>
      <c r="F85" s="38">
        <f t="shared" si="4"/>
        <v>0</v>
      </c>
    </row>
    <row r="86" spans="1:6" ht="17.25" hidden="1" customHeight="1">
      <c r="A86" s="53">
        <v>1003</v>
      </c>
      <c r="B86" s="54" t="s">
        <v>91</v>
      </c>
      <c r="C86" s="37">
        <v>0</v>
      </c>
      <c r="D86" s="37">
        <v>0</v>
      </c>
      <c r="E86" s="38" t="e">
        <f t="shared" si="3"/>
        <v>#DIV/0!</v>
      </c>
      <c r="F86" s="38">
        <f t="shared" si="4"/>
        <v>0</v>
      </c>
    </row>
    <row r="87" spans="1:6" ht="15" hidden="1" customHeight="1">
      <c r="A87" s="53">
        <v>1004</v>
      </c>
      <c r="B87" s="54" t="s">
        <v>92</v>
      </c>
      <c r="C87" s="37">
        <v>0</v>
      </c>
      <c r="D87" s="55">
        <v>0</v>
      </c>
      <c r="E87" s="38" t="e">
        <f t="shared" si="3"/>
        <v>#DIV/0!</v>
      </c>
      <c r="F87" s="38">
        <f t="shared" si="4"/>
        <v>0</v>
      </c>
    </row>
    <row r="88" spans="1:6" ht="18" hidden="1" customHeight="1">
      <c r="A88" s="35" t="s">
        <v>93</v>
      </c>
      <c r="B88" s="39" t="s">
        <v>94</v>
      </c>
      <c r="C88" s="37">
        <v>0</v>
      </c>
      <c r="D88" s="37">
        <v>0</v>
      </c>
      <c r="E88" s="38" t="e">
        <f t="shared" si="3"/>
        <v>#DIV/0!</v>
      </c>
      <c r="F88" s="38">
        <f t="shared" si="4"/>
        <v>0</v>
      </c>
    </row>
    <row r="89" spans="1:6" ht="18.75" hidden="1" customHeight="1">
      <c r="A89" s="52">
        <v>1000</v>
      </c>
      <c r="B89" s="31" t="s">
        <v>89</v>
      </c>
      <c r="C89" s="32">
        <f>SUM(C90)</f>
        <v>0</v>
      </c>
      <c r="D89" s="32">
        <f>SUM(D90)</f>
        <v>0</v>
      </c>
      <c r="E89" s="34" t="e">
        <f t="shared" si="3"/>
        <v>#DIV/0!</v>
      </c>
      <c r="F89" s="34">
        <f t="shared" si="4"/>
        <v>0</v>
      </c>
    </row>
    <row r="90" spans="1:6" ht="20.25" hidden="1" customHeight="1">
      <c r="A90" s="53">
        <v>1006</v>
      </c>
      <c r="B90" s="54" t="s">
        <v>90</v>
      </c>
      <c r="C90" s="37">
        <v>0</v>
      </c>
      <c r="D90" s="37">
        <v>0</v>
      </c>
      <c r="E90" s="38" t="e">
        <f t="shared" si="3"/>
        <v>#DIV/0!</v>
      </c>
      <c r="F90" s="38">
        <f t="shared" si="4"/>
        <v>0</v>
      </c>
    </row>
    <row r="91" spans="1:6" ht="16.5" customHeight="1">
      <c r="A91" s="53">
        <v>1100</v>
      </c>
      <c r="B91" s="56" t="s">
        <v>96</v>
      </c>
      <c r="C91" s="32">
        <f>C92+C93+C94+C95+C96</f>
        <v>23.302</v>
      </c>
      <c r="D91" s="32">
        <f>D92+D93+D94+D95+D96</f>
        <v>10</v>
      </c>
      <c r="E91" s="38">
        <f t="shared" si="3"/>
        <v>42.914771264269163</v>
      </c>
      <c r="F91" s="22">
        <f>F92+F93+F94+F95+F96</f>
        <v>-13.302</v>
      </c>
    </row>
    <row r="92" spans="1:6" ht="18.75" customHeight="1">
      <c r="A92" s="53">
        <v>1101</v>
      </c>
      <c r="B92" s="54" t="s">
        <v>98</v>
      </c>
      <c r="C92" s="37">
        <v>23.302</v>
      </c>
      <c r="D92" s="37">
        <v>10</v>
      </c>
      <c r="E92" s="38">
        <f t="shared" si="3"/>
        <v>42.914771264269163</v>
      </c>
      <c r="F92" s="38">
        <f>SUM(D92-C92)</f>
        <v>-13.302</v>
      </c>
    </row>
    <row r="93" spans="1:6" ht="0.75" hidden="1" customHeight="1">
      <c r="A93" s="35" t="s">
        <v>93</v>
      </c>
      <c r="B93" s="39" t="s">
        <v>94</v>
      </c>
      <c r="C93" s="37"/>
      <c r="D93" s="37"/>
      <c r="E93" s="38" t="e">
        <f t="shared" si="3"/>
        <v>#DIV/0!</v>
      </c>
      <c r="F93" s="38">
        <f>SUM(D93-C93)</f>
        <v>0</v>
      </c>
    </row>
    <row r="94" spans="1:6" ht="18" hidden="1" customHeight="1">
      <c r="A94" s="35" t="s">
        <v>101</v>
      </c>
      <c r="B94" s="39" t="s">
        <v>102</v>
      </c>
      <c r="C94" s="37"/>
      <c r="D94" s="37"/>
      <c r="E94" s="38" t="e">
        <f t="shared" si="3"/>
        <v>#DIV/0!</v>
      </c>
      <c r="F94" s="38"/>
    </row>
    <row r="95" spans="1:6" ht="17.25" hidden="1" customHeight="1">
      <c r="A95" s="35" t="s">
        <v>103</v>
      </c>
      <c r="B95" s="39" t="s">
        <v>104</v>
      </c>
      <c r="C95" s="37"/>
      <c r="D95" s="37"/>
      <c r="E95" s="38" t="e">
        <f t="shared" si="3"/>
        <v>#DIV/0!</v>
      </c>
      <c r="F95" s="38"/>
    </row>
    <row r="96" spans="1:6" ht="18" hidden="1" customHeight="1">
      <c r="A96" s="35" t="s">
        <v>105</v>
      </c>
      <c r="B96" s="39" t="s">
        <v>106</v>
      </c>
      <c r="C96" s="37"/>
      <c r="D96" s="37"/>
      <c r="E96" s="38" t="e">
        <f t="shared" si="3"/>
        <v>#DIV/0!</v>
      </c>
      <c r="F96" s="38"/>
    </row>
    <row r="97" spans="1:6" s="6" customFormat="1" ht="57.75" hidden="1" customHeight="1">
      <c r="A97" s="52">
        <v>1400</v>
      </c>
      <c r="B97" s="56" t="s">
        <v>115</v>
      </c>
      <c r="C97" s="48">
        <f>C98+C99+C100</f>
        <v>0</v>
      </c>
      <c r="D97" s="48">
        <f>SUM(D98:D100)</f>
        <v>0</v>
      </c>
      <c r="E97" s="34" t="e">
        <f t="shared" si="3"/>
        <v>#DIV/0!</v>
      </c>
      <c r="F97" s="34">
        <f t="shared" si="4"/>
        <v>0</v>
      </c>
    </row>
    <row r="98" spans="1:6" ht="1.5" hidden="1" customHeight="1">
      <c r="A98" s="53">
        <v>1401</v>
      </c>
      <c r="B98" s="54" t="s">
        <v>116</v>
      </c>
      <c r="C98" s="49"/>
      <c r="D98" s="37"/>
      <c r="E98" s="38" t="e">
        <f t="shared" si="3"/>
        <v>#DIV/0!</v>
      </c>
      <c r="F98" s="38">
        <f t="shared" si="4"/>
        <v>0</v>
      </c>
    </row>
    <row r="99" spans="1:6" ht="16.5" hidden="1" customHeight="1">
      <c r="A99" s="53">
        <v>1402</v>
      </c>
      <c r="B99" s="54" t="s">
        <v>117</v>
      </c>
      <c r="C99" s="49"/>
      <c r="D99" s="37"/>
      <c r="E99" s="38" t="e">
        <f t="shared" si="3"/>
        <v>#DIV/0!</v>
      </c>
      <c r="F99" s="38">
        <f t="shared" si="4"/>
        <v>0</v>
      </c>
    </row>
    <row r="100" spans="1:6" ht="20.25" hidden="1" customHeight="1">
      <c r="A100" s="53">
        <v>1403</v>
      </c>
      <c r="B100" s="54" t="s">
        <v>118</v>
      </c>
      <c r="C100" s="49"/>
      <c r="D100" s="37"/>
      <c r="E100" s="38" t="e">
        <f t="shared" si="3"/>
        <v>#DIV/0!</v>
      </c>
      <c r="F100" s="38">
        <f t="shared" si="4"/>
        <v>0</v>
      </c>
    </row>
    <row r="101" spans="1:6" s="6" customFormat="1" ht="14.25" customHeight="1">
      <c r="A101" s="52"/>
      <c r="B101" s="57" t="s">
        <v>119</v>
      </c>
      <c r="C101" s="408">
        <f>C56+C64+C66+C71+C76+C81+C84+C91+C97+C89</f>
        <v>7063.3660099999997</v>
      </c>
      <c r="D101" s="408">
        <f>D56+D64+D66+D71+D76+D81+D84+D91+D97+D89</f>
        <v>3835.4965799999995</v>
      </c>
      <c r="E101" s="34">
        <f t="shared" si="3"/>
        <v>54.30125770871669</v>
      </c>
      <c r="F101" s="34">
        <f t="shared" si="4"/>
        <v>-3227.8694300000002</v>
      </c>
    </row>
    <row r="102" spans="1:6">
      <c r="D102" s="245"/>
    </row>
    <row r="103" spans="1:6" s="65" customFormat="1" ht="12.75">
      <c r="A103" s="63" t="s">
        <v>120</v>
      </c>
      <c r="B103" s="63"/>
      <c r="C103" s="119"/>
      <c r="D103" s="64"/>
    </row>
    <row r="104" spans="1:6" s="65" customFormat="1" ht="18.75" customHeight="1">
      <c r="A104" s="66" t="s">
        <v>121</v>
      </c>
      <c r="B104" s="66"/>
      <c r="C104" s="65" t="s">
        <v>122</v>
      </c>
    </row>
    <row r="141" hidden="1"/>
  </sheetData>
  <customSheetViews>
    <customSheetView guid="{8E17DC23-BE06-48DD-840B-6DD85B9E86D1}" scale="70" showPageBreaks="1" hiddenRows="1" view="pageBreakPreview" topLeftCell="A15">
      <selection activeCell="C51" activeCellId="1" sqref="C101:D101 C51:D51"/>
      <pageMargins left="0.70866141732283472" right="0.70866141732283472" top="0.74803149606299213" bottom="0.74803149606299213" header="0.31496062992125984" footer="0.31496062992125984"/>
      <pageSetup paperSize="9" scale="64" orientation="portrait" r:id="rId1"/>
    </customSheetView>
    <customSheetView guid="{5BFCA170-DEAE-4D2C-98A0-1E68B427AC01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2"/>
    </customSheetView>
    <customSheetView guid="{3DCB9AAA-F09C-4EA6-B992-F93E466D374A}" scale="70" showPageBreaks="1" hiddenRows="1" view="pageBreakPreview" topLeftCell="A4">
      <selection activeCell="C47" sqref="C47"/>
      <pageMargins left="0.7" right="0.7" top="0.75" bottom="0.75" header="0.3" footer="0.3"/>
      <pageSetup paperSize="9" scale="53" orientation="portrait" r:id="rId3"/>
    </customSheetView>
    <customSheetView guid="{1718F1EE-9F48-4DBE-9531-3B70F9C4A5DD}" scale="70" showPageBreaks="1" hiddenRows="1" view="pageBreakPreview" topLeftCell="A42">
      <selection activeCell="D101" sqref="D101"/>
      <pageMargins left="0.7" right="0.7" top="0.75" bottom="0.75" header="0.3" footer="0.3"/>
      <pageSetup paperSize="9" scale="39" orientation="portrait" r:id="rId4"/>
    </customSheetView>
    <customSheetView guid="{42584DC0-1D41-4C93-9B38-C388E7B8DAC4}" scale="70" showPageBreaks="1" hiddenRows="1" view="pageBreakPreview" topLeftCell="A61">
      <selection activeCell="D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5"/>
    </customSheetView>
    <customSheetView guid="{B30CE22D-C12F-4E12-8BB9-3AAE0A6991CC}" scale="70" showPageBreaks="1" hiddenRows="1" view="pageBreakPreview" topLeftCell="A36">
      <selection activeCell="C101" sqref="C101:D101"/>
      <pageMargins left="0.70866141732283472" right="0.70866141732283472" top="0.74803149606299213" bottom="0.74803149606299213" header="0.31496062992125984" footer="0.31496062992125984"/>
      <pageSetup paperSize="9" scale="60" orientation="portrait" r:id="rId6"/>
    </customSheetView>
    <customSheetView guid="{A54C432C-6C68-4B53-A75C-446EB3A61B2B}" scale="70" showPageBreaks="1" hiddenRows="1" view="pageBreakPreview" topLeftCell="A15">
      <selection activeCell="C51" activeCellId="1" sqref="C101:D101 C51:D51"/>
      <pageMargins left="0.70866141732283472" right="0.70866141732283472" top="0.74803149606299213" bottom="0.74803149606299213" header="0.31496062992125984" footer="0.31496062992125984"/>
      <pageSetup paperSize="9" scale="64" orientation="portrait" r:id="rId7"/>
    </customSheetView>
  </customSheetViews>
  <mergeCells count="2">
    <mergeCell ref="A1:F1"/>
    <mergeCell ref="A2:F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4"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7</vt:i4>
      </vt:variant>
    </vt:vector>
  </HeadingPairs>
  <TitlesOfParts>
    <vt:vector size="28" baseType="lpstr">
      <vt:lpstr>Консол</vt:lpstr>
      <vt:lpstr>Справка</vt:lpstr>
      <vt:lpstr>район</vt:lpstr>
      <vt:lpstr>Але</vt:lpstr>
      <vt:lpstr>Сун</vt:lpstr>
      <vt:lpstr>Иль</vt:lpstr>
      <vt:lpstr>Кад</vt:lpstr>
      <vt:lpstr>Мор</vt:lpstr>
      <vt:lpstr>Мос</vt:lpstr>
      <vt:lpstr>Ори</vt:lpstr>
      <vt:lpstr>Сят</vt:lpstr>
      <vt:lpstr>Тор</vt:lpstr>
      <vt:lpstr>Хор</vt:lpstr>
      <vt:lpstr>Чум</vt:lpstr>
      <vt:lpstr>Шать</vt:lpstr>
      <vt:lpstr>Юнг</vt:lpstr>
      <vt:lpstr>Юсь</vt:lpstr>
      <vt:lpstr>Яра</vt:lpstr>
      <vt:lpstr>Яро</vt:lpstr>
      <vt:lpstr>Лист1</vt:lpstr>
      <vt:lpstr>Лист2</vt:lpstr>
      <vt:lpstr>Иль!Область_печати</vt:lpstr>
      <vt:lpstr>Консол!Область_печати</vt:lpstr>
      <vt:lpstr>Мор!Область_печати</vt:lpstr>
      <vt:lpstr>Справка!Область_печати</vt:lpstr>
      <vt:lpstr>Тор!Область_печати</vt:lpstr>
      <vt:lpstr>Юнг!Область_печати</vt:lpstr>
      <vt:lpstr>Яра!Область_печати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2018-11-08T06:36:46Z</cp:lastPrinted>
  <dcterms:created xsi:type="dcterms:W3CDTF">1996-10-08T23:32:33Z</dcterms:created>
  <dcterms:modified xsi:type="dcterms:W3CDTF">2019-05-10T09:58:41Z</dcterms:modified>
</cp:coreProperties>
</file>