
<file path=[Content_Types].xml><?xml version="1.0" encoding="utf-8"?>
<Types xmlns="http://schemas.openxmlformats.org/package/2006/content-types"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revisions/revisionLog1.xml" ContentType="application/vnd.openxmlformats-officedocument.spreadsheetml.revisionLog+xml"/>
  <Default Extension="bin" ContentType="application/vnd.openxmlformats-officedocument.spreadsheetml.printerSettings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revisions/userNames.xml" ContentType="application/vnd.openxmlformats-officedocument.spreadsheetml.userNam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Иль!$A$1:$F$103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Иль!$19:$24,Иль!$30:$39,Иль!$45:$45,Иль!$47:$50,Иль!$58:$58,Иль!$60:$62,Иль!$68:$69,Иль!$77:$78,Иль!$80:$80,Иль!$85:$89,Иль!$92:$99,Иль!$142:$142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район!$17:$18,район!$20:$20,район!$25:$25,район!$27:$31,район!$35:$35,район!$38:$38,район!$49:$50,район!$74:$74,район!$81:$81,район!$98:$98,район!$104:$104,район!$131:$133,район!$136:$137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Иль!$A$1:$F$103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Иль!$19:$24,Иль!$30:$39,Иль!$45:$45,Иль!$47:$50,Иль!$58:$58,Иль!$60:$62,Иль!$68:$69,Иль!$77:$78,Иль!$80:$80,Иль!$85:$89,Иль!$92:$99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$45:$45,район!$49:$50,район!$61:$61,район!$66:$66,район!$68:$70,район!$74:$74,район!$81:$81,район!$92:$92,район!$98:$98,район!$101:$101,район!$104:$104,район!$111:$111,район!$131:$133,район!$136:$137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Иль!$A$1:$F$103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Справка!$A$1:$EY$32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Але!$19:$24,Але!$44:$44,Але!$46:$46,Але!$53:$53,Але!$55:$56,Але!$63:$64,Але!$73:$74,Але!$78:$92</definedName>
    <definedName name="Z_5BFCA170_DEAE_4D2C_98A0_1E68B427AC01_.wvu.Rows" localSheetId="5" hidden="1">Иль!$19:$24,Иль!$30:$31,Иль!$33:$33,Иль!$45:$45,Иль!$50:$50,Иль!$60:$61,Иль!$68:$69,Иль!$77:$78,Иль!$80:$80,Иль!$82:$89,Иль!$92:$96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Мос!$19:$24,Мос!$44:$44,Мос!$47:$49,Мос!$57:$57,Мос!$59:$60,Мос!$67:$68,Мос!$80:$80,Мос!$82:$88,Мос!$93:$98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район!$17:$18,район!$20:$20,район!$28:$30,район!$49:$50,район!$74:$74,район!$81:$81,район!$98:$98,район!$104:$104,район!$131:$133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Сун!$19:$24,Сун!$49:$51,Сун!$58:$58,Сун!$60:$61,Сун!$68:$69,Сун!$78:$79,Сун!$81:$84,Сун!$87:$88,Сун!$92:$96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Хор!$19:$24,Хор!$32:$32,Хор!$40:$40,Хор!$44:$48,Хор!$55:$55,Хор!$57:$58,Хор!$65:$66,Хор!$80:$84,Хор!$87:$94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Иль!$A$1:$F$103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Иль!$19:$24,Иль!$30:$39,Иль!$45:$45,Иль!$47:$50,Иль!$58:$58,Иль!$60:$62,Иль!$68:$69,Иль!$77:$78,Иль!$80:$80,Иль!$85:$89,Иль!$92:$99,Иль!$142:$142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Хор!$19:$24,Хор!$28:$36,Хор!$40:$40,Хор!$44:$44,Хор!$46:$48,Хор!$55:$55,Хор!$57:$59,Хор!$65:$66,Хор!$71:$71,Хор!$75:$76,Хор!$80:$84,Хор!$87:$94,Хор!$141:$141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Юнг!$19:$24,Юнг!$31:$35,Юнг!$38:$38,Юнг!$46:$47,Юнг!$56:$56,Юнг!$58:$60,Юнг!$66:$68,Юнг!$76:$77,Юнг!$81:$85,Юнг!$88:$95,Юнг!$141:$141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Юсь!$19:$24,Юсь!$31:$33,Юсь!$36:$36,Юсь!$44:$50,Юсь!$58:$58,Юсь!$60:$61,Юсь!$68:$69,Юсь!$78:$79,Юсь!$83:$87,Юсь!$90:$97,Юсь!$141:$141</definedName>
    <definedName name="Z_A54C432C_6C68_4B53_A75C_446EB3A61B2B_.wvu.Rows" localSheetId="17" hidden="1">Яра!$19:$24,Яра!$32:$36,Яра!$46:$50,Яра!$58:$58,Яра!$60:$62,Яра!$68:$69,Яра!$79:$80,Яра!$84:$88,Яра!$91:$98,Яра!$143:$143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Яро!$19:$24,Яро!$28:$36,Яро!$43:$44,Яро!$46:$46,Яро!$54:$54,Яро!$56:$58,Яро!$64:$65,Яро!$74:$74,Яро!$79:$83,Яро!$86:$93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Иль!$A$1:$F$103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Иль!$19:$24,Иль!$30:$39,Иль!$45:$45,Иль!$47:$50,Иль!$58:$58,Иль!$60:$62,Иль!$68:$69,Иль!$77:$78,Иль!$80:$80,Иль!$85:$89,Иль!$92:$99,Иль!$142:$142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Мос!$19:$24,Мос!$29:$35,Мос!$44:$44,Мос!$46:$49,Мос!$57:$57,Мос!$59:$60,Мос!$67:$68,Мос!$77:$78,Мос!$80:$80,Мос!$83:$90,Мос!$93:$100,Мос!$141:$141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Сят!$19:$24,Сят!$31:$35,Сят!$38:$38,Сят!$45:$48,Сят!$57:$57,Сят!$59:$60,Сят!$67:$68,Сят!$77:$78,Сят!$82:$86,Сят!$89:$96,Сят!$142:$142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Тор!$19:$24,Тор!$32:$36,Тор!$39:$39,Тор!$46:$47,Тор!$50:$50,Тор!$57:$57,Тор!$59:$60,Тор!$67:$68,Тор!$74:$74,Тор!$78:$79,Тор!$83:$95,Тор!$142:$142</definedName>
    <definedName name="Z_B30CE22D_C12F_4E12_8BB9_3AAE0A6991CC_.wvu.Rows" localSheetId="12" hidden="1">Хор!$19:$24,Хор!$28:$36,Хор!$40:$40,Хор!$44:$44,Хор!$46:$48,Хор!$55:$55,Хор!$57:$59,Хор!$65:$66,Хор!$71:$71,Хор!$75:$76,Хор!$80:$84,Хор!$87:$94,Хор!$141:$141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Юнг!$19:$24,Юнг!$31:$33,Юнг!$38:$38,Юнг!$46:$47,Юнг!$56:$56,Юнг!$58:$60,Юнг!$66:$68,Юнг!$76:$77,Юнг!$81:$85,Юнг!$88:$95,Юнг!$141:$141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Яра!$19:$24,Яра!$32:$34,Яра!$46:$50,Яра!$58:$58,Яра!$60:$62,Яра!$68:$69,Яра!$79:$80,Яра!$84:$88,Яра!$91:$98,Яра!$143:$143</definedName>
    <definedName name="Z_B30CE22D_C12F_4E12_8BB9_3AAE0A6991CC_.wvu.Rows" localSheetId="18" hidden="1">Яро!$19:$24,Яро!$28:$36,Яро!$43:$44,Яро!$46:$46,Яро!$54:$54,Яро!$56:$58,Яро!$64:$65,Яро!$74:$74,Яро!$79:$83,Яро!$86:$93</definedName>
    <definedName name="Z_D9DF2AB9_CCB8_40C7_9C85_E4DDD4810EEF_.wvu.Cols" localSheetId="1" hidden="1">Справка!$AV:$AX,Справка!$BB:$BD,Справка!$BH:$BP,Справка!$BT:$BY,Справка!$CX:$DF</definedName>
    <definedName name="Z_D9DF2AB9_CCB8_40C7_9C85_E4DDD4810EEF_.wvu.PrintArea" localSheetId="5" hidden="1">Иль!$A$1:$F$103</definedName>
    <definedName name="Z_D9DF2AB9_CCB8_40C7_9C85_E4DDD4810EEF_.wvu.PrintArea" localSheetId="0" hidden="1">Консол!$A$1:$K$50</definedName>
    <definedName name="Z_D9DF2AB9_CCB8_40C7_9C85_E4DDD4810EEF_.wvu.PrintArea" localSheetId="7" hidden="1">Мор!$A$1:$F$100</definedName>
    <definedName name="Z_D9DF2AB9_CCB8_40C7_9C85_E4DDD4810EEF_.wvu.PrintArea" localSheetId="1" hidden="1">Справка!$A$1:$EY$31</definedName>
    <definedName name="Z_D9DF2AB9_CCB8_40C7_9C85_E4DDD4810EEF_.wvu.PrintArea" localSheetId="11" hidden="1">Тор!$A$1:$F$101</definedName>
    <definedName name="Z_D9DF2AB9_CCB8_40C7_9C85_E4DDD4810EEF_.wvu.PrintArea" localSheetId="15" hidden="1">Юнг!$A$1:$F$99</definedName>
    <definedName name="Z_D9DF2AB9_CCB8_40C7_9C85_E4DDD4810EEF_.wvu.PrintArea" localSheetId="17" hidden="1">Яра!$A$1:$F$102</definedName>
    <definedName name="Z_D9DF2AB9_CCB8_40C7_9C85_E4DDD4810EEF_.wvu.Rows" localSheetId="3" hidden="1">Але!$19:$24,Але!$28:$33,Але!$36:$36,Але!$46:$46,Але!$53:$53,Але!$55:$57,Але!$63:$64,Але!$73:$74,Але!$78:$82,Але!$85:$92,Але!$141:$141</definedName>
    <definedName name="Z_D9DF2AB9_CCB8_40C7_9C85_E4DDD4810EEF_.wvu.Rows" localSheetId="5" hidden="1">Иль!$19:$24,Иль!$30:$39,Иль!$45:$45,Иль!$47:$50,Иль!$58:$58,Иль!$60:$62,Иль!$68:$69,Иль!$77:$78,Иль!$80:$80,Иль!$85:$89,Иль!$92:$99,Иль!$142:$142</definedName>
    <definedName name="Z_D9DF2AB9_CCB8_40C7_9C85_E4DDD4810EEF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D9DF2AB9_CCB8_40C7_9C85_E4DDD4810EEF_.wvu.Rows" localSheetId="0" hidden="1">Консол!$22:$22,Консол!$43:$45</definedName>
    <definedName name="Z_D9DF2AB9_CCB8_40C7_9C85_E4DDD4810EEF_.wvu.Rows" localSheetId="19" hidden="1">Лист1!$82:$84</definedName>
    <definedName name="Z_D9DF2AB9_CCB8_40C7_9C85_E4DDD4810EEF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D9DF2AB9_CCB8_40C7_9C85_E4DDD4810EEF_.wvu.Rows" localSheetId="8" hidden="1">Мос!$19:$24,Мос!$29:$35,Мос!$44:$44,Мос!$46:$49,Мос!$57:$57,Мос!$59:$60,Мос!$67:$68,Мос!$77:$78,Мос!$80:$80,Мос!$83:$90,Мос!$93:$100,Мос!$141:$141</definedName>
    <definedName name="Z_D9DF2AB9_CCB8_40C7_9C85_E4DDD4810EEF_.wvu.Rows" localSheetId="9" hidden="1">Ори!$19:$24,Ори!$31:$35,Ори!$44:$44,Ори!$46:$46,Ори!$48:$50,Ори!$57:$57,Ори!$59:$60,Ори!$67:$68,Ори!$77:$78,Ори!$80:$80,Ори!$83:$87,Ори!$90:$97,Ори!$141:$141</definedName>
    <definedName name="Z_D9DF2AB9_CCB8_40C7_9C85_E4DDD4810EEF_.wvu.Rows" localSheetId="2" hidden="1">район!$17:$18,район!$20:$20,район!$25:$25,район!$27:$31,район!$35:$35,район!$38:$38,район!$49:$50,район!$61:$61,район!$74:$74,район!$81:$81,район!$98:$98,район!$104:$104,район!$131:$133,район!$136:$137</definedName>
    <definedName name="Z_D9DF2AB9_CCB8_40C7_9C85_E4DDD4810EEF_.wvu.Rows" localSheetId="1" hidden="1">Справка!$33:$33</definedName>
    <definedName name="Z_D9DF2AB9_CCB8_40C7_9C85_E4DDD4810EEF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D9DF2AB9_CCB8_40C7_9C85_E4DDD4810EEF_.wvu.Rows" localSheetId="10" hidden="1">Сят!$19:$24,Сят!$31:$35,Сят!$38:$38,Сят!$45:$48,Сят!$57:$57,Сят!$59:$60,Сят!$67:$68,Сят!$77:$78,Сят!$82:$86,Сят!$89:$96,Сят!$142:$142</definedName>
    <definedName name="Z_D9DF2AB9_CCB8_40C7_9C85_E4DDD4810EEF_.wvu.Rows" localSheetId="11" hidden="1">Тор!$19:$24,Тор!$32:$36,Тор!$39:$39,Тор!$46:$47,Тор!$50:$50,Тор!$57:$57,Тор!$59:$60,Тор!$67:$68,Тор!$74:$74,Тор!$78:$79,Тор!$83:$95,Тор!$142:$142</definedName>
    <definedName name="Z_D9DF2AB9_CCB8_40C7_9C85_E4DDD4810EEF_.wvu.Rows" localSheetId="12" hidden="1">Хор!$19:$24,Хор!$28:$36,Хор!$40:$40,Хор!$44:$44,Хор!$46:$48,Хор!$55:$55,Хор!$57:$59,Хор!$65:$66,Хор!$71:$71,Хор!$75:$76,Хор!$80:$84,Хор!$87:$94,Хор!$141:$141</definedName>
    <definedName name="Z_D9DF2AB9_CCB8_40C7_9C85_E4DDD4810EEF_.wvu.Rows" localSheetId="13" hidden="1">Чум!$19:$24,Чум!$31:$36,Чум!$46:$49,Чум!$57:$57,Чум!$59:$61,Чум!$67:$68,Чум!$77:$78,Чум!$82:$86,Чум!$89:$96,Чум!$141:$141</definedName>
    <definedName name="Z_D9DF2AB9_CCB8_40C7_9C85_E4DDD4810EEF_.wvu.Rows" localSheetId="14" hidden="1">Шать!$19:$25,Шать!$31:$33,Шать!$46:$49,Шать!$57:$57,Шать!$59:$60,Шать!$67:$68,Шать!$77:$78,Шать!$83:$85,Шать!$89:$96,Шать!$141:$141</definedName>
    <definedName name="Z_D9DF2AB9_CCB8_40C7_9C85_E4DDD4810EEF_.wvu.Rows" localSheetId="15" hidden="1">Юнг!$19:$24,Юнг!$31:$35,Юнг!$38:$38,Юнг!$46:$47,Юнг!$56:$56,Юнг!$58:$60,Юнг!$66:$68,Юнг!$76:$77,Юнг!$81:$85,Юнг!$88:$95,Юнг!$141:$141</definedName>
    <definedName name="Z_D9DF2AB9_CCB8_40C7_9C85_E4DDD4810EEF_.wvu.Rows" localSheetId="16" hidden="1">Юсь!$19:$24,Юсь!$31:$33,Юсь!$36:$36,Юсь!$44:$50,Юсь!$58:$58,Юсь!$60:$61,Юсь!$68:$69,Юсь!$78:$79,Юсь!$83:$87,Юсь!$90:$97,Юсь!$141:$141</definedName>
    <definedName name="Z_D9DF2AB9_CCB8_40C7_9C85_E4DDD4810EEF_.wvu.Rows" localSheetId="17" hidden="1">Яра!$19:$24,Яра!$32:$36,Яра!$46:$50,Яра!$58:$58,Яра!$60:$62,Яра!$68:$69,Яра!$79:$80,Яра!$84:$88,Яра!$91:$98,Яра!$143:$143</definedName>
    <definedName name="Z_D9DF2AB9_CCB8_40C7_9C85_E4DDD4810EEF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Иль!$A$1:$F$103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1 - Личное представление" guid="{D9DF2AB9-CCB8-40C7-9C85-E4DDD4810EEF}" mergeInterval="0" personalView="1" maximized="1" xWindow="1" yWindow="1" windowWidth="1356" windowHeight="538" tabRatio="695" activeSheetId="19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morgau_fin7 - Личное представление" guid="{5BFCA170-DEAE-4D2C-98A0-1E68B427AC01}" mergeInterval="0" personalView="1" maximized="1" xWindow="1" yWindow="1" windowWidth="1916" windowHeight="850" tabRatio="695" activeSheetId="1"/>
    <customWorkbookView name="morgau_fin2 - Личное представление" guid="{B30CE22D-C12F-4E12-8BB9-3AAE0A6991CC}" mergeInterval="0" personalView="1" maximized="1" xWindow="1" yWindow="1" windowWidth="1276" windowHeight="803" tabRatio="695" activeSheetId="13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</customWorkbookViews>
</workbook>
</file>

<file path=xl/calcChain.xml><?xml version="1.0" encoding="utf-8"?>
<calcChain xmlns="http://schemas.openxmlformats.org/spreadsheetml/2006/main">
  <c r="J15" i="2"/>
  <c r="E102" i="3"/>
  <c r="F102"/>
  <c r="D12" i="7"/>
  <c r="C64" i="6"/>
  <c r="CD14" i="2"/>
  <c r="CS17"/>
  <c r="CD17"/>
  <c r="C42" i="18"/>
  <c r="C78" i="19"/>
  <c r="C71"/>
  <c r="C41"/>
  <c r="D76" i="6"/>
  <c r="C73"/>
  <c r="C44"/>
  <c r="C38" i="4"/>
  <c r="AT28" i="2"/>
  <c r="F28" i="18"/>
  <c r="E28"/>
  <c r="D26"/>
  <c r="C67"/>
  <c r="F72"/>
  <c r="E72"/>
  <c r="D73"/>
  <c r="F29"/>
  <c r="E29"/>
  <c r="C114" i="3"/>
  <c r="C97"/>
  <c r="E92"/>
  <c r="F86" i="15"/>
  <c r="E86"/>
  <c r="F85"/>
  <c r="E85"/>
  <c r="F84"/>
  <c r="E84"/>
  <c r="F83"/>
  <c r="E83"/>
  <c r="D80" i="14"/>
  <c r="C42"/>
  <c r="C39" i="13"/>
  <c r="C42" i="12"/>
  <c r="C45"/>
  <c r="CR17" i="2"/>
  <c r="C40" i="7"/>
  <c r="C46" i="6"/>
  <c r="D41"/>
  <c r="C41"/>
  <c r="CS16" i="2"/>
  <c r="CR16"/>
  <c r="BQ14"/>
  <c r="E51" i="6"/>
  <c r="F51"/>
  <c r="C42"/>
  <c r="D67" i="5"/>
  <c r="C42"/>
  <c r="C16"/>
  <c r="D38" i="4"/>
  <c r="C42"/>
  <c r="BR14" i="2"/>
  <c r="CV26"/>
  <c r="CV22"/>
  <c r="CV21"/>
  <c r="D123" i="3"/>
  <c r="D72"/>
  <c r="D40" i="16"/>
  <c r="D41" i="12"/>
  <c r="E49"/>
  <c r="F49"/>
  <c r="D40" i="11"/>
  <c r="BR25" i="2" l="1"/>
  <c r="CS23"/>
  <c r="CS19"/>
  <c r="CS18"/>
  <c r="CS14" l="1"/>
  <c r="C72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D67" i="6" l="1"/>
  <c r="F33" i="5"/>
  <c r="AE14" i="2"/>
  <c r="CR14"/>
  <c r="C33" i="3"/>
  <c r="CR27" i="2"/>
  <c r="CT27" s="1"/>
  <c r="CR25"/>
  <c r="CT25" s="1"/>
  <c r="CR24"/>
  <c r="CR21"/>
  <c r="CT21" s="1"/>
  <c r="CR19"/>
  <c r="CR18"/>
  <c r="CT18" s="1"/>
  <c r="CS15"/>
  <c r="CR15"/>
  <c r="F79" i="13"/>
  <c r="C90" i="18"/>
  <c r="F90" s="1"/>
  <c r="C77"/>
  <c r="C75" i="17"/>
  <c r="E51"/>
  <c r="F51"/>
  <c r="C38"/>
  <c r="C73" i="16"/>
  <c r="C40"/>
  <c r="E40" s="1"/>
  <c r="E50" i="15"/>
  <c r="F50"/>
  <c r="C75" i="14"/>
  <c r="C41"/>
  <c r="F41" s="1"/>
  <c r="E50"/>
  <c r="F50"/>
  <c r="C77" i="13"/>
  <c r="E75" i="12"/>
  <c r="E72"/>
  <c r="E31"/>
  <c r="F31"/>
  <c r="D29"/>
  <c r="C81" i="11"/>
  <c r="C40"/>
  <c r="E40" s="1"/>
  <c r="E49"/>
  <c r="F49"/>
  <c r="C40" i="10"/>
  <c r="F40" s="1"/>
  <c r="E79" i="9"/>
  <c r="C40"/>
  <c r="E40" s="1"/>
  <c r="E50"/>
  <c r="F50"/>
  <c r="E47" i="8"/>
  <c r="F47"/>
  <c r="E48"/>
  <c r="F48"/>
  <c r="E49"/>
  <c r="F49"/>
  <c r="E50"/>
  <c r="F50"/>
  <c r="C40"/>
  <c r="F40" s="1"/>
  <c r="E28" i="3"/>
  <c r="E29"/>
  <c r="E30"/>
  <c r="E31"/>
  <c r="C75" i="6"/>
  <c r="C66"/>
  <c r="F80" i="5"/>
  <c r="F75"/>
  <c r="C26"/>
  <c r="D41"/>
  <c r="E48"/>
  <c r="F48"/>
  <c r="C41"/>
  <c r="E48" i="12"/>
  <c r="F48"/>
  <c r="E66" i="3"/>
  <c r="E61"/>
  <c r="E56"/>
  <c r="E38"/>
  <c r="G24" i="1"/>
  <c r="E79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8" i="3"/>
  <c r="C108"/>
  <c r="F33" i="1" s="1"/>
  <c r="E110" i="3"/>
  <c r="E111"/>
  <c r="E101"/>
  <c r="E90"/>
  <c r="E73"/>
  <c r="E74"/>
  <c r="E69"/>
  <c r="E70"/>
  <c r="E59"/>
  <c r="D51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35" i="11"/>
  <c r="F35"/>
  <c r="E34"/>
  <c r="F34"/>
  <c r="E33"/>
  <c r="C7" i="8"/>
  <c r="D7" i="5"/>
  <c r="C52" i="4"/>
  <c r="D12"/>
  <c r="C67"/>
  <c r="BP23" i="2"/>
  <c r="BO21"/>
  <c r="D96" i="12"/>
  <c r="ER22" i="2" s="1"/>
  <c r="D26" i="6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1" i="3"/>
  <c r="AQ27" i="2"/>
  <c r="AQ25"/>
  <c r="AQ18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8" i="3"/>
  <c r="G21" i="1" s="1"/>
  <c r="F66" i="3"/>
  <c r="E36" i="18"/>
  <c r="F36"/>
  <c r="E48" i="16"/>
  <c r="F48"/>
  <c r="E46"/>
  <c r="E47"/>
  <c r="E42"/>
  <c r="F42"/>
  <c r="C34" i="15"/>
  <c r="BN25" i="2" s="1"/>
  <c r="E36" i="15"/>
  <c r="F36"/>
  <c r="D34"/>
  <c r="BO25" i="2" s="1"/>
  <c r="E70" i="14"/>
  <c r="D34"/>
  <c r="BO24" i="2" s="1"/>
  <c r="C34" i="14"/>
  <c r="E36" i="12"/>
  <c r="F36"/>
  <c r="C35"/>
  <c r="E42" i="11"/>
  <c r="F42"/>
  <c r="E42" i="8"/>
  <c r="F42"/>
  <c r="E85" i="7"/>
  <c r="D36"/>
  <c r="BR17" i="2" s="1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D33" i="3"/>
  <c r="G15" i="1" s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4" i="3"/>
  <c r="G35" i="1" s="1"/>
  <c r="D35" s="1"/>
  <c r="F117" i="3"/>
  <c r="E117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D67" i="4"/>
  <c r="EF14" i="2" s="1"/>
  <c r="DQ20"/>
  <c r="DQ17"/>
  <c r="D5" i="15"/>
  <c r="D5" i="9"/>
  <c r="C35" i="18"/>
  <c r="BN28" i="2" s="1"/>
  <c r="C34" i="8"/>
  <c r="AP18" i="2"/>
  <c r="AT19"/>
  <c r="AS18"/>
  <c r="E40" i="3"/>
  <c r="F40"/>
  <c r="C51"/>
  <c r="F20" i="1" s="1"/>
  <c r="D64" i="12"/>
  <c r="DZ22" i="2" s="1"/>
  <c r="AQ21"/>
  <c r="D65" i="17"/>
  <c r="D56" i="15"/>
  <c r="D37" i="12"/>
  <c r="BR22" i="2" s="1"/>
  <c r="E15" i="5"/>
  <c r="E16"/>
  <c r="D60" i="4"/>
  <c r="G9" i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8" i="3"/>
  <c r="G38" i="1" s="1"/>
  <c r="C96" i="12"/>
  <c r="EQ22" i="2" s="1"/>
  <c r="D7" i="16"/>
  <c r="E42" i="9"/>
  <c r="F42"/>
  <c r="D83" i="4"/>
  <c r="ER14" i="2" s="1"/>
  <c r="C83" i="4"/>
  <c r="EQ14" i="2" s="1"/>
  <c r="D76" i="4"/>
  <c r="EL14" i="2" s="1"/>
  <c r="C76" i="4"/>
  <c r="D72"/>
  <c r="C72"/>
  <c r="EH14" i="2" s="1"/>
  <c r="D62" i="4"/>
  <c r="C62"/>
  <c r="EB14" i="2" s="1"/>
  <c r="C60" i="4"/>
  <c r="D52"/>
  <c r="D36" i="16"/>
  <c r="D138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7" i="3"/>
  <c r="G29" i="1" s="1"/>
  <c r="C138" i="3"/>
  <c r="F138" s="1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4" i="3"/>
  <c r="D23"/>
  <c r="G12" i="1" s="1"/>
  <c r="BU33" i="2"/>
  <c r="DF33"/>
  <c r="D46" i="3"/>
  <c r="D41"/>
  <c r="C88" i="17"/>
  <c r="EQ27" i="2" s="1"/>
  <c r="DP14"/>
  <c r="D26" i="17"/>
  <c r="D32" i="18"/>
  <c r="D14" i="4"/>
  <c r="C78" i="13"/>
  <c r="EK23" i="2" s="1"/>
  <c r="C26" i="11"/>
  <c r="C26" i="8"/>
  <c r="C32" i="6"/>
  <c r="D67" i="18"/>
  <c r="E67" s="1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D81" i="12"/>
  <c r="EL22" i="2" s="1"/>
  <c r="C81" i="12"/>
  <c r="EK22" i="2" s="1"/>
  <c r="D94" i="8"/>
  <c r="EU18" i="2" s="1"/>
  <c r="D65" i="6"/>
  <c r="D65" i="5"/>
  <c r="D103" i="3"/>
  <c r="G32" i="1" s="1"/>
  <c r="CO19" i="2"/>
  <c r="CO27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F7" s="1"/>
  <c r="C7" i="6"/>
  <c r="C7" i="4"/>
  <c r="D12" i="11"/>
  <c r="C128" i="3"/>
  <c r="F38" i="1" s="1"/>
  <c r="C123" i="3"/>
  <c r="F37" i="1" s="1"/>
  <c r="D120" i="3"/>
  <c r="G36" i="1" s="1"/>
  <c r="C120" i="3"/>
  <c r="F36" i="1" s="1"/>
  <c r="C131" i="3"/>
  <c r="E131" s="1"/>
  <c r="D112"/>
  <c r="C103"/>
  <c r="F32" i="1" s="1"/>
  <c r="D95" i="3"/>
  <c r="G30" i="1" s="1"/>
  <c r="D97" i="3"/>
  <c r="E97" s="1"/>
  <c r="C87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E32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5" s="1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6" s="1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F17" s="1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AZ23" i="2" s="1"/>
  <c r="BA23" s="1"/>
  <c r="E30" i="13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69" s="1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E14" s="1"/>
  <c r="C5"/>
  <c r="E5" s="1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C29"/>
  <c r="AY22" i="2" s="1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C67"/>
  <c r="EB16" i="2" s="1"/>
  <c r="E68" i="6"/>
  <c r="F68"/>
  <c r="E69"/>
  <c r="F69"/>
  <c r="E70"/>
  <c r="F70"/>
  <c r="E71"/>
  <c r="F71"/>
  <c r="D72"/>
  <c r="EF16" i="2" s="1"/>
  <c r="E73" i="6"/>
  <c r="F73"/>
  <c r="E74"/>
  <c r="F74"/>
  <c r="E76"/>
  <c r="F76"/>
  <c r="C79"/>
  <c r="D79"/>
  <c r="EI16" i="2" s="1"/>
  <c r="E80" i="6"/>
  <c r="F80"/>
  <c r="E81"/>
  <c r="F81"/>
  <c r="E82"/>
  <c r="F82"/>
  <c r="C83"/>
  <c r="EK16" i="2" s="1"/>
  <c r="D83" i="6"/>
  <c r="EL16" i="2" s="1"/>
  <c r="E84" i="6"/>
  <c r="F84"/>
  <c r="C85"/>
  <c r="EN16" i="2" s="1"/>
  <c r="D85" i="6"/>
  <c r="EO16" i="2" s="1"/>
  <c r="E86" i="6"/>
  <c r="F86"/>
  <c r="E87"/>
  <c r="F87"/>
  <c r="E88"/>
  <c r="F88"/>
  <c r="F89"/>
  <c r="C90"/>
  <c r="EQ16" i="2" s="1"/>
  <c r="D90" i="6"/>
  <c r="ER16" i="2" s="1"/>
  <c r="E91" i="6"/>
  <c r="F91"/>
  <c r="E92"/>
  <c r="F92"/>
  <c r="E93"/>
  <c r="E94"/>
  <c r="E95"/>
  <c r="C96"/>
  <c r="D96"/>
  <c r="EU16" i="2" s="1"/>
  <c r="E97" i="6"/>
  <c r="F97"/>
  <c r="E98"/>
  <c r="F98"/>
  <c r="E99"/>
  <c r="F99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F60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H9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1"/>
  <c r="F16" i="1" s="1"/>
  <c r="C16" s="1"/>
  <c r="E42" i="3"/>
  <c r="F42"/>
  <c r="C43"/>
  <c r="F17" i="1" s="1"/>
  <c r="D43" i="3"/>
  <c r="G17" i="1" s="1"/>
  <c r="E44" i="3"/>
  <c r="F44"/>
  <c r="F45"/>
  <c r="C46"/>
  <c r="F18" i="1" s="1"/>
  <c r="D49" i="3"/>
  <c r="G19" i="1" s="1"/>
  <c r="D19" s="1"/>
  <c r="E47" i="3"/>
  <c r="F47"/>
  <c r="E48"/>
  <c r="F48"/>
  <c r="C49"/>
  <c r="E50"/>
  <c r="F50"/>
  <c r="E52"/>
  <c r="F52"/>
  <c r="E53"/>
  <c r="F53"/>
  <c r="F54"/>
  <c r="E55"/>
  <c r="F55"/>
  <c r="F56"/>
  <c r="E57"/>
  <c r="F57"/>
  <c r="E58"/>
  <c r="F58"/>
  <c r="F59"/>
  <c r="E60"/>
  <c r="F60"/>
  <c r="F61"/>
  <c r="E62"/>
  <c r="F62"/>
  <c r="E63"/>
  <c r="F63"/>
  <c r="E64"/>
  <c r="F64"/>
  <c r="E65"/>
  <c r="F65"/>
  <c r="E67"/>
  <c r="F67"/>
  <c r="C68"/>
  <c r="F69"/>
  <c r="F70"/>
  <c r="F73"/>
  <c r="F74"/>
  <c r="E75"/>
  <c r="F75"/>
  <c r="E76"/>
  <c r="F76"/>
  <c r="E77"/>
  <c r="F77"/>
  <c r="E78"/>
  <c r="F78"/>
  <c r="F79"/>
  <c r="E80"/>
  <c r="F80"/>
  <c r="F81"/>
  <c r="E88"/>
  <c r="F88"/>
  <c r="E89"/>
  <c r="F89"/>
  <c r="F90"/>
  <c r="E91"/>
  <c r="F91"/>
  <c r="F92"/>
  <c r="E93"/>
  <c r="F93"/>
  <c r="E94"/>
  <c r="F94"/>
  <c r="C95"/>
  <c r="E96"/>
  <c r="F96"/>
  <c r="E98"/>
  <c r="F98"/>
  <c r="E99"/>
  <c r="F99"/>
  <c r="E100"/>
  <c r="F100"/>
  <c r="F101"/>
  <c r="E104"/>
  <c r="F104"/>
  <c r="E105"/>
  <c r="F105"/>
  <c r="E106"/>
  <c r="F106"/>
  <c r="E107"/>
  <c r="F107"/>
  <c r="E109"/>
  <c r="F109"/>
  <c r="F110"/>
  <c r="F111"/>
  <c r="C112"/>
  <c r="F34" i="1" s="1"/>
  <c r="C34" s="1"/>
  <c r="E113" i="3"/>
  <c r="F113"/>
  <c r="E115"/>
  <c r="F115"/>
  <c r="E116"/>
  <c r="F116"/>
  <c r="E118"/>
  <c r="F118"/>
  <c r="E119"/>
  <c r="F119"/>
  <c r="E121"/>
  <c r="F121"/>
  <c r="E122"/>
  <c r="F122"/>
  <c r="E124"/>
  <c r="F124"/>
  <c r="E125"/>
  <c r="F125"/>
  <c r="E126"/>
  <c r="F126"/>
  <c r="E127"/>
  <c r="F127"/>
  <c r="E129"/>
  <c r="F129"/>
  <c r="E130"/>
  <c r="F130"/>
  <c r="E132"/>
  <c r="E133"/>
  <c r="C134"/>
  <c r="F39" i="1" s="1"/>
  <c r="C39" s="1"/>
  <c r="D134" i="3"/>
  <c r="E135"/>
  <c r="F135"/>
  <c r="C136"/>
  <c r="F40" i="1" s="1"/>
  <c r="C40" s="1"/>
  <c r="G40"/>
  <c r="D40" s="1"/>
  <c r="F137" i="3"/>
  <c r="E139"/>
  <c r="F139"/>
  <c r="E140"/>
  <c r="F140"/>
  <c r="E141"/>
  <c r="F141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T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P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T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F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K27" s="1"/>
  <c r="L27"/>
  <c r="O27"/>
  <c r="R27"/>
  <c r="U27"/>
  <c r="X27"/>
  <c r="AA27"/>
  <c r="AD27"/>
  <c r="AG27"/>
  <c r="AL27"/>
  <c r="AX27"/>
  <c r="BJ27"/>
  <c r="BP27"/>
  <c r="BV27"/>
  <c r="BY27"/>
  <c r="CC27"/>
  <c r="CJ27"/>
  <c r="CK27" s="1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G33"/>
  <c r="E36"/>
  <c r="AO22" i="2"/>
  <c r="AO29"/>
  <c r="AO27"/>
  <c r="AO26"/>
  <c r="F38" i="6"/>
  <c r="BS14" i="2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EB15" i="2"/>
  <c r="F40" i="11"/>
  <c r="E40" i="8"/>
  <c r="D9" i="1"/>
  <c r="E41" i="6"/>
  <c r="E74" i="9"/>
  <c r="F74" i="11"/>
  <c r="F72" i="3"/>
  <c r="E72"/>
  <c r="E76" i="12"/>
  <c r="F73" i="17"/>
  <c r="C72"/>
  <c r="EE27" i="2" s="1"/>
  <c r="E73" i="17"/>
  <c r="F80" i="14"/>
  <c r="EE18" i="2"/>
  <c r="E79" i="8"/>
  <c r="F79"/>
  <c r="E73"/>
  <c r="CC20" i="2"/>
  <c r="E37" i="1"/>
  <c r="E38"/>
  <c r="E31"/>
  <c r="C71" i="12"/>
  <c r="C38" i="19"/>
  <c r="F39"/>
  <c r="D25" i="18" l="1"/>
  <c r="D93" i="4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5" i="3"/>
  <c r="E68"/>
  <c r="F26" i="12"/>
  <c r="AR22" i="2"/>
  <c r="F41" i="5"/>
  <c r="F7" i="12"/>
  <c r="E37" i="5"/>
  <c r="C25"/>
  <c r="CH23" i="2"/>
  <c r="Z20"/>
  <c r="ES14"/>
  <c r="F112" i="3"/>
  <c r="E54" i="13"/>
  <c r="N22" i="2"/>
  <c r="F14" i="11"/>
  <c r="DO18" i="2"/>
  <c r="K17"/>
  <c r="E123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79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C40" s="1"/>
  <c r="C52" s="1"/>
  <c r="BN15" i="2"/>
  <c r="F15" s="1"/>
  <c r="F35" i="5"/>
  <c r="F30"/>
  <c r="AU14" i="2"/>
  <c r="F34" i="4"/>
  <c r="F17"/>
  <c r="F5"/>
  <c r="F41" i="1"/>
  <c r="H41" s="1"/>
  <c r="F68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8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5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3" i="3"/>
  <c r="F46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0" i="6"/>
  <c r="DR16" i="2"/>
  <c r="E12" i="6"/>
  <c r="DU16" i="2"/>
  <c r="AI16"/>
  <c r="AC16"/>
  <c r="W16"/>
  <c r="C100" i="5"/>
  <c r="D100"/>
  <c r="ED15" i="2"/>
  <c r="EV15"/>
  <c r="BC35"/>
  <c r="BC33"/>
  <c r="E12" i="4"/>
  <c r="F89"/>
  <c r="F20"/>
  <c r="E23" i="3"/>
  <c r="D142"/>
  <c r="F7"/>
  <c r="F108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79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2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3" i="3"/>
  <c r="E138"/>
  <c r="D25" i="16"/>
  <c r="D39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V31"/>
  <c r="V35" s="1"/>
  <c r="F64" i="15"/>
  <c r="H24" i="1"/>
  <c r="E46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3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6" i="3"/>
  <c r="F64" i="13"/>
  <c r="F71" i="8"/>
  <c r="C97"/>
  <c r="D97" i="14"/>
  <c r="E78" i="13"/>
  <c r="E20" i="12"/>
  <c r="F82" i="15"/>
  <c r="E90" i="5"/>
  <c r="F17" i="15"/>
  <c r="EU17" i="2"/>
  <c r="EV17" s="1"/>
  <c r="E83" i="6"/>
  <c r="E16" i="3"/>
  <c r="F32" i="6"/>
  <c r="CK17" i="2"/>
  <c r="CY33"/>
  <c r="E17" i="6"/>
  <c r="EL15" i="2"/>
  <c r="EM15" s="1"/>
  <c r="F36" i="10"/>
  <c r="K29" i="2"/>
  <c r="F26" i="7"/>
  <c r="E7" i="16"/>
  <c r="E103" i="3"/>
  <c r="F26" i="15"/>
  <c r="E31" i="9"/>
  <c r="D4" i="15"/>
  <c r="E51" i="3"/>
  <c r="E108"/>
  <c r="AP29" i="2"/>
  <c r="AR29" s="1"/>
  <c r="E29" i="15"/>
  <c r="F23" i="3"/>
  <c r="F33"/>
  <c r="D25" i="9"/>
  <c r="F81" i="7"/>
  <c r="F34" i="15"/>
  <c r="E91" i="13"/>
  <c r="F17" i="18"/>
  <c r="DR14" i="2"/>
  <c r="F17" i="11"/>
  <c r="F83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6" i="6"/>
  <c r="E7" i="3"/>
  <c r="N28" i="2"/>
  <c r="F128" i="3"/>
  <c r="D96" i="7"/>
  <c r="C93" i="4"/>
  <c r="AI28" i="2"/>
  <c r="CN21"/>
  <c r="K14"/>
  <c r="EA28"/>
  <c r="D25" i="12"/>
  <c r="CK21" i="2"/>
  <c r="F57" i="6"/>
  <c r="F7"/>
  <c r="DM31" i="2"/>
  <c r="DM35" s="1"/>
  <c r="J3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0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5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7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D25" i="11"/>
  <c r="CJ31" i="2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C98" i="12"/>
  <c r="E71"/>
  <c r="AC26" i="2"/>
  <c r="DU24"/>
  <c r="CH24"/>
  <c r="AO19"/>
  <c r="N19"/>
  <c r="DU18"/>
  <c r="E85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X33" s="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D40" s="1"/>
  <c r="E60" i="4"/>
  <c r="F41" i="18"/>
  <c r="AC25" i="2"/>
  <c r="S31"/>
  <c r="S33" s="1"/>
  <c r="F87" i="15"/>
  <c r="H32" i="1"/>
  <c r="E136" i="3"/>
  <c r="H12" i="1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3" i="3"/>
  <c r="F29" i="4"/>
  <c r="E5"/>
  <c r="E57" i="5"/>
  <c r="D25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1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4" i="3"/>
  <c r="G39" i="1"/>
  <c r="E134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C25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7" i="3"/>
  <c r="C142"/>
  <c r="F87"/>
  <c r="EK18" i="2"/>
  <c r="E80" i="8"/>
  <c r="C25"/>
  <c r="F26"/>
  <c r="E41" i="3"/>
  <c r="G16" i="1"/>
  <c r="F41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0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6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4" i="3"/>
  <c r="F114"/>
  <c r="F120"/>
  <c r="E120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5" i="6"/>
  <c r="C72"/>
  <c r="F75"/>
  <c r="E72" i="7"/>
  <c r="F72"/>
  <c r="F78"/>
  <c r="C75"/>
  <c r="CR31" i="2"/>
  <c r="CT19"/>
  <c r="F72" i="17"/>
  <c r="CN28" i="2"/>
  <c r="F49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49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D25" i="13"/>
  <c r="E29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J33" l="1"/>
  <c r="J35"/>
  <c r="BS15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D52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52" i="18"/>
  <c r="D53" s="1"/>
  <c r="DT35" i="2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1" i="3"/>
  <c r="D82" s="1"/>
  <c r="D83" s="1"/>
  <c r="F4"/>
  <c r="AF31" i="2"/>
  <c r="AE33"/>
  <c r="J10" i="1"/>
  <c r="D10" s="1"/>
  <c r="E10" s="1"/>
  <c r="DR31" i="2"/>
  <c r="DR33" s="1"/>
  <c r="E4" i="15"/>
  <c r="D40"/>
  <c r="D51" s="1"/>
  <c r="D52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52" s="1"/>
  <c r="DG23" i="2"/>
  <c r="J5" i="1"/>
  <c r="D5" s="1"/>
  <c r="C37" i="13"/>
  <c r="C49" s="1"/>
  <c r="C50" s="1"/>
  <c r="DM33" i="2"/>
  <c r="E97" i="8"/>
  <c r="F29" i="2"/>
  <c r="C29" s="1"/>
  <c r="D20"/>
  <c r="P35"/>
  <c r="Q31"/>
  <c r="C53" i="5"/>
  <c r="R33" i="2"/>
  <c r="D24"/>
  <c r="I7" i="1"/>
  <c r="E25" i="9"/>
  <c r="ER35" i="2"/>
  <c r="EM18"/>
  <c r="C20"/>
  <c r="X35"/>
  <c r="CJ33"/>
  <c r="AS33"/>
  <c r="C14"/>
  <c r="J6" i="1"/>
  <c r="D6" s="1"/>
  <c r="CM33" i="2"/>
  <c r="DV35"/>
  <c r="Z19"/>
  <c r="DG22"/>
  <c r="DL16"/>
  <c r="U33"/>
  <c r="DH28"/>
  <c r="EN31"/>
  <c r="EN33" s="1"/>
  <c r="BS28"/>
  <c r="D50" i="16"/>
  <c r="C40" i="15"/>
  <c r="DL22" i="2"/>
  <c r="EG19"/>
  <c r="D40" i="5"/>
  <c r="E142" i="3"/>
  <c r="S35" i="2"/>
  <c r="T31"/>
  <c r="F98" i="12"/>
  <c r="E98"/>
  <c r="CH31" i="2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W33" s="1"/>
  <c r="CE31"/>
  <c r="AU18"/>
  <c r="AT31"/>
  <c r="D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C51" s="1"/>
  <c r="C52" s="1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0" i="6"/>
  <c r="E72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5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1" i="3"/>
  <c r="C39" i="8"/>
  <c r="C51" s="1"/>
  <c r="C52" s="1"/>
  <c r="F142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2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C53" i="17" l="1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0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E39" i="11"/>
  <c r="E100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2" i="3"/>
  <c r="F71"/>
  <c r="E71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D28" i="1"/>
  <c r="E39"/>
  <c r="J21"/>
  <c r="D21" s="1"/>
  <c r="BR33" i="2"/>
  <c r="BR35"/>
  <c r="BS31"/>
  <c r="EQ35"/>
  <c r="EQ33"/>
  <c r="I38" i="1"/>
  <c r="K38" s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5"/>
  <c r="CW33"/>
  <c r="F98" i="17"/>
  <c r="C52" i="14"/>
  <c r="I29" i="1"/>
  <c r="DJ33" i="2"/>
  <c r="DJ35"/>
  <c r="EX27"/>
  <c r="DI27"/>
  <c r="E30" i="1"/>
  <c r="C28"/>
  <c r="K12"/>
  <c r="D12"/>
  <c r="DH31" i="2"/>
  <c r="DL31"/>
  <c r="CA35"/>
  <c r="CB31"/>
  <c r="J24" i="1"/>
  <c r="CA33" i="2"/>
  <c r="DI28" l="1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3" i="3"/>
  <c r="E82"/>
  <c r="F82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E12"/>
  <c r="K24"/>
  <c r="E31" i="2" l="1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J43"/>
  <c r="C27" l="1"/>
  <c r="C43" s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<sst xmlns="http://schemas.openxmlformats.org/spreadsheetml/2006/main" count="2827" uniqueCount="435">
  <si>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</si>
  <si>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</si>
  <si>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</si>
  <si>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</si>
  <si>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</si>
  <si>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</si>
  <si>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</si>
  <si>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</si>
  <si>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</si>
  <si>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</si>
  <si>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</si>
  <si>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</si>
  <si>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</si>
  <si>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</si>
  <si>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</si>
  <si>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</si>
  <si>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</si>
  <si>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</si>
  <si>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</si>
  <si>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</si>
  <si>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</si>
  <si>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</si>
  <si>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</si>
  <si>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</si>
  <si>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</si>
  <si>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</si>
  <si>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</si>
  <si>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</si>
  <si>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</si>
  <si>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</si>
  <si>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</si>
  <si>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</si>
  <si>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</si>
  <si>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</si>
  <si>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</si>
  <si>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</si>
  <si>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</si>
  <si>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</si>
  <si>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</si>
  <si>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</si>
  <si>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</si>
  <si>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</si>
  <si>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</si>
  <si>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</si>
  <si>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</si>
  <si>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</si>
  <si>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</si>
  <si>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</si>
  <si>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</si>
  <si>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</si>
  <si>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</si>
  <si>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</si>
  <si>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</si>
  <si>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</si>
  <si>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</si>
  <si>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</si>
  <si>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</si>
  <si>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</si>
  <si>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</si>
  <si>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</si>
  <si>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</si>
  <si>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</si>
  <si>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</si>
  <si>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</si>
  <si>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</si>
  <si>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</si>
  <si>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</si>
  <si>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</si>
  <si>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</si>
  <si>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</si>
  <si>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</si>
  <si>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</si>
  <si>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</si>
  <si>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</si>
  <si>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</si>
  <si>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</si>
  <si>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</si>
  <si>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</si>
  <si>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</si>
  <si>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</si>
  <si>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</si>
  <si>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</si>
  <si>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</si>
  <si>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</si>
  <si>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</si>
  <si>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</si>
  <si>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</si>
  <si>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</si>
  <si>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</si>
  <si>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</si>
  <si>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</si>
  <si>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</si>
  <si>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</si>
  <si>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</si>
  <si>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</si>
  <si>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</si>
  <si>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</si>
  <si>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</si>
  <si>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</si>
  <si>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</si>
  <si>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</si>
  <si>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</si>
  <si>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</si>
  <si>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</si>
  <si>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</si>
  <si>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</si>
  <si>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</si>
  <si>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</si>
  <si>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</si>
  <si>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</si>
  <si>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</si>
  <si>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</si>
  <si>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</si>
  <si>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</si>
  <si>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</si>
  <si>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</si>
  <si>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</si>
  <si>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</si>
  <si>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</si>
  <si>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</si>
  <si>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</si>
  <si>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</si>
  <si>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</si>
  <si>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</si>
  <si>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</si>
  <si>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</si>
  <si>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</si>
  <si>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</si>
  <si>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</si>
  <si>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</si>
  <si>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</si>
  <si>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</si>
  <si>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</si>
  <si>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</si>
  <si>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</si>
  <si>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</si>
  <si>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</si>
  <si>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</si>
  <si>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</si>
  <si>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</si>
  <si>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</si>
  <si>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</si>
  <si>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</si>
  <si>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</si>
  <si>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</si>
  <si>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</si>
  <si>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</si>
  <si>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</si>
  <si>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</si>
  <si>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</si>
  <si>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</si>
  <si>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</si>
  <si>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</si>
  <si>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</si>
  <si>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</si>
  <si>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</si>
  <si>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</si>
  <si>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</si>
  <si>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</si>
  <si>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</si>
  <si>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</si>
  <si>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</si>
  <si>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</si>
  <si>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</si>
  <si>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</si>
  <si>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</si>
  <si>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</si>
  <si>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</si>
  <si>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</si>
  <si>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</si>
  <si>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</si>
  <si>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</si>
  <si>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</si>
  <si>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</si>
  <si>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</si>
  <si>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</si>
  <si>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</si>
  <si>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</si>
  <si>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</si>
  <si>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</si>
  <si>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</si>
  <si>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</si>
  <si>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</si>
  <si>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</si>
  <si>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</si>
  <si>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</si>
  <si>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</si>
  <si>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</si>
  <si>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</si>
  <si>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</si>
  <si>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</si>
  <si>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</si>
  <si>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</si>
  <si>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</si>
  <si>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</si>
  <si>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</si>
  <si>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</si>
  <si>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</si>
  <si>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</si>
  <si>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</si>
  <si>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</si>
  <si>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</si>
  <si>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</si>
  <si>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</si>
  <si>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</si>
  <si>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</si>
  <si>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</si>
  <si>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</si>
  <si>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</si>
  <si>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</si>
  <si>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</si>
  <si>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</si>
  <si>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</si>
  <si>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</si>
  <si>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</si>
  <si>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</si>
  <si>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</si>
  <si>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</si>
  <si>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</si>
  <si>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</si>
  <si>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</si>
  <si>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</si>
  <si>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</si>
  <si>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</si>
  <si>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</si>
  <si>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</si>
  <si>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</si>
  <si>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</si>
  <si>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</si>
  <si>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</si>
  <si>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</si>
  <si>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</si>
  <si>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</si>
  <si>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</si>
  <si>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</si>
  <si>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</si>
  <si>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</si>
  <si>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</si>
  <si>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</si>
  <si>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</si>
  <si>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</si>
  <si>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</si>
  <si>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</si>
  <si>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</si>
  <si>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</si>
  <si>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</si>
  <si>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</si>
  <si>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</si>
  <si>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</si>
  <si>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</si>
  <si>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</si>
  <si>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</si>
  <si>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</si>
  <si>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</si>
  <si>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</si>
  <si>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</si>
  <si>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</si>
  <si>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</si>
  <si>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</si>
  <si>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</si>
  <si>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</si>
  <si>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</si>
  <si>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</si>
  <si>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</si>
  <si>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</si>
  <si>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</si>
  <si>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</si>
  <si>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</si>
  <si>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</si>
  <si>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</si>
  <si>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</si>
  <si>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</si>
  <si>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</si>
  <si>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</si>
  <si>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</si>
  <si>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</si>
  <si>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</si>
  <si>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</si>
  <si>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</si>
  <si>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</si>
  <si>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</si>
  <si>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</si>
  <si>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</si>
  <si>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</si>
  <si>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</si>
  <si>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</si>
  <si>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</si>
  <si>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</si>
  <si>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</si>
  <si>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</si>
  <si>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</si>
  <si>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</si>
  <si>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</si>
  <si>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</si>
  <si>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</si>
  <si>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</si>
  <si>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</si>
  <si>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</si>
  <si>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</si>
  <si>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</si>
  <si>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</si>
  <si>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</si>
  <si>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</si>
  <si>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</si>
  <si>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</si>
  <si>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</si>
  <si>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</si>
  <si>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</si>
  <si>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</si>
  <si>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</si>
  <si>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</si>
  <si>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</si>
  <si>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</si>
  <si>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</si>
  <si>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</si>
  <si>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</si>
  <si>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</si>
  <si>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</si>
  <si>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</si>
  <si>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</si>
  <si>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</si>
  <si>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</si>
  <si>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</si>
  <si>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</si>
  <si>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</si>
  <si>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</si>
  <si>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</si>
  <si>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</si>
  <si>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</si>
  <si>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</si>
  <si>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</si>
  <si>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</si>
  <si>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</si>
  <si>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</si>
  <si>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</si>
  <si>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</si>
  <si>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</si>
  <si>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</si>
  <si>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</si>
  <si>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</si>
  <si>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</si>
  <si>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</si>
  <si>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</si>
  <si>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</si>
  <si>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</si>
  <si>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</si>
  <si>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</si>
  <si>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</si>
  <si>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</si>
  <si>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</si>
  <si>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</si>
  <si>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</si>
  <si>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</si>
  <si>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</si>
  <si>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</si>
  <si>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</si>
  <si>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</si>
  <si>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</si>
  <si>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</si>
  <si>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</si>
  <si>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</si>
  <si>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</si>
  <si>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</si>
  <si>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</si>
  <si>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</si>
  <si>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</si>
  <si>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</si>
  <si>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</si>
  <si>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</si>
  <si>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</si>
  <si>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</si>
  <si>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</si>
  <si>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</si>
  <si>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</si>
  <si>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</si>
  <si>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</si>
  <si>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</si>
  <si>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</si>
  <si>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</si>
  <si>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</si>
  <si>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</si>
  <si>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</si>
  <si>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</si>
  <si>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</si>
  <si>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</si>
  <si>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</si>
  <si>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</si>
  <si>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</si>
  <si>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</si>
  <si>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</si>
  <si>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</si>
  <si>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</si>
  <si>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</si>
  <si>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</si>
  <si>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</si>
  <si>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</si>
  <si>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</si>
  <si>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</si>
  <si>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</si>
  <si>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</si>
  <si>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</si>
  <si>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</si>
  <si>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</si>
  <si>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</si>
  <si>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</si>
  <si>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</si>
  <si>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</si>
  <si>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</si>
  <si>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</si>
  <si>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</si>
  <si>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</si>
  <si>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Анализ исполнения консолидированного бюджета Моргаушского районана 01.09.2018 г.</t>
  </si>
  <si>
    <t>исполнено на 01.09.2018 г.</t>
  </si>
  <si>
    <t>об исполнении бюджетов поселений  Моргаушского района  на 1 сентября 2018 г.</t>
  </si>
  <si>
    <t xml:space="preserve">исполнено на 01.09.2018 г. </t>
  </si>
  <si>
    <t xml:space="preserve">                          Моргаушского района на 01.09.2018 г. </t>
  </si>
  <si>
    <t xml:space="preserve">                     Анализ исполнения бюджета Александровского сельского поселения на 01.09.2018 г.</t>
  </si>
  <si>
    <t>исполнен на 01.09.2018 г.</t>
  </si>
  <si>
    <t xml:space="preserve">                     Анализ исполнения бюджета Большесундырского сельского поселения на 01.09.2018 г.</t>
  </si>
  <si>
    <t>исполнено на 01.09.2018 г</t>
  </si>
  <si>
    <t xml:space="preserve">                     Анализ исполнения бюджета Ильинского сельского поселения на 01.09.2018 г.</t>
  </si>
  <si>
    <t xml:space="preserve">                     Анализ исполнения бюджета Кадикасинского сельского поселения на 01.09.2018 г.</t>
  </si>
  <si>
    <t xml:space="preserve">                     Анализ исполнения бюджета Моргаушского сельского поселения на 01.09.2018 г.</t>
  </si>
  <si>
    <t xml:space="preserve">                     Анализ исполнения бюджета Москакасинского сельского поселения на 01.09.2018 г.</t>
  </si>
  <si>
    <t xml:space="preserve">                     Анализ исполнения бюджета Орининского сельского поселения на 01.09.2018 г.</t>
  </si>
  <si>
    <t xml:space="preserve">                     Анализ исполнения бюджета Сятракасинского сельского поселения на 01.09.2018 г.</t>
  </si>
  <si>
    <t xml:space="preserve">                     Анализ исполнения бюджета Тораевского сельского поселения на 01.09.2018 г.</t>
  </si>
  <si>
    <t xml:space="preserve">                     Анализ исполнения бюджета Хорнойского сельского поселения на 01.09.2018 г.</t>
  </si>
  <si>
    <t xml:space="preserve">                     Анализ исполнения бюджета Чуманкасинского сельского поселения на 01.09.2018 г.</t>
  </si>
  <si>
    <t xml:space="preserve">                     Анализ исполнения бюджета Шатьмапосинского сельского поселения на 01.09.2018 г.</t>
  </si>
  <si>
    <t xml:space="preserve">                     Анализ исполнения бюджета Юнгинского сельского поселения на 01.09.2018 г.</t>
  </si>
  <si>
    <t>исполнено на 01.09.2018г.</t>
  </si>
  <si>
    <t xml:space="preserve">                     Анализ исполнения бюджета Юськасинского сельского поселения на 01.09.2018 г.</t>
  </si>
  <si>
    <t xml:space="preserve">                     Анализ исполнения бюджета Ярабайкасинского сельского поселения на 01.09.2018 г.</t>
  </si>
  <si>
    <t xml:space="preserve">                     Анализ исполнения бюджета Ярославского сельского поселения на 01.09.2018 г.</t>
  </si>
</sst>
</file>

<file path=xl/styles.xml><?xml version="1.0" encoding="utf-8"?>
<styleSheet xmlns="http://schemas.openxmlformats.org/spreadsheetml/2006/main">
  <numFmts count="2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48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22" fillId="3" borderId="1" xfId="10" applyFont="1" applyFill="1" applyBorder="1" applyAlignment="1">
      <alignment vertical="center" wrapText="1"/>
    </xf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68" fontId="3" fillId="0" borderId="1" xfId="11" applyNumberFormat="1" applyFont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5" borderId="1" xfId="11" applyNumberFormat="1" applyFont="1" applyFill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80" fontId="26" fillId="3" borderId="1" xfId="0" applyNumberFormat="1" applyFont="1" applyFill="1" applyBorder="1" applyAlignment="1">
      <alignment vertical="center" wrapText="1"/>
    </xf>
    <xf numFmtId="175" fontId="3" fillId="0" borderId="1" xfId="11" applyNumberFormat="1" applyFont="1" applyBorder="1" applyAlignment="1">
      <alignment horizontal="right" vertical="center"/>
    </xf>
    <xf numFmtId="172" fontId="7" fillId="0" borderId="0" xfId="8" applyNumberFormat="1" applyFont="1"/>
    <xf numFmtId="177" fontId="3" fillId="0" borderId="0" xfId="9" applyNumberFormat="1" applyFont="1"/>
    <xf numFmtId="167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6" fontId="3" fillId="3" borderId="1" xfId="12" applyNumberFormat="1" applyFont="1" applyFill="1" applyBorder="1" applyAlignment="1">
      <alignment horizontal="right" vertical="center"/>
    </xf>
    <xf numFmtId="169" fontId="3" fillId="3" borderId="1" xfId="12" applyNumberFormat="1" applyFont="1" applyFill="1" applyBorder="1" applyAlignment="1">
      <alignment horizontal="right" vertical="center"/>
    </xf>
    <xf numFmtId="167" fontId="35" fillId="0" borderId="1" xfId="11" applyNumberFormat="1" applyFont="1" applyBorder="1" applyAlignment="1">
      <alignment horizontal="right" vertical="center"/>
    </xf>
    <xf numFmtId="167" fontId="3" fillId="5" borderId="1" xfId="11" applyNumberFormat="1" applyFont="1" applyFill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80" Type="http://schemas.openxmlformats.org/officeDocument/2006/relationships/revisionLog" Target="revisionLog1.xml"/><Relationship Id="rId279" Type="http://schemas.openxmlformats.org/officeDocument/2006/relationships/revisionLog" Target="revisionLog110.xml"/></Relationships>
</file>

<file path=xl/revisions/revisionHeaders.xml><?xml version="1.0" encoding="utf-8"?>
<headers xmlns="http://schemas.openxmlformats.org/spreadsheetml/2006/main" xmlns:r="http://schemas.openxmlformats.org/officeDocument/2006/relationships" guid="{FA0D6D97-4E72-477F-8D3C-7D3B8D9988B8}" diskRevisions="1" revisionId="9532" version="2">
  <header guid="{FE14336F-0E9C-4ED9-934A-BCD775B84B3E}" dateTime="2018-09-06T14:49:35" maxSheetId="22" userName="Бухгалтер 1" r:id="rId279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FA0D6D97-4E72-477F-8D3C-7D3B8D9988B8}" dateTime="2019-05-10T12:56:42" maxSheetId="22" userName="1" r:id="rId28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D9DF2AB9_CCB8_40C7_9C85_E4DDD4810EEF_.wvu.PrintArea" hidden="1" oldHidden="1">
    <formula>Консол!$A$1:$K$50</formula>
  </rdn>
  <rdn rId="0" localSheetId="1" customView="1" name="Z_D9DF2AB9_CCB8_40C7_9C85_E4DDD4810EEF_.wvu.Rows" hidden="1" oldHidden="1">
    <formula>Консол!$22:$22,Консол!$43:$45</formula>
  </rdn>
  <rdn rId="0" localSheetId="2" customView="1" name="Z_D9DF2AB9_CCB8_40C7_9C85_E4DDD4810EEF_.wvu.PrintArea" hidden="1" oldHidden="1">
    <formula>Справка!$A$1:$EY$31</formula>
  </rdn>
  <rdn rId="0" localSheetId="2" customView="1" name="Z_D9DF2AB9_CCB8_40C7_9C85_E4DDD4810EEF_.wvu.Rows" hidden="1" oldHidden="1">
    <formula>Справка!$33:$33</formula>
  </rdn>
  <rdn rId="0" localSheetId="2" customView="1" name="Z_D9DF2AB9_CCB8_40C7_9C85_E4DDD4810EEF_.wvu.Cols" hidden="1" oldHidden="1">
    <formula>Справка!$AV:$AX,Справка!$BB:$BD,Справка!$BH:$BP,Справка!$BT:$BY,Справка!$CX:$DF</formula>
  </rdn>
  <rdn rId="0" localSheetId="3" customView="1" name="Z_D9DF2AB9_CCB8_40C7_9C85_E4DDD4810EEF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</rdn>
  <rdn rId="0" localSheetId="4" customView="1" name="Z_D9DF2AB9_CCB8_40C7_9C85_E4DDD4810EEF_.wvu.Rows" hidden="1" oldHidden="1">
    <formula>Але!$19:$24,Але!$28:$33,Але!$36:$36,Але!$46:$46,Але!$53:$53,Але!$55:$57,Але!$63:$64,Але!$73:$74,Але!$78:$82,Але!$85:$92,Але!$141:$141</formula>
  </rdn>
  <rdn rId="0" localSheetId="5" customView="1" name="Z_D9DF2AB9_CCB8_40C7_9C85_E4DDD4810EEF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</rdn>
  <rdn rId="0" localSheetId="6" customView="1" name="Z_D9DF2AB9_CCB8_40C7_9C85_E4DDD4810EEF_.wvu.PrintArea" hidden="1" oldHidden="1">
    <formula>Иль!$A$1:$F$103</formula>
  </rdn>
  <rdn rId="0" localSheetId="6" customView="1" name="Z_D9DF2AB9_CCB8_40C7_9C85_E4DDD4810EEF_.wvu.Rows" hidden="1" oldHidden="1">
    <formula>Иль!$19:$24,Иль!$30:$39,Иль!$45:$45,Иль!$47:$50,Иль!$58:$58,Иль!$60:$62,Иль!$68:$69,Иль!$77:$78,Иль!$80:$80,Иль!$85:$89,Иль!$92:$99,Иль!$142:$142</formula>
  </rdn>
  <rdn rId="0" localSheetId="7" customView="1" name="Z_D9DF2AB9_CCB8_40C7_9C85_E4DDD4810EEF_.wvu.Rows" hidden="1" oldHidden="1">
    <formula>Кад!$19:$24,Кад!$31:$35,Кад!$38:$38,Кад!$42:$42,Кад!$44:$44,Кад!$46:$46,Кад!$48:$49,Кад!$56:$56,Кад!$58:$60,Кад!$66:$67,Кад!$76:$77,Кад!$81:$85,Кад!$88:$95,Кад!$141:$141</formula>
  </rdn>
  <rdn rId="0" localSheetId="8" customView="1" name="Z_D9DF2AB9_CCB8_40C7_9C85_E4DDD4810EEF_.wvu.PrintArea" hidden="1" oldHidden="1">
    <formula>Мор!$A$1:$F$100</formula>
  </rdn>
  <rdn rId="0" localSheetId="8" customView="1" name="Z_D9DF2AB9_CCB8_40C7_9C85_E4DDD4810EEF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</rdn>
  <rdn rId="0" localSheetId="9" customView="1" name="Z_D9DF2AB9_CCB8_40C7_9C85_E4DDD4810EEF_.wvu.Rows" hidden="1" oldHidden="1">
    <formula>Мос!$19:$24,Мос!$29:$35,Мос!$44:$44,Мос!$46:$49,Мос!$57:$57,Мос!$59:$60,Мос!$67:$68,Мос!$77:$78,Мос!$80:$80,Мос!$83:$90,Мос!$93:$100,Мос!$141:$141</formula>
  </rdn>
  <rdn rId="0" localSheetId="10" customView="1" name="Z_D9DF2AB9_CCB8_40C7_9C85_E4DDD4810EEF_.wvu.Rows" hidden="1" oldHidden="1">
    <formula>Ори!$19:$24,Ори!$31:$35,Ори!$44:$44,Ори!$46:$46,Ори!$48:$50,Ори!$57:$57,Ори!$59:$60,Ори!$67:$68,Ори!$77:$78,Ори!$80:$80,Ори!$83:$87,Ори!$90:$97,Ори!$141:$141</formula>
  </rdn>
  <rdn rId="0" localSheetId="11" customView="1" name="Z_D9DF2AB9_CCB8_40C7_9C85_E4DDD4810EEF_.wvu.Rows" hidden="1" oldHidden="1">
    <formula>Сят!$19:$24,Сят!$31:$35,Сят!$38:$38,Сят!$45:$48,Сят!$57:$57,Сят!$59:$60,Сят!$67:$68,Сят!$77:$78,Сят!$82:$86,Сят!$89:$96,Сят!$142:$142</formula>
  </rdn>
  <rdn rId="0" localSheetId="12" customView="1" name="Z_D9DF2AB9_CCB8_40C7_9C85_E4DDD4810EEF_.wvu.PrintArea" hidden="1" oldHidden="1">
    <formula>Тор!$A$1:$F$101</formula>
  </rdn>
  <rdn rId="0" localSheetId="12" customView="1" name="Z_D9DF2AB9_CCB8_40C7_9C85_E4DDD4810EEF_.wvu.Rows" hidden="1" oldHidden="1">
    <formula>Тор!$19:$24,Тор!$32:$36,Тор!$39:$39,Тор!$46:$47,Тор!$50:$50,Тор!$57:$57,Тор!$59:$60,Тор!$67:$68,Тор!$74:$74,Тор!$78:$79,Тор!$83:$95,Тор!$142:$142</formula>
  </rdn>
  <rdn rId="0" localSheetId="13" customView="1" name="Z_D9DF2AB9_CCB8_40C7_9C85_E4DDD4810EEF_.wvu.Rows" hidden="1" oldHidden="1">
    <formula>Хор!$19:$24,Хор!$28:$36,Хор!$40:$40,Хор!$44:$44,Хор!$46:$48,Хор!$55:$55,Хор!$57:$59,Хор!$65:$66,Хор!$71:$71,Хор!$75:$76,Хор!$80:$84,Хор!$87:$94,Хор!$141:$141</formula>
  </rdn>
  <rdn rId="0" localSheetId="14" customView="1" name="Z_D9DF2AB9_CCB8_40C7_9C85_E4DDD4810EEF_.wvu.Rows" hidden="1" oldHidden="1">
    <formula>Чум!$19:$24,Чум!$31:$36,Чум!$46:$49,Чум!$57:$57,Чум!$59:$61,Чум!$67:$68,Чум!$77:$78,Чум!$82:$86,Чум!$89:$96,Чум!$141:$141</formula>
  </rdn>
  <rdn rId="0" localSheetId="15" customView="1" name="Z_D9DF2AB9_CCB8_40C7_9C85_E4DDD4810EEF_.wvu.Rows" hidden="1" oldHidden="1">
    <formula>Шать!$19:$25,Шать!$31:$33,Шать!$46:$49,Шать!$57:$57,Шать!$59:$60,Шать!$67:$68,Шать!$77:$78,Шать!$83:$85,Шать!$89:$96,Шать!$141:$141</formula>
  </rdn>
  <rdn rId="0" localSheetId="16" customView="1" name="Z_D9DF2AB9_CCB8_40C7_9C85_E4DDD4810EEF_.wvu.PrintArea" hidden="1" oldHidden="1">
    <formula>Юнг!$A$1:$F$99</formula>
  </rdn>
  <rdn rId="0" localSheetId="16" customView="1" name="Z_D9DF2AB9_CCB8_40C7_9C85_E4DDD4810EEF_.wvu.Rows" hidden="1" oldHidden="1">
    <formula>Юнг!$19:$24,Юнг!$31:$35,Юнг!$38:$38,Юнг!$46:$47,Юнг!$56:$56,Юнг!$58:$60,Юнг!$66:$68,Юнг!$76:$77,Юнг!$81:$85,Юнг!$88:$95,Юнг!$141:$141</formula>
  </rdn>
  <rdn rId="0" localSheetId="17" customView="1" name="Z_D9DF2AB9_CCB8_40C7_9C85_E4DDD4810EEF_.wvu.Rows" hidden="1" oldHidden="1">
    <formula>Юсь!$19:$24,Юсь!$31:$33,Юсь!$36:$36,Юсь!$44:$50,Юсь!$58:$58,Юсь!$60:$61,Юсь!$68:$69,Юсь!$78:$79,Юсь!$83:$87,Юсь!$90:$97,Юсь!$141:$141</formula>
  </rdn>
  <rdn rId="0" localSheetId="18" customView="1" name="Z_D9DF2AB9_CCB8_40C7_9C85_E4DDD4810EEF_.wvu.PrintArea" hidden="1" oldHidden="1">
    <formula>Яра!$A$1:$F$102</formula>
  </rdn>
  <rdn rId="0" localSheetId="18" customView="1" name="Z_D9DF2AB9_CCB8_40C7_9C85_E4DDD4810EEF_.wvu.Rows" hidden="1" oldHidden="1">
    <formula>Яра!$19:$24,Яра!$32:$36,Яра!$46:$50,Яра!$58:$58,Яра!$60:$62,Яра!$68:$69,Яра!$79:$80,Яра!$84:$88,Яра!$91:$98,Яра!$143:$143</formula>
  </rdn>
  <rdn rId="0" localSheetId="19" customView="1" name="Z_D9DF2AB9_CCB8_40C7_9C85_E4DDD4810EEF_.wvu.Rows" hidden="1" oldHidden="1">
    <formula>Яро!$19:$24,Яро!$28:$36,Яро!$43:$44,Яро!$46:$46,Яро!$54:$54,Яро!$56:$58,Яро!$64:$65,Яро!$74:$74,Яро!$79:$83,Яро!$86:$93</formula>
  </rdn>
  <rdn rId="0" localSheetId="20" customView="1" name="Z_D9DF2AB9_CCB8_40C7_9C85_E4DDD4810EEF_.wvu.Rows" hidden="1" oldHidden="1">
    <formula>Лист1!$82:$84</formula>
  </rdn>
  <rcv guid="{D9DF2AB9-CCB8-40C7-9C85-E4DDD4810EEF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formula>
    <oldFormula>район!$17:$18,район!$20:$20,район!$25:$25,район!$27:$31,район!$35:$35,район!$38:$38,район!$49:$50,район!$61:$61,район!$74:$74,район!$81:$81,район!$98:$98,район!$104:$104,район!$131:$133,район!$136:$137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Иль!$A$1:$F$103</formula>
    <oldFormula>Иль!$A$1:$F$103</oldFormula>
  </rdn>
  <rdn rId="0" localSheetId="6" customView="1" name="Z_A54C432C_6C68_4B53_A75C_446EB3A61B2B_.wvu.Rows" hidden="1" oldHidden="1">
    <formula>Иль!$19:$24,Иль!$30:$39,Иль!$45:$45,Иль!$47:$50,Иль!$58:$58,Иль!$60:$62,Иль!$68:$69,Иль!$77:$78,Иль!$80:$80,Иль!$85:$89,Иль!$92:$99,Иль!$142:$142</formula>
    <oldFormula>Иль!$19:$24,Иль!$30:$39,Иль!$45:$45,Иль!$47:$50,Иль!$58:$58,Иль!$60:$62,Иль!$68:$69,Иль!$77:$78,Иль!$80:$80,Иль!$85:$89,Иль!$92:$99,Иль!$142:$142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Хор!$19:$24,Хор!$28:$36,Хор!$40:$40,Хор!$44:$44,Хор!$46:$48,Хор!$55:$55,Хор!$57:$59,Хор!$65:$66,Хор!$71:$71,Хор!$75:$76,Хор!$80:$84,Хор!$87:$94,Хор!$141:$141</formula>
    <oldFormula>Хор!$19:$24,Хор!$28:$36,Хор!$40:$40,Хор!$44:$44,Хор!$46:$48,Хор!$55:$55,Хор!$57:$59,Хор!$65:$66,Хор!$71:$71,Хор!$75:$76,Хор!$80:$84,Хор!$87:$94,Хор!$141:$141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Юнг!$19:$24,Юнг!$31:$35,Юнг!$38:$38,Юнг!$46:$47,Юнг!$56:$56,Юнг!$58:$60,Юнг!$66:$68,Юнг!$76:$77,Юнг!$81:$85,Юнг!$88:$95,Юнг!$141:$141</formula>
    <oldFormula>Юнг!$19:$24,Юнг!$31:$35,Юнг!$38:$38,Юнг!$46:$47,Юнг!$56:$56,Юнг!$58:$60,Юнг!$66:$68,Юнг!$76:$77,Юнг!$81:$85,Юнг!$88:$95,Юнг!$141:$141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Юсь!$19:$24,Юсь!$31:$33,Юсь!$36:$36,Юсь!$44:$50,Юсь!$58:$58,Юсь!$60:$61,Юсь!$68:$69,Юсь!$78:$79,Юсь!$83:$87,Юсь!$90:$97,Юсь!$141:$141</formula>
    <oldFormula>Юсь!$19:$24,Юсь!$31:$33,Юсь!$36:$36,Юсь!$44:$50,Юсь!$58:$58,Юсь!$60:$61,Юсь!$68:$69,Юсь!$78:$79,Юсь!$83:$87,Юсь!$90:$97,Юсь!$141:$141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Яра!$19:$24,Яра!$32:$36,Яра!$46:$50,Яра!$58:$58,Яра!$60:$62,Яра!$68:$69,Яра!$79:$80,Яра!$84:$88,Яра!$91:$98,Яра!$143:$143</formula>
    <oldFormula>Яра!$19:$24,Яра!$32:$36,Яра!$46:$50,Яра!$58:$58,Яра!$60:$62,Яра!$68:$69,Яра!$79:$80,Яра!$84:$88,Яра!$91:$98,Яра!$143:$143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Яро!$19:$24,Яро!$28:$36,Яро!$43:$44,Яро!$46:$46,Яро!$54:$54,Яро!$56:$58,Яро!$64:$65,Яро!$74:$74,Яро!$79:$83,Яро!$86:$93</formula>
    <oldFormula>Яро!$19:$24,Яро!$28:$36,Яро!$43:$44,Яро!$46:$46,Яро!$54:$54,Яро!$56:$58,Яро!$64:$65,Яро!$74:$74,Яро!$79:$83,Яро!$86:$93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5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2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8.bin"/><Relationship Id="rId4" Type="http://schemas.openxmlformats.org/officeDocument/2006/relationships/printerSettings" Target="../printerSettings/printerSettings13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topLeftCell="A8" zoomScale="80" zoomScaleNormal="100" zoomScaleSheetLayoutView="80" workbookViewId="0">
      <selection activeCell="J28" sqref="J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07" t="s">
        <v>411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123"/>
      <c r="M1" s="123"/>
      <c r="N1" s="123"/>
      <c r="O1" s="123"/>
    </row>
    <row r="2" spans="1:15" ht="33.75" customHeight="1">
      <c r="A2" s="405" t="s">
        <v>181</v>
      </c>
      <c r="B2" s="406" t="s">
        <v>182</v>
      </c>
      <c r="C2" s="402" t="s">
        <v>183</v>
      </c>
      <c r="D2" s="403"/>
      <c r="E2" s="403"/>
      <c r="F2" s="402" t="s">
        <v>184</v>
      </c>
      <c r="G2" s="403"/>
      <c r="H2" s="403"/>
      <c r="I2" s="402" t="s">
        <v>185</v>
      </c>
      <c r="J2" s="403"/>
      <c r="K2" s="408"/>
    </row>
    <row r="3" spans="1:15" ht="53.25" customHeight="1">
      <c r="A3" s="405"/>
      <c r="B3" s="406"/>
      <c r="C3" s="78" t="s">
        <v>347</v>
      </c>
      <c r="D3" s="78" t="s">
        <v>412</v>
      </c>
      <c r="E3" s="138" t="s">
        <v>332</v>
      </c>
      <c r="F3" s="78" t="s">
        <v>347</v>
      </c>
      <c r="G3" s="78" t="s">
        <v>412</v>
      </c>
      <c r="H3" s="138" t="s">
        <v>332</v>
      </c>
      <c r="I3" s="78" t="s">
        <v>347</v>
      </c>
      <c r="J3" s="78" t="s">
        <v>412</v>
      </c>
      <c r="K3" s="78" t="s">
        <v>332</v>
      </c>
    </row>
    <row r="4" spans="1:15" s="80" customFormat="1" ht="30.75" customHeight="1">
      <c r="A4" s="79" t="s">
        <v>5</v>
      </c>
      <c r="B4" s="76"/>
      <c r="C4" s="306">
        <f>SUM(C5:C13)</f>
        <v>160140.342</v>
      </c>
      <c r="D4" s="306">
        <f>SUM(D5:D13)</f>
        <v>98428.326990000016</v>
      </c>
      <c r="E4" s="306">
        <f>D4/C4*100</f>
        <v>61.463792171743968</v>
      </c>
      <c r="F4" s="306">
        <f>SUM(F5:F13)</f>
        <v>125924</v>
      </c>
      <c r="G4" s="306">
        <f>SUM(G5:G13)</f>
        <v>80447.429810000016</v>
      </c>
      <c r="H4" s="306">
        <f>G4/F4*100</f>
        <v>63.885700748070271</v>
      </c>
      <c r="I4" s="306">
        <f>I5+I7+I6+I8+I10+I11+I12+I13</f>
        <v>34216.342000000004</v>
      </c>
      <c r="J4" s="306">
        <f>J5+J6+J7+J8+J10+J11+J12+J13</f>
        <v>17980.89718</v>
      </c>
      <c r="K4" s="306">
        <f>J4/I4*100</f>
        <v>52.550612160703793</v>
      </c>
    </row>
    <row r="5" spans="1:15" ht="27" customHeight="1">
      <c r="A5" s="81" t="s">
        <v>186</v>
      </c>
      <c r="B5" s="77">
        <v>10102</v>
      </c>
      <c r="C5" s="307">
        <f t="shared" ref="C5:D8" si="0">F5+I5</f>
        <v>109796.9</v>
      </c>
      <c r="D5" s="307">
        <f t="shared" si="0"/>
        <v>68676.676250000004</v>
      </c>
      <c r="E5" s="308">
        <f t="shared" ref="E5:E12" si="1">D5/C5*100</f>
        <v>62.548829930535391</v>
      </c>
      <c r="F5" s="307">
        <f>район!C5</f>
        <v>104690</v>
      </c>
      <c r="G5" s="307">
        <f>район!D5</f>
        <v>65486.838640000002</v>
      </c>
      <c r="H5" s="308">
        <f t="shared" ref="H5:H41" si="2">G5/F5*100</f>
        <v>62.553098328398129</v>
      </c>
      <c r="I5" s="307">
        <f>Справка!I31</f>
        <v>5106.9000000000005</v>
      </c>
      <c r="J5" s="307">
        <f>Справка!J31</f>
        <v>3189.83761</v>
      </c>
      <c r="K5" s="308">
        <f t="shared" ref="K5:K12" si="3">J5/I5*100</f>
        <v>62.461328986273465</v>
      </c>
    </row>
    <row r="6" spans="1:15" ht="41.25" customHeight="1">
      <c r="A6" s="81" t="s">
        <v>284</v>
      </c>
      <c r="B6" s="77">
        <v>10300</v>
      </c>
      <c r="C6" s="307">
        <f t="shared" si="0"/>
        <v>12424.7</v>
      </c>
      <c r="D6" s="307">
        <f t="shared" si="0"/>
        <v>8400.1003000000019</v>
      </c>
      <c r="E6" s="308">
        <f t="shared" si="1"/>
        <v>67.608073434368649</v>
      </c>
      <c r="F6" s="307">
        <f>район!C7</f>
        <v>4367.8600000000006</v>
      </c>
      <c r="G6" s="307">
        <f>район!D7</f>
        <v>2953.0248800000004</v>
      </c>
      <c r="H6" s="308">
        <f t="shared" si="2"/>
        <v>67.608047876992401</v>
      </c>
      <c r="I6" s="307">
        <f>Справка!L31+Справка!R31+Справка!O31</f>
        <v>8056.84</v>
      </c>
      <c r="J6" s="307">
        <f>Справка!M31+Справка!S31+Справка!P31+Справка!V31</f>
        <v>5447.075420000001</v>
      </c>
      <c r="K6" s="308">
        <f t="shared" si="3"/>
        <v>67.608087289805937</v>
      </c>
    </row>
    <row r="7" spans="1:15" ht="19.5" customHeight="1">
      <c r="A7" s="81" t="s">
        <v>187</v>
      </c>
      <c r="B7" s="77">
        <v>10500</v>
      </c>
      <c r="C7" s="307">
        <f t="shared" si="0"/>
        <v>12732</v>
      </c>
      <c r="D7" s="307">
        <f t="shared" si="0"/>
        <v>9900.3387199999997</v>
      </c>
      <c r="E7" s="308">
        <f t="shared" si="1"/>
        <v>77.759493559535031</v>
      </c>
      <c r="F7" s="307">
        <f>район!C12</f>
        <v>12352</v>
      </c>
      <c r="G7" s="307">
        <f>район!D12</f>
        <v>9490.7284</v>
      </c>
      <c r="H7" s="308">
        <f t="shared" si="2"/>
        <v>76.835560233160621</v>
      </c>
      <c r="I7" s="307">
        <f>Справка!X31</f>
        <v>380</v>
      </c>
      <c r="J7" s="307">
        <f>Справка!Y31</f>
        <v>409.61031999999994</v>
      </c>
      <c r="K7" s="308">
        <f t="shared" si="3"/>
        <v>107.79218947368419</v>
      </c>
    </row>
    <row r="8" spans="1:15" ht="19.5" customHeight="1">
      <c r="A8" s="81" t="s">
        <v>188</v>
      </c>
      <c r="B8" s="77">
        <v>10601</v>
      </c>
      <c r="C8" s="307">
        <f t="shared" si="0"/>
        <v>2833.4</v>
      </c>
      <c r="D8" s="307">
        <f t="shared" si="0"/>
        <v>850.13383999999985</v>
      </c>
      <c r="E8" s="308">
        <f t="shared" si="1"/>
        <v>30.00401778781675</v>
      </c>
      <c r="F8" s="307"/>
      <c r="G8" s="307"/>
      <c r="H8" s="308"/>
      <c r="I8" s="307">
        <f>Справка!AA31</f>
        <v>2833.4</v>
      </c>
      <c r="J8" s="307">
        <f>Справка!AB31</f>
        <v>850.13383999999985</v>
      </c>
      <c r="K8" s="308">
        <f t="shared" si="3"/>
        <v>30.00401778781675</v>
      </c>
    </row>
    <row r="9" spans="1:15" ht="19.5" customHeight="1">
      <c r="A9" s="81" t="s">
        <v>285</v>
      </c>
      <c r="B9" s="77">
        <v>10604</v>
      </c>
      <c r="C9" s="307">
        <f>F9</f>
        <v>1915</v>
      </c>
      <c r="D9" s="307">
        <f>G9</f>
        <v>697.14878999999996</v>
      </c>
      <c r="E9" s="308">
        <f t="shared" si="1"/>
        <v>36.404636553524803</v>
      </c>
      <c r="F9" s="307">
        <f>район!C16</f>
        <v>1915</v>
      </c>
      <c r="G9" s="307">
        <f>район!D19</f>
        <v>697.14878999999996</v>
      </c>
      <c r="H9" s="308">
        <f t="shared" si="2"/>
        <v>36.404636553524803</v>
      </c>
      <c r="I9" s="307"/>
      <c r="J9" s="307"/>
      <c r="K9" s="308"/>
    </row>
    <row r="10" spans="1:15" ht="19.5" customHeight="1">
      <c r="A10" s="81" t="s">
        <v>189</v>
      </c>
      <c r="B10" s="77">
        <v>10606</v>
      </c>
      <c r="C10" s="307">
        <f t="shared" ref="C10:D13" si="4">F10+I10</f>
        <v>17689.2</v>
      </c>
      <c r="D10" s="307">
        <f t="shared" si="4"/>
        <v>7979.81178</v>
      </c>
      <c r="E10" s="308">
        <f t="shared" si="1"/>
        <v>45.111207855640728</v>
      </c>
      <c r="F10" s="307"/>
      <c r="G10" s="307"/>
      <c r="H10" s="308">
        <v>0</v>
      </c>
      <c r="I10" s="307">
        <f>Справка!AD31</f>
        <v>17689.2</v>
      </c>
      <c r="J10" s="307">
        <f>Справка!AE31</f>
        <v>7979.81178</v>
      </c>
      <c r="K10" s="308">
        <f t="shared" si="3"/>
        <v>45.111207855640728</v>
      </c>
    </row>
    <row r="11" spans="1:15" ht="33.75" customHeight="1">
      <c r="A11" s="81" t="s">
        <v>190</v>
      </c>
      <c r="B11" s="77">
        <v>10701</v>
      </c>
      <c r="C11" s="307">
        <f t="shared" si="4"/>
        <v>399.14</v>
      </c>
      <c r="D11" s="307">
        <f t="shared" si="4"/>
        <v>9.9229999999999999E-2</v>
      </c>
      <c r="E11" s="308">
        <f t="shared" si="1"/>
        <v>2.4860951044746202E-2</v>
      </c>
      <c r="F11" s="307">
        <f>район!C21</f>
        <v>399.14</v>
      </c>
      <c r="G11" s="307">
        <f>район!D21</f>
        <v>9.9229999999999999E-2</v>
      </c>
      <c r="H11" s="308">
        <f t="shared" si="2"/>
        <v>2.4860951044746202E-2</v>
      </c>
      <c r="I11" s="307"/>
      <c r="J11" s="307"/>
      <c r="K11" s="308">
        <v>0</v>
      </c>
    </row>
    <row r="12" spans="1:15" ht="19.5" customHeight="1">
      <c r="A12" s="81" t="s">
        <v>191</v>
      </c>
      <c r="B12" s="77">
        <v>10800</v>
      </c>
      <c r="C12" s="307">
        <f t="shared" si="4"/>
        <v>2350.002</v>
      </c>
      <c r="D12" s="307">
        <f t="shared" si="4"/>
        <v>1924.0180800000001</v>
      </c>
      <c r="E12" s="308">
        <f t="shared" si="1"/>
        <v>81.873040108050972</v>
      </c>
      <c r="F12" s="307">
        <f>район!C23</f>
        <v>2200</v>
      </c>
      <c r="G12" s="307">
        <f>район!D23</f>
        <v>1819.58987</v>
      </c>
      <c r="H12" s="308">
        <f t="shared" si="2"/>
        <v>82.708630454545457</v>
      </c>
      <c r="I12" s="307">
        <f>Справка!AG31</f>
        <v>150.00200000000001</v>
      </c>
      <c r="J12" s="307">
        <f>Справка!AH31</f>
        <v>104.42821000000001</v>
      </c>
      <c r="K12" s="308">
        <f t="shared" si="3"/>
        <v>69.617878428287625</v>
      </c>
    </row>
    <row r="13" spans="1:15" ht="19.5" customHeight="1">
      <c r="A13" s="81" t="s">
        <v>192</v>
      </c>
      <c r="B13" s="77">
        <v>10900</v>
      </c>
      <c r="C13" s="307">
        <f t="shared" si="4"/>
        <v>0</v>
      </c>
      <c r="D13" s="307">
        <f t="shared" si="4"/>
        <v>0</v>
      </c>
      <c r="E13" s="308"/>
      <c r="F13" s="307">
        <f>район!C27</f>
        <v>0</v>
      </c>
      <c r="G13" s="307">
        <f>район!D27</f>
        <v>0</v>
      </c>
      <c r="H13" s="308"/>
      <c r="I13" s="307">
        <f>Справка!AJ31</f>
        <v>0</v>
      </c>
      <c r="J13" s="307">
        <f>Справка!AK31</f>
        <v>0</v>
      </c>
      <c r="K13" s="308"/>
    </row>
    <row r="14" spans="1:15" s="80" customFormat="1" ht="27" customHeight="1">
      <c r="A14" s="79" t="s">
        <v>13</v>
      </c>
      <c r="B14" s="76"/>
      <c r="C14" s="306">
        <f>SUM(C15:C21)</f>
        <v>29647.399999999998</v>
      </c>
      <c r="D14" s="306">
        <f>SUM(D15:D21)</f>
        <v>19104.019830000001</v>
      </c>
      <c r="E14" s="306">
        <f t="shared" ref="E14:E39" si="5">D14/C14*100</f>
        <v>64.437420583255204</v>
      </c>
      <c r="F14" s="306">
        <f>F15+F16+F17+F18+F20+F21+F19</f>
        <v>26680.1</v>
      </c>
      <c r="G14" s="306">
        <f>G15+G16+G17+G18+G20+G21+G19</f>
        <v>17540.527699999999</v>
      </c>
      <c r="H14" s="306">
        <f t="shared" si="2"/>
        <v>65.743860405320817</v>
      </c>
      <c r="I14" s="309">
        <f>I15+I16+I17+I18+I20+I21+I26</f>
        <v>2967.3</v>
      </c>
      <c r="J14" s="309">
        <f>J15+J16+J17+J18+J20+J21+J26</f>
        <v>1563.4921299999999</v>
      </c>
      <c r="K14" s="306">
        <f>J14/I14*100</f>
        <v>52.69073332659319</v>
      </c>
    </row>
    <row r="15" spans="1:15" ht="52.5" customHeight="1">
      <c r="A15" s="81" t="s">
        <v>193</v>
      </c>
      <c r="B15" s="77">
        <v>11100</v>
      </c>
      <c r="C15" s="307">
        <f t="shared" ref="C15:D22" si="6">F15+I15</f>
        <v>11357.599999999999</v>
      </c>
      <c r="D15" s="307">
        <f t="shared" si="6"/>
        <v>7735.7245599999997</v>
      </c>
      <c r="E15" s="307">
        <f t="shared" si="5"/>
        <v>68.110556455589204</v>
      </c>
      <c r="F15" s="307">
        <f>район!C33</f>
        <v>9536.2999999999993</v>
      </c>
      <c r="G15" s="307">
        <f>район!D33</f>
        <v>7344.8527399999994</v>
      </c>
      <c r="H15" s="307">
        <f t="shared" si="2"/>
        <v>77.019942115914972</v>
      </c>
      <c r="I15" s="307">
        <f>Справка!AP31+Справка!AS31+Справка!AM31</f>
        <v>1821.3</v>
      </c>
      <c r="J15" s="307">
        <f>Справка!AQ31+Справка!AT31+Справка!AN31</f>
        <v>390.87182000000001</v>
      </c>
      <c r="K15" s="308">
        <f>J15/I15*100</f>
        <v>21.461144237632464</v>
      </c>
    </row>
    <row r="16" spans="1:15" ht="33" customHeight="1">
      <c r="A16" s="81" t="s">
        <v>194</v>
      </c>
      <c r="B16" s="77">
        <v>11200</v>
      </c>
      <c r="C16" s="307">
        <f t="shared" si="6"/>
        <v>490</v>
      </c>
      <c r="D16" s="307">
        <f t="shared" si="6"/>
        <v>581.26819999999998</v>
      </c>
      <c r="E16" s="307">
        <f t="shared" si="5"/>
        <v>118.62616326530613</v>
      </c>
      <c r="F16" s="307">
        <f>район!C41</f>
        <v>490</v>
      </c>
      <c r="G16" s="307">
        <f>район!D41</f>
        <v>581.26819999999998</v>
      </c>
      <c r="H16" s="307">
        <f t="shared" si="2"/>
        <v>118.62616326530613</v>
      </c>
      <c r="I16" s="307">
        <v>0</v>
      </c>
      <c r="J16" s="307">
        <v>0</v>
      </c>
      <c r="K16" s="308">
        <v>0</v>
      </c>
    </row>
    <row r="17" spans="1:13" ht="33" customHeight="1">
      <c r="A17" s="81" t="s">
        <v>195</v>
      </c>
      <c r="B17" s="77">
        <v>11300</v>
      </c>
      <c r="C17" s="307">
        <f t="shared" si="6"/>
        <v>1019</v>
      </c>
      <c r="D17" s="307">
        <f t="shared" si="6"/>
        <v>746.43017999999995</v>
      </c>
      <c r="E17" s="307">
        <f>D17/C17*100</f>
        <v>73.251244357212954</v>
      </c>
      <c r="F17" s="307">
        <f>район!C43</f>
        <v>459</v>
      </c>
      <c r="G17" s="307">
        <f>район!D43</f>
        <v>113.39815</v>
      </c>
      <c r="H17" s="307">
        <f t="shared" si="2"/>
        <v>24.705479302832245</v>
      </c>
      <c r="I17" s="307">
        <f>Справка!AY31</f>
        <v>560</v>
      </c>
      <c r="J17" s="307">
        <f>Справка!AZ31</f>
        <v>633.03202999999996</v>
      </c>
      <c r="K17" s="308">
        <f>J17/I17*100</f>
        <v>113.04143392857142</v>
      </c>
    </row>
    <row r="18" spans="1:13" ht="33" customHeight="1">
      <c r="A18" s="81" t="s">
        <v>196</v>
      </c>
      <c r="B18" s="77">
        <v>11400</v>
      </c>
      <c r="C18" s="307">
        <f t="shared" si="6"/>
        <v>7268.8</v>
      </c>
      <c r="D18" s="307">
        <f t="shared" si="6"/>
        <v>2042.8497</v>
      </c>
      <c r="E18" s="307">
        <f t="shared" si="5"/>
        <v>28.104359729253797</v>
      </c>
      <c r="F18" s="307">
        <f>район!C46</f>
        <v>6682.8</v>
      </c>
      <c r="G18" s="307">
        <f>район!D46</f>
        <v>1451.6496999999999</v>
      </c>
      <c r="H18" s="307">
        <f t="shared" si="2"/>
        <v>21.722177829652239</v>
      </c>
      <c r="I18" s="307">
        <f>Справка!BE31</f>
        <v>586</v>
      </c>
      <c r="J18" s="307">
        <f>Справка!BF31</f>
        <v>591.20000000000005</v>
      </c>
      <c r="K18" s="308">
        <f>J18/I18*100</f>
        <v>100.88737201365188</v>
      </c>
    </row>
    <row r="19" spans="1:13" ht="23.25" customHeight="1">
      <c r="A19" s="81" t="s">
        <v>251</v>
      </c>
      <c r="B19" s="77">
        <v>11500</v>
      </c>
      <c r="C19" s="307">
        <f t="shared" si="6"/>
        <v>0</v>
      </c>
      <c r="D19" s="307">
        <f t="shared" si="6"/>
        <v>0</v>
      </c>
      <c r="E19" s="307"/>
      <c r="F19" s="307">
        <f>район!C49</f>
        <v>0</v>
      </c>
      <c r="G19" s="307">
        <f>район!D49</f>
        <v>0</v>
      </c>
      <c r="H19" s="307"/>
      <c r="I19" s="307"/>
      <c r="J19" s="307"/>
      <c r="K19" s="308"/>
    </row>
    <row r="20" spans="1:13" ht="22.5" customHeight="1">
      <c r="A20" s="81" t="s">
        <v>197</v>
      </c>
      <c r="B20" s="77">
        <v>11600</v>
      </c>
      <c r="C20" s="307">
        <f t="shared" si="6"/>
        <v>9512</v>
      </c>
      <c r="D20" s="307">
        <f t="shared" si="6"/>
        <v>8055.3347999999996</v>
      </c>
      <c r="E20" s="307">
        <f t="shared" si="5"/>
        <v>84.686026072329696</v>
      </c>
      <c r="F20" s="307">
        <f>район!C51</f>
        <v>9512</v>
      </c>
      <c r="G20" s="307">
        <f>район!D51</f>
        <v>8041.1589099999992</v>
      </c>
      <c r="H20" s="307">
        <f t="shared" si="2"/>
        <v>84.536994428090821</v>
      </c>
      <c r="I20" s="307">
        <f>Справка!BN31</f>
        <v>0</v>
      </c>
      <c r="J20" s="307">
        <f>Справка!BO31</f>
        <v>14.175890000000001</v>
      </c>
      <c r="K20" s="308">
        <v>0</v>
      </c>
    </row>
    <row r="21" spans="1:13" ht="31.5" customHeight="1">
      <c r="A21" s="81" t="s">
        <v>198</v>
      </c>
      <c r="B21" s="77">
        <v>11700</v>
      </c>
      <c r="C21" s="307">
        <f t="shared" si="6"/>
        <v>0</v>
      </c>
      <c r="D21" s="307">
        <f t="shared" si="6"/>
        <v>-57.587609999999998</v>
      </c>
      <c r="E21" s="307"/>
      <c r="F21" s="307">
        <f>район!C68</f>
        <v>0</v>
      </c>
      <c r="G21" s="307">
        <f>район!D68</f>
        <v>8.1999999999999993</v>
      </c>
      <c r="H21" s="307"/>
      <c r="I21" s="307">
        <f>Справка!BQ31</f>
        <v>0</v>
      </c>
      <c r="J21" s="307">
        <f>Справка!BR31</f>
        <v>-65.787610000000001</v>
      </c>
      <c r="K21" s="308">
        <v>0</v>
      </c>
    </row>
    <row r="22" spans="1:13" ht="45.75" hidden="1" customHeight="1">
      <c r="A22" s="79" t="s">
        <v>199</v>
      </c>
      <c r="B22" s="76">
        <v>30000</v>
      </c>
      <c r="C22" s="306">
        <f t="shared" si="6"/>
        <v>0</v>
      </c>
      <c r="D22" s="306">
        <f t="shared" si="6"/>
        <v>0</v>
      </c>
      <c r="E22" s="306"/>
      <c r="F22" s="306">
        <v>0</v>
      </c>
      <c r="G22" s="306">
        <v>0</v>
      </c>
      <c r="H22" s="306"/>
      <c r="I22" s="306">
        <v>0</v>
      </c>
      <c r="J22" s="306">
        <v>0</v>
      </c>
      <c r="K22" s="306"/>
    </row>
    <row r="23" spans="1:13" ht="36.75" customHeight="1">
      <c r="A23" s="79" t="s">
        <v>19</v>
      </c>
      <c r="B23" s="76">
        <v>10000</v>
      </c>
      <c r="C23" s="309">
        <f>SUM(C4,C14,C22,)</f>
        <v>189787.742</v>
      </c>
      <c r="D23" s="309">
        <f>SUM(D4,D14,)</f>
        <v>117532.34682000002</v>
      </c>
      <c r="E23" s="306">
        <f t="shared" si="5"/>
        <v>61.92831295711396</v>
      </c>
      <c r="F23" s="309">
        <f>SUM(F4,F14,)</f>
        <v>152604.1</v>
      </c>
      <c r="G23" s="310">
        <f>SUM(G4,G14,G22)</f>
        <v>97987.957510000007</v>
      </c>
      <c r="H23" s="306">
        <f t="shared" si="2"/>
        <v>64.210566760657144</v>
      </c>
      <c r="I23" s="309">
        <f>I4+I14</f>
        <v>37183.642000000007</v>
      </c>
      <c r="J23" s="309">
        <f>J4+J14</f>
        <v>19544.389309999999</v>
      </c>
      <c r="K23" s="306">
        <f>J23/I23*100</f>
        <v>52.561794000705994</v>
      </c>
    </row>
    <row r="24" spans="1:13" ht="33" customHeight="1">
      <c r="A24" s="79" t="s">
        <v>200</v>
      </c>
      <c r="B24" s="76">
        <v>20200</v>
      </c>
      <c r="C24" s="311">
        <v>571133.59115999995</v>
      </c>
      <c r="D24" s="311">
        <v>340187.68938</v>
      </c>
      <c r="E24" s="309">
        <f t="shared" si="5"/>
        <v>59.563593289804992</v>
      </c>
      <c r="F24" s="309">
        <f>район!C72</f>
        <v>591472.02116</v>
      </c>
      <c r="G24" s="309">
        <f>район!D72</f>
        <v>352842.54897</v>
      </c>
      <c r="H24" s="306">
        <f t="shared" si="2"/>
        <v>59.654985586300803</v>
      </c>
      <c r="I24" s="309">
        <f>Справка!BZ31</f>
        <v>68039.187389999992</v>
      </c>
      <c r="J24" s="309">
        <f>Справка!CA31</f>
        <v>35578.601910000005</v>
      </c>
      <c r="K24" s="306">
        <f t="shared" ref="K24:K38" si="7">J24/I24*100</f>
        <v>52.291338675260455</v>
      </c>
    </row>
    <row r="25" spans="1:13" ht="33" customHeight="1">
      <c r="A25" s="79" t="s">
        <v>303</v>
      </c>
      <c r="B25" s="76">
        <v>20700</v>
      </c>
      <c r="C25" s="312">
        <f>F25+I25</f>
        <v>3190.2709999999993</v>
      </c>
      <c r="D25" s="312">
        <f>G25+J25</f>
        <v>3172.3895799999996</v>
      </c>
      <c r="E25" s="309">
        <f t="shared" si="5"/>
        <v>99.439501534509148</v>
      </c>
      <c r="F25" s="309"/>
      <c r="G25" s="309"/>
      <c r="H25" s="306"/>
      <c r="I25" s="309">
        <f>Справка!CR31</f>
        <v>3190.2709999999993</v>
      </c>
      <c r="J25" s="309">
        <f>Справка!CS31</f>
        <v>3172.3895799999996</v>
      </c>
      <c r="K25" s="306">
        <f t="shared" si="7"/>
        <v>99.439501534509148</v>
      </c>
    </row>
    <row r="26" spans="1:13" ht="33" customHeight="1">
      <c r="A26" s="79" t="s">
        <v>263</v>
      </c>
      <c r="B26" s="77">
        <v>21900</v>
      </c>
      <c r="C26" s="312">
        <f>F26+I26</f>
        <v>-4.22</v>
      </c>
      <c r="D26" s="312">
        <f>G26+J26</f>
        <v>-369.02165000000002</v>
      </c>
      <c r="E26" s="309"/>
      <c r="F26" s="308">
        <f>район!C80</f>
        <v>-4.22</v>
      </c>
      <c r="G26" s="308">
        <f>район!D80</f>
        <v>-369.02165000000002</v>
      </c>
      <c r="H26" s="306"/>
      <c r="I26" s="308">
        <v>0</v>
      </c>
      <c r="J26" s="308">
        <v>0</v>
      </c>
      <c r="K26" s="308">
        <v>0</v>
      </c>
      <c r="L26" s="83"/>
    </row>
    <row r="27" spans="1:13" ht="29.25" customHeight="1">
      <c r="A27" s="76" t="s">
        <v>201</v>
      </c>
      <c r="B27" s="76"/>
      <c r="C27" s="314">
        <f>C24+C23+C26+C25</f>
        <v>764107.3841599999</v>
      </c>
      <c r="D27" s="314">
        <f>D24+D23+D26+D25</f>
        <v>460523.40413000004</v>
      </c>
      <c r="E27" s="314">
        <f t="shared" si="5"/>
        <v>60.269461292572579</v>
      </c>
      <c r="F27" s="314">
        <f>F24+F23</f>
        <v>744076.12115999998</v>
      </c>
      <c r="G27" s="314">
        <f>G24+G23</f>
        <v>450830.50647999998</v>
      </c>
      <c r="H27" s="314">
        <f t="shared" si="2"/>
        <v>60.589299086384351</v>
      </c>
      <c r="I27" s="314">
        <f>I24+I23</f>
        <v>105222.82939</v>
      </c>
      <c r="J27" s="314">
        <f>J24+J23</f>
        <v>55122.991220000004</v>
      </c>
      <c r="K27" s="313">
        <f t="shared" si="7"/>
        <v>52.386912174439871</v>
      </c>
      <c r="L27" s="95"/>
      <c r="M27" s="83"/>
    </row>
    <row r="28" spans="1:13" ht="29.25" customHeight="1">
      <c r="A28" s="76" t="s">
        <v>202</v>
      </c>
      <c r="B28" s="76"/>
      <c r="C28" s="314">
        <f>C29+C30+C31+C32+C33+C34+C35+C36+C37+C41+C38+C39+C40</f>
        <v>779600.13062999991</v>
      </c>
      <c r="D28" s="314">
        <f>SUM(D29:D41)</f>
        <v>457337.37359000003</v>
      </c>
      <c r="E28" s="314">
        <f t="shared" si="5"/>
        <v>58.663070415396511</v>
      </c>
      <c r="F28" s="314">
        <f>SUM(F29+F30+F31+F32+F33+F34+F35+F36+F37+F38+F39+F40+F41)</f>
        <v>754006.75115999999</v>
      </c>
      <c r="G28" s="314">
        <f>SUM(G29:G41)</f>
        <v>448236.90382999997</v>
      </c>
      <c r="H28" s="314">
        <f t="shared" si="2"/>
        <v>59.447332950323187</v>
      </c>
      <c r="I28" s="314">
        <f>I29+I30+I31+I32+I33+I34+I35+I36+I37+I38+I39+I40+I41</f>
        <v>110784.94585999998</v>
      </c>
      <c r="J28" s="314">
        <f>J29+J30+J31+J32+J33+J34+J35+J36+J37+J38+J39+J40+J41</f>
        <v>54530.107960000001</v>
      </c>
      <c r="K28" s="313">
        <f t="shared" si="7"/>
        <v>49.221586504099783</v>
      </c>
      <c r="L28" s="95"/>
    </row>
    <row r="29" spans="1:13" ht="30.75" customHeight="1">
      <c r="A29" s="81" t="s">
        <v>203</v>
      </c>
      <c r="B29" s="82" t="s">
        <v>30</v>
      </c>
      <c r="C29" s="315">
        <v>60974.962619999998</v>
      </c>
      <c r="D29" s="315">
        <v>36643.281470000002</v>
      </c>
      <c r="E29" s="316">
        <f t="shared" si="5"/>
        <v>60.095619407531842</v>
      </c>
      <c r="F29" s="307">
        <f>район!C87</f>
        <v>38788.901119999995</v>
      </c>
      <c r="G29" s="316">
        <f>район!D87</f>
        <v>23272.675190000002</v>
      </c>
      <c r="H29" s="317">
        <f t="shared" si="2"/>
        <v>59.998284349438165</v>
      </c>
      <c r="I29" s="317">
        <f>Справка!DJ31</f>
        <v>22186.061500000003</v>
      </c>
      <c r="J29" s="317">
        <f>Справка!DK31</f>
        <v>13370.60628</v>
      </c>
      <c r="K29" s="317">
        <f t="shared" si="7"/>
        <v>60.265794719806387</v>
      </c>
    </row>
    <row r="30" spans="1:13" ht="30.75" customHeight="1">
      <c r="A30" s="81" t="s">
        <v>204</v>
      </c>
      <c r="B30" s="82" t="s">
        <v>46</v>
      </c>
      <c r="C30" s="312">
        <f>I30</f>
        <v>1781.5</v>
      </c>
      <c r="D30" s="312">
        <f>J30</f>
        <v>1150.5050999999999</v>
      </c>
      <c r="E30" s="316">
        <f t="shared" si="5"/>
        <v>64.580696042660662</v>
      </c>
      <c r="F30" s="307">
        <f>район!C95</f>
        <v>1781.5</v>
      </c>
      <c r="G30" s="316">
        <f>район!D95</f>
        <v>1481.77</v>
      </c>
      <c r="H30" s="317">
        <f t="shared" si="2"/>
        <v>83.175413976985695</v>
      </c>
      <c r="I30" s="317">
        <f>Справка!DY31</f>
        <v>1781.5</v>
      </c>
      <c r="J30" s="317">
        <f>Справка!DZ31</f>
        <v>1150.5050999999999</v>
      </c>
      <c r="K30" s="317">
        <f t="shared" si="7"/>
        <v>64.580696042660662</v>
      </c>
    </row>
    <row r="31" spans="1:13" ht="33" customHeight="1">
      <c r="A31" s="81" t="s">
        <v>205</v>
      </c>
      <c r="B31" s="82" t="s">
        <v>50</v>
      </c>
      <c r="C31" s="315">
        <v>4884.8485000000001</v>
      </c>
      <c r="D31" s="315">
        <v>3042.9773300000002</v>
      </c>
      <c r="E31" s="316">
        <f t="shared" si="5"/>
        <v>62.294200731097391</v>
      </c>
      <c r="F31" s="307">
        <f>район!C97</f>
        <v>4702.1330000000007</v>
      </c>
      <c r="G31" s="316">
        <f>район!D97</f>
        <v>2989.4277200000001</v>
      </c>
      <c r="H31" s="317">
        <f t="shared" si="2"/>
        <v>63.575992427266513</v>
      </c>
      <c r="I31" s="317">
        <f>Справка!EB31</f>
        <v>226.7655</v>
      </c>
      <c r="J31" s="317">
        <f>Справка!EC31</f>
        <v>53.549610000000001</v>
      </c>
      <c r="K31" s="317">
        <f t="shared" si="7"/>
        <v>23.614531310979846</v>
      </c>
    </row>
    <row r="32" spans="1:13" ht="30" customHeight="1">
      <c r="A32" s="81" t="s">
        <v>206</v>
      </c>
      <c r="B32" s="82" t="s">
        <v>58</v>
      </c>
      <c r="C32" s="315">
        <v>182265.07947</v>
      </c>
      <c r="D32" s="315">
        <v>105733.66847</v>
      </c>
      <c r="E32" s="316">
        <f t="shared" si="5"/>
        <v>58.010930441233143</v>
      </c>
      <c r="F32" s="307">
        <f>район!C103</f>
        <v>163466.815</v>
      </c>
      <c r="G32" s="316">
        <f>район!D103</f>
        <v>95876.811900000001</v>
      </c>
      <c r="H32" s="317">
        <f t="shared" si="2"/>
        <v>58.652156341334482</v>
      </c>
      <c r="I32" s="317">
        <f>Справка!EE31</f>
        <v>34886.041469999989</v>
      </c>
      <c r="J32" s="317">
        <f>Справка!EF31</f>
        <v>17581.038140000001</v>
      </c>
      <c r="K32" s="317">
        <f t="shared" si="7"/>
        <v>50.395623576606397</v>
      </c>
    </row>
    <row r="33" spans="1:12" ht="30" customHeight="1">
      <c r="A33" s="81" t="s">
        <v>207</v>
      </c>
      <c r="B33" s="82" t="s">
        <v>68</v>
      </c>
      <c r="C33" s="315">
        <v>22456.93115</v>
      </c>
      <c r="D33" s="315">
        <v>7004.8293899999999</v>
      </c>
      <c r="E33" s="316">
        <f t="shared" si="5"/>
        <v>31.192282432588748</v>
      </c>
      <c r="F33" s="307">
        <f>район!C108</f>
        <v>9561.2921499999993</v>
      </c>
      <c r="G33" s="316">
        <f>район!D108</f>
        <v>293.70533999999998</v>
      </c>
      <c r="H33" s="317">
        <f t="shared" si="2"/>
        <v>3.071816396699059</v>
      </c>
      <c r="I33" s="317">
        <f>Справка!EH31</f>
        <v>18779.829389999999</v>
      </c>
      <c r="J33" s="317">
        <f>Справка!EI31</f>
        <v>6710.6686800000007</v>
      </c>
      <c r="K33" s="317">
        <f t="shared" si="7"/>
        <v>35.733384689710441</v>
      </c>
    </row>
    <row r="34" spans="1:12" ht="30" customHeight="1">
      <c r="A34" s="81" t="s">
        <v>208</v>
      </c>
      <c r="B34" s="82" t="s">
        <v>76</v>
      </c>
      <c r="C34" s="312">
        <f>F34</f>
        <v>51</v>
      </c>
      <c r="D34" s="312">
        <f>G34</f>
        <v>51</v>
      </c>
      <c r="E34" s="316">
        <f t="shared" si="5"/>
        <v>100</v>
      </c>
      <c r="F34" s="307">
        <f>район!C112</f>
        <v>51</v>
      </c>
      <c r="G34" s="316">
        <f>район!D112</f>
        <v>51</v>
      </c>
      <c r="H34" s="317">
        <f t="shared" si="2"/>
        <v>100</v>
      </c>
      <c r="I34" s="316"/>
      <c r="J34" s="316"/>
      <c r="K34" s="317">
        <v>0</v>
      </c>
    </row>
    <row r="35" spans="1:12" ht="30" customHeight="1">
      <c r="A35" s="81" t="s">
        <v>209</v>
      </c>
      <c r="B35" s="82" t="s">
        <v>80</v>
      </c>
      <c r="C35" s="312">
        <f>F35</f>
        <v>414679.25238999998</v>
      </c>
      <c r="D35" s="312">
        <f>G35</f>
        <v>256639.08021999997</v>
      </c>
      <c r="E35" s="316">
        <f t="shared" si="5"/>
        <v>61.888575022951606</v>
      </c>
      <c r="F35" s="307">
        <f>район!C114</f>
        <v>414679.25238999998</v>
      </c>
      <c r="G35" s="316">
        <f>район!D114</f>
        <v>256639.08021999997</v>
      </c>
      <c r="H35" s="317">
        <f t="shared" si="2"/>
        <v>61.888575022951606</v>
      </c>
      <c r="I35" s="316"/>
      <c r="J35" s="316"/>
      <c r="K35" s="317">
        <v>0</v>
      </c>
    </row>
    <row r="36" spans="1:12" ht="30" customHeight="1">
      <c r="A36" s="81" t="s">
        <v>210</v>
      </c>
      <c r="B36" s="82" t="s">
        <v>86</v>
      </c>
      <c r="C36" s="315">
        <v>54825.696430000004</v>
      </c>
      <c r="D36" s="315">
        <v>31996.063409999999</v>
      </c>
      <c r="E36" s="316">
        <f t="shared" si="5"/>
        <v>58.359611447620594</v>
      </c>
      <c r="F36" s="307">
        <f>район!C120</f>
        <v>48880.600429999999</v>
      </c>
      <c r="G36" s="316">
        <f>район!D120</f>
        <v>29104.85526</v>
      </c>
      <c r="H36" s="317">
        <f t="shared" si="2"/>
        <v>59.542753165808449</v>
      </c>
      <c r="I36" s="317">
        <f>Справка!EK31</f>
        <v>32684.446</v>
      </c>
      <c r="J36" s="317">
        <f>Справка!EL31</f>
        <v>15548.120149999999</v>
      </c>
      <c r="K36" s="317">
        <f t="shared" si="7"/>
        <v>47.570395257732066</v>
      </c>
      <c r="L36" s="83"/>
    </row>
    <row r="37" spans="1:12" ht="30" customHeight="1">
      <c r="A37" s="81" t="s">
        <v>211</v>
      </c>
      <c r="B37" s="82" t="s">
        <v>212</v>
      </c>
      <c r="C37" s="315">
        <v>31610.215459999999</v>
      </c>
      <c r="D37" s="315">
        <v>10906.3483</v>
      </c>
      <c r="E37" s="316">
        <f t="shared" si="5"/>
        <v>34.502606645630244</v>
      </c>
      <c r="F37" s="307">
        <f>район!C123</f>
        <v>31600.215459999996</v>
      </c>
      <c r="G37" s="316">
        <f>район!D123</f>
        <v>10896.3483</v>
      </c>
      <c r="H37" s="317">
        <f t="shared" si="2"/>
        <v>34.481879763740068</v>
      </c>
      <c r="I37" s="317">
        <f>Справка!EN31</f>
        <v>10</v>
      </c>
      <c r="J37" s="317">
        <f>Справка!EO31</f>
        <v>10</v>
      </c>
      <c r="K37" s="317"/>
    </row>
    <row r="38" spans="1:12" ht="30" customHeight="1">
      <c r="A38" s="81" t="s">
        <v>213</v>
      </c>
      <c r="B38" s="82" t="s">
        <v>95</v>
      </c>
      <c r="C38" s="315">
        <v>5990.6446100000003</v>
      </c>
      <c r="D38" s="315">
        <v>4168.9699000000001</v>
      </c>
      <c r="E38" s="316">
        <f t="shared" si="5"/>
        <v>69.591340688794418</v>
      </c>
      <c r="F38" s="307">
        <f>район!C128</f>
        <v>5760.3426099999997</v>
      </c>
      <c r="G38" s="316">
        <f>район!D128</f>
        <v>4063.3499000000002</v>
      </c>
      <c r="H38" s="317">
        <f t="shared" si="2"/>
        <v>70.540073309979746</v>
      </c>
      <c r="I38" s="317">
        <f>Справка!EQ31</f>
        <v>230.30199999999999</v>
      </c>
      <c r="J38" s="317">
        <f>Справка!ER31</f>
        <v>105.62</v>
      </c>
      <c r="K38" s="317">
        <f t="shared" si="7"/>
        <v>45.861520959435879</v>
      </c>
    </row>
    <row r="39" spans="1:12" ht="30" customHeight="1">
      <c r="A39" s="81" t="s">
        <v>214</v>
      </c>
      <c r="B39" s="82" t="s">
        <v>107</v>
      </c>
      <c r="C39" s="307">
        <f>F39</f>
        <v>80</v>
      </c>
      <c r="D39" s="318">
        <f>G39</f>
        <v>0.65</v>
      </c>
      <c r="E39" s="316">
        <f t="shared" si="5"/>
        <v>0.8125</v>
      </c>
      <c r="F39" s="307">
        <f>район!C134</f>
        <v>80</v>
      </c>
      <c r="G39" s="316">
        <f>район!D134</f>
        <v>0.65</v>
      </c>
      <c r="H39" s="317">
        <f t="shared" si="2"/>
        <v>0.8125</v>
      </c>
      <c r="I39" s="317"/>
      <c r="J39" s="317"/>
      <c r="K39" s="317">
        <v>0</v>
      </c>
    </row>
    <row r="40" spans="1:12" ht="34.5" customHeight="1">
      <c r="A40" s="81" t="s">
        <v>215</v>
      </c>
      <c r="B40" s="82" t="s">
        <v>111</v>
      </c>
      <c r="C40" s="307">
        <f>F40</f>
        <v>0</v>
      </c>
      <c r="D40" s="318">
        <f>G40</f>
        <v>0</v>
      </c>
      <c r="E40" s="316"/>
      <c r="F40" s="307">
        <f>район!C136</f>
        <v>0</v>
      </c>
      <c r="G40" s="316">
        <f>район!D136</f>
        <v>0</v>
      </c>
      <c r="H40" s="317">
        <v>0</v>
      </c>
      <c r="I40" s="317"/>
      <c r="J40" s="319"/>
      <c r="K40" s="317">
        <v>0</v>
      </c>
    </row>
    <row r="41" spans="1:12" ht="30" customHeight="1">
      <c r="A41" s="81" t="s">
        <v>216</v>
      </c>
      <c r="B41" s="82" t="s">
        <v>217</v>
      </c>
      <c r="C41" s="307">
        <v>0</v>
      </c>
      <c r="D41" s="318"/>
      <c r="E41" s="316">
        <v>0</v>
      </c>
      <c r="F41" s="307">
        <f>район!C138</f>
        <v>34654.699000000001</v>
      </c>
      <c r="G41" s="316">
        <f>район!D138</f>
        <v>23567.23</v>
      </c>
      <c r="H41" s="317">
        <f t="shared" si="2"/>
        <v>68.005871296126386</v>
      </c>
      <c r="I41" s="317">
        <f>Справка!ET31</f>
        <v>0</v>
      </c>
      <c r="J41" s="319">
        <f>Справка!EU31</f>
        <v>0</v>
      </c>
      <c r="K41" s="317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-15492.746470000013</v>
      </c>
      <c r="D43" s="139">
        <f>D27-D28</f>
        <v>3186.030540000007</v>
      </c>
      <c r="E43" s="139"/>
      <c r="F43" s="139">
        <f>F27-F28</f>
        <v>-9930.6300000000047</v>
      </c>
      <c r="G43" s="139">
        <f>G27-G28</f>
        <v>2593.6026500000153</v>
      </c>
      <c r="H43" s="139"/>
      <c r="I43" s="139">
        <f>I27-I28</f>
        <v>-5562.116469999979</v>
      </c>
      <c r="J43" s="139">
        <f>J27-J28</f>
        <v>592.88326000000234</v>
      </c>
      <c r="K43" s="139"/>
    </row>
    <row r="44" spans="1:12" hidden="1">
      <c r="A44" s="140"/>
      <c r="B44" s="141"/>
      <c r="C44" s="139">
        <f>C43-F44</f>
        <v>-2.9103830456733704E-11</v>
      </c>
      <c r="D44" s="139">
        <f>D43-G44</f>
        <v>-0.45537000001058914</v>
      </c>
      <c r="E44" s="139"/>
      <c r="F44" s="139">
        <f>F43+I43</f>
        <v>-15492.746469999984</v>
      </c>
      <c r="G44" s="139">
        <f>G43+J43</f>
        <v>3186.4859100000176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574323.8621599999</v>
      </c>
      <c r="G45" s="143">
        <f>D28+G44-D23-D26</f>
        <v>343360.53432999999</v>
      </c>
      <c r="H45" s="137"/>
      <c r="I45" s="137"/>
      <c r="J45" s="137"/>
      <c r="K45" s="139"/>
    </row>
    <row r="46" spans="1:12">
      <c r="A46" s="140"/>
      <c r="B46" s="141"/>
      <c r="C46" s="327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04"/>
      <c r="E50" s="404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D9DF2AB9-CCB8-40C7-9C85-E4DDD4810EEF}" scale="80" showPageBreaks="1" printArea="1" hiddenRows="1" view="pageBreakPreview" topLeftCell="A8">
      <selection activeCell="J28" sqref="J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2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3"/>
    </customSheetView>
    <customSheetView guid="{5BFCA170-DEAE-4D2C-98A0-1E68B427AC01}" showPageBreaks="1" printArea="1" hiddenRows="1" topLeftCell="A20">
      <selection activeCell="B100" sqref="B100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4"/>
    </customSheetView>
    <customSheetView guid="{B30CE22D-C12F-4E12-8BB9-3AAE0A6991CC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5"/>
    </customSheetView>
    <customSheetView guid="{A54C432C-6C68-4B53-A75C-446EB3A61B2B}" scale="80" showPageBreaks="1" printArea="1" hiddenRows="1" view="pageBreakPreview" topLeftCell="A8">
      <selection activeCell="J28" sqref="J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6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56" orientation="landscape" r:id="rId7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1"/>
  <sheetViews>
    <sheetView view="pageBreakPreview" topLeftCell="A18" zoomScale="70" zoomScaleNormal="100" zoomScaleSheetLayoutView="70" workbookViewId="0">
      <selection activeCell="C51" activeCellId="1" sqref="C98:D98 C51:D52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0.8554687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424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1042.53161</v>
      </c>
      <c r="E4" s="5">
        <f>SUM(D4/C4*100)</f>
        <v>41.452549105367794</v>
      </c>
      <c r="F4" s="5">
        <f>SUM(D4-C4)</f>
        <v>-1472.46839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147.04988</v>
      </c>
      <c r="E5" s="5">
        <f t="shared" ref="E5:E51" si="0">SUM(D5/C5*100)</f>
        <v>56.061715592832627</v>
      </c>
      <c r="F5" s="5">
        <f t="shared" ref="F5:F51" si="1">SUM(D5-C5)</f>
        <v>-115.25012000000001</v>
      </c>
    </row>
    <row r="6" spans="1:6">
      <c r="A6" s="7">
        <v>1010200001</v>
      </c>
      <c r="B6" s="8" t="s">
        <v>229</v>
      </c>
      <c r="C6" s="9">
        <v>262.3</v>
      </c>
      <c r="D6" s="10">
        <v>147.04988</v>
      </c>
      <c r="E6" s="9">
        <f t="shared" ref="E6:E11" si="2">SUM(D6/C6*100)</f>
        <v>56.061715592832627</v>
      </c>
      <c r="F6" s="9">
        <f t="shared" si="1"/>
        <v>-115.25012000000001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285.77659</v>
      </c>
      <c r="E7" s="9">
        <f t="shared" si="2"/>
        <v>67.607426070499173</v>
      </c>
      <c r="F7" s="9">
        <f t="shared" si="1"/>
        <v>-136.92340999999999</v>
      </c>
    </row>
    <row r="8" spans="1:6">
      <c r="A8" s="7">
        <v>1030223001</v>
      </c>
      <c r="B8" s="8" t="s">
        <v>283</v>
      </c>
      <c r="C8" s="9">
        <v>157.66999999999999</v>
      </c>
      <c r="D8" s="10">
        <v>124.71626000000001</v>
      </c>
      <c r="E8" s="9">
        <f t="shared" si="2"/>
        <v>79.099549692395527</v>
      </c>
      <c r="F8" s="9">
        <f t="shared" si="1"/>
        <v>-32.953739999999982</v>
      </c>
    </row>
    <row r="9" spans="1:6">
      <c r="A9" s="7">
        <v>1030224001</v>
      </c>
      <c r="B9" s="8" t="s">
        <v>289</v>
      </c>
      <c r="C9" s="9">
        <v>1.7</v>
      </c>
      <c r="D9" s="10">
        <v>1.06863</v>
      </c>
      <c r="E9" s="9">
        <f t="shared" si="2"/>
        <v>62.860588235294109</v>
      </c>
      <c r="F9" s="9">
        <f t="shared" si="1"/>
        <v>-0.63136999999999999</v>
      </c>
    </row>
    <row r="10" spans="1:6">
      <c r="A10" s="7">
        <v>1030225001</v>
      </c>
      <c r="B10" s="8" t="s">
        <v>282</v>
      </c>
      <c r="C10" s="9">
        <v>263.33</v>
      </c>
      <c r="D10" s="10">
        <v>189.06715</v>
      </c>
      <c r="E10" s="9">
        <f t="shared" si="2"/>
        <v>71.79856074127521</v>
      </c>
      <c r="F10" s="9">
        <f t="shared" si="1"/>
        <v>-74.262849999999986</v>
      </c>
    </row>
    <row r="11" spans="1:6">
      <c r="A11" s="7">
        <v>1030265001</v>
      </c>
      <c r="B11" s="8" t="s">
        <v>291</v>
      </c>
      <c r="C11" s="9">
        <v>0</v>
      </c>
      <c r="D11" s="10">
        <v>-29.07545</v>
      </c>
      <c r="E11" s="9" t="e">
        <f t="shared" si="2"/>
        <v>#DIV/0!</v>
      </c>
      <c r="F11" s="9">
        <f t="shared" si="1"/>
        <v>-29.07545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569.97910000000002</v>
      </c>
      <c r="E14" s="5">
        <f t="shared" si="0"/>
        <v>32.021297752808991</v>
      </c>
      <c r="F14" s="5">
        <f t="shared" si="1"/>
        <v>-1210.0209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54.549169999999997</v>
      </c>
      <c r="E15" s="9">
        <f t="shared" si="0"/>
        <v>34.093231250000002</v>
      </c>
      <c r="F15" s="9">
        <f>SUM(D15-C15)</f>
        <v>-105.45083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515.42993000000001</v>
      </c>
      <c r="E16" s="9">
        <f t="shared" si="0"/>
        <v>31.816662345679013</v>
      </c>
      <c r="F16" s="9">
        <f t="shared" si="1"/>
        <v>-1104.57007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4.01</v>
      </c>
      <c r="E17" s="5">
        <f t="shared" si="0"/>
        <v>40.099999999999994</v>
      </c>
      <c r="F17" s="5">
        <f t="shared" si="1"/>
        <v>-5.99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4.01</v>
      </c>
      <c r="E18" s="9">
        <f t="shared" si="0"/>
        <v>40.099999999999994</v>
      </c>
      <c r="F18" s="9">
        <f t="shared" si="1"/>
        <v>-5.99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64.886739999999989</v>
      </c>
      <c r="E25" s="5">
        <f t="shared" si="0"/>
        <v>34.643214095034693</v>
      </c>
      <c r="F25" s="5">
        <f t="shared" si="1"/>
        <v>-122.41326000000002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64.988519999999994</v>
      </c>
      <c r="E26" s="5">
        <f t="shared" si="0"/>
        <v>47.333226511289141</v>
      </c>
      <c r="F26" s="5">
        <f t="shared" si="1"/>
        <v>-72.311480000000017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28.988520000000001</v>
      </c>
      <c r="E27" s="9">
        <f t="shared" si="0"/>
        <v>27.016328052190126</v>
      </c>
      <c r="F27" s="9">
        <f t="shared" si="1"/>
        <v>-78.311479999999989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36</v>
      </c>
      <c r="E28" s="9">
        <f t="shared" si="0"/>
        <v>120</v>
      </c>
      <c r="F28" s="9">
        <f t="shared" si="1"/>
        <v>6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0</v>
      </c>
      <c r="E29" s="5">
        <f t="shared" si="0"/>
        <v>0</v>
      </c>
      <c r="F29" s="5">
        <f t="shared" si="1"/>
        <v>-50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0</v>
      </c>
      <c r="E30" s="9">
        <f t="shared" si="0"/>
        <v>0</v>
      </c>
      <c r="F30" s="9">
        <f t="shared" si="1"/>
        <v>-50</v>
      </c>
    </row>
    <row r="31" spans="1:6" ht="15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-0.10178</v>
      </c>
      <c r="E36" s="5" t="e">
        <f t="shared" si="0"/>
        <v>#DIV/0!</v>
      </c>
      <c r="F36" s="5">
        <f t="shared" si="1"/>
        <v>-0.10178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-0.10178</v>
      </c>
      <c r="E37" s="9" t="e">
        <f t="shared" si="0"/>
        <v>#DIV/0!</v>
      </c>
      <c r="F37" s="9">
        <f t="shared" si="1"/>
        <v>-0.10178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1107.4183499999999</v>
      </c>
      <c r="E39" s="5">
        <f t="shared" si="0"/>
        <v>40.980585057173514</v>
      </c>
      <c r="F39" s="5">
        <f t="shared" si="1"/>
        <v>-1594.8816500000003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3190.6099999999997</v>
      </c>
      <c r="D40" s="5">
        <f>D41+D43+D45+D46+D48+D49+D42+D47</f>
        <v>2495.9343500000004</v>
      </c>
      <c r="E40" s="5">
        <f t="shared" si="0"/>
        <v>78.227497249742243</v>
      </c>
      <c r="F40" s="5">
        <f t="shared" si="1"/>
        <v>-694.67564999999922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988.90200000000004</v>
      </c>
      <c r="E41" s="9">
        <f t="shared" si="0"/>
        <v>72.833665008536158</v>
      </c>
      <c r="F41" s="9">
        <f t="shared" si="1"/>
        <v>-368.85199999999986</v>
      </c>
    </row>
    <row r="42" spans="1:7" ht="17.25" customHeight="1">
      <c r="A42" s="16">
        <v>2021500200</v>
      </c>
      <c r="B42" s="17" t="s">
        <v>232</v>
      </c>
      <c r="C42" s="12">
        <v>320</v>
      </c>
      <c r="D42" s="20">
        <v>160</v>
      </c>
      <c r="E42" s="9">
        <f>SUM(D42/C42*100)</f>
        <v>50</v>
      </c>
      <c r="F42" s="9">
        <f>SUM(D42-C42)</f>
        <v>-160</v>
      </c>
    </row>
    <row r="43" spans="1:7" ht="19.5" customHeight="1">
      <c r="A43" s="16">
        <v>2022000000</v>
      </c>
      <c r="B43" s="17" t="s">
        <v>22</v>
      </c>
      <c r="C43" s="12">
        <v>1047.7360000000001</v>
      </c>
      <c r="D43" s="10">
        <v>912.74599999999998</v>
      </c>
      <c r="E43" s="9">
        <f t="shared" si="0"/>
        <v>87.116029228737005</v>
      </c>
      <c r="F43" s="9">
        <f t="shared" si="1"/>
        <v>-134.99000000000012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155.91999999999999</v>
      </c>
      <c r="D45" s="252">
        <v>125.104</v>
      </c>
      <c r="E45" s="9">
        <f t="shared" si="0"/>
        <v>80.23601847101078</v>
      </c>
      <c r="F45" s="9">
        <f t="shared" si="1"/>
        <v>-30.815999999999988</v>
      </c>
    </row>
    <row r="46" spans="1:7" ht="17.2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3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93">
        <f>C39+C40</f>
        <v>5892.91</v>
      </c>
      <c r="D51" s="395">
        <f>D39+D40</f>
        <v>3603.3527000000004</v>
      </c>
      <c r="E51" s="5">
        <f t="shared" si="0"/>
        <v>61.147254921592229</v>
      </c>
      <c r="F51" s="5">
        <f t="shared" si="1"/>
        <v>-2289.5572999999995</v>
      </c>
      <c r="G51" s="296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-67.270619999999326</v>
      </c>
      <c r="E52" s="22"/>
      <c r="F52" s="22"/>
    </row>
    <row r="53" spans="1:7" ht="23.25" customHeight="1">
      <c r="A53" s="23"/>
      <c r="B53" s="24"/>
      <c r="C53" s="243"/>
      <c r="D53" s="243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412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1322.2574999999999</v>
      </c>
      <c r="D56" s="33">
        <f>D57+D58+D59+D60+D61+D63+D62</f>
        <v>757.93014000000005</v>
      </c>
      <c r="E56" s="34">
        <f>SUM(D56/C56*100)</f>
        <v>57.320918202392498</v>
      </c>
      <c r="F56" s="34">
        <f>SUM(D56-C56)</f>
        <v>-564.32735999999989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753.82664</v>
      </c>
      <c r="E58" s="38">
        <f t="shared" ref="E58:E98" si="3">SUM(D58/C58*100)</f>
        <v>57.405806173533335</v>
      </c>
      <c r="F58" s="38">
        <f t="shared" ref="F58:F98" si="4">SUM(D58-C58)</f>
        <v>-559.32736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4.1035000000000004</v>
      </c>
      <c r="D63" s="37">
        <v>4.1035000000000004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85.169780000000003</v>
      </c>
      <c r="E64" s="34">
        <f t="shared" si="3"/>
        <v>56.448313571622663</v>
      </c>
      <c r="F64" s="34">
        <f t="shared" si="4"/>
        <v>-65.711219999999997</v>
      </c>
    </row>
    <row r="65" spans="1:7">
      <c r="A65" s="43" t="s">
        <v>48</v>
      </c>
      <c r="B65" s="44" t="s">
        <v>49</v>
      </c>
      <c r="C65" s="37">
        <v>150.881</v>
      </c>
      <c r="D65" s="37">
        <v>85.169780000000003</v>
      </c>
      <c r="E65" s="38">
        <f t="shared" si="3"/>
        <v>56.448313571622663</v>
      </c>
      <c r="F65" s="38">
        <f t="shared" si="4"/>
        <v>-65.711219999999997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8.6155000000000008</v>
      </c>
      <c r="D66" s="32">
        <f>D70+D69+D68+D67</f>
        <v>6.9649999999999999</v>
      </c>
      <c r="E66" s="34">
        <f t="shared" si="3"/>
        <v>80.842667285705986</v>
      </c>
      <c r="F66" s="34">
        <f t="shared" si="4"/>
        <v>-1.650500000000001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1.9655</v>
      </c>
      <c r="D69" s="37">
        <v>1.9650000000000001</v>
      </c>
      <c r="E69" s="38">
        <f t="shared" si="3"/>
        <v>99.974561180361235</v>
      </c>
      <c r="F69" s="38">
        <f t="shared" si="4"/>
        <v>-4.9999999999994493E-4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5</v>
      </c>
      <c r="E70" s="38">
        <f>SUM(D70/C70*100)</f>
        <v>75.187969924812023</v>
      </c>
      <c r="F70" s="38">
        <f>SUM(D70-C70)</f>
        <v>-1.6500000000000004</v>
      </c>
    </row>
    <row r="71" spans="1:7" s="6" customFormat="1">
      <c r="A71" s="30" t="s">
        <v>58</v>
      </c>
      <c r="B71" s="31" t="s">
        <v>59</v>
      </c>
      <c r="C71" s="48">
        <f>SUM(C72:C75)</f>
        <v>2156.7305099999999</v>
      </c>
      <c r="D71" s="48">
        <f>SUM(D72:D75)</f>
        <v>1579.8311999999999</v>
      </c>
      <c r="E71" s="34">
        <f t="shared" si="3"/>
        <v>73.251210231175335</v>
      </c>
      <c r="F71" s="34">
        <f t="shared" si="4"/>
        <v>-576.89931000000001</v>
      </c>
    </row>
    <row r="72" spans="1:7" ht="17.25" customHeight="1">
      <c r="A72" s="35" t="s">
        <v>60</v>
      </c>
      <c r="B72" s="39" t="s">
        <v>61</v>
      </c>
      <c r="C72" s="49">
        <v>15.189</v>
      </c>
      <c r="D72" s="37">
        <v>0</v>
      </c>
      <c r="E72" s="38">
        <f t="shared" si="3"/>
        <v>0</v>
      </c>
      <c r="F72" s="38">
        <f t="shared" si="4"/>
        <v>-15.189</v>
      </c>
    </row>
    <row r="73" spans="1:7" s="6" customFormat="1" ht="17.25" customHeight="1">
      <c r="A73" s="35" t="s">
        <v>62</v>
      </c>
      <c r="B73" s="39" t="s">
        <v>63</v>
      </c>
      <c r="C73" s="49">
        <v>132.322</v>
      </c>
      <c r="D73" s="37">
        <v>48.737200000000001</v>
      </c>
      <c r="E73" s="38">
        <f t="shared" si="3"/>
        <v>36.83227278910536</v>
      </c>
      <c r="F73" s="38">
        <f t="shared" si="4"/>
        <v>-83.584800000000001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1521.2439999999999</v>
      </c>
      <c r="E74" s="38">
        <f t="shared" si="3"/>
        <v>83.163556461301908</v>
      </c>
      <c r="F74" s="38">
        <f t="shared" si="4"/>
        <v>-307.97550999999999</v>
      </c>
    </row>
    <row r="75" spans="1:7">
      <c r="A75" s="35" t="s">
        <v>66</v>
      </c>
      <c r="B75" s="39" t="s">
        <v>67</v>
      </c>
      <c r="C75" s="49">
        <v>180</v>
      </c>
      <c r="D75" s="37">
        <v>9.85</v>
      </c>
      <c r="E75" s="38">
        <f t="shared" si="3"/>
        <v>5.4722222222222223</v>
      </c>
      <c r="F75" s="38">
        <f t="shared" si="4"/>
        <v>-170.15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830.15899999999999</v>
      </c>
      <c r="D76" s="32">
        <f>SUM(D77:D80)</f>
        <v>738.38620000000003</v>
      </c>
      <c r="E76" s="34">
        <f t="shared" si="3"/>
        <v>88.945153880160305</v>
      </c>
      <c r="F76" s="34">
        <f t="shared" si="4"/>
        <v>-91.772799999999961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830.15899999999999</v>
      </c>
      <c r="D79" s="37">
        <v>738.38620000000003</v>
      </c>
      <c r="E79" s="38">
        <f t="shared" si="3"/>
        <v>88.945153880160305</v>
      </c>
      <c r="F79" s="38">
        <f t="shared" si="4"/>
        <v>-91.772799999999961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1534</v>
      </c>
      <c r="D81" s="32">
        <f>SUM(D82)</f>
        <v>502.34100000000001</v>
      </c>
      <c r="E81" s="34">
        <f t="shared" si="3"/>
        <v>32.747131681877448</v>
      </c>
      <c r="F81" s="34">
        <f t="shared" si="4"/>
        <v>-1031.6590000000001</v>
      </c>
    </row>
    <row r="82" spans="1:6" ht="16.5" customHeight="1">
      <c r="A82" s="35" t="s">
        <v>88</v>
      </c>
      <c r="B82" s="39" t="s">
        <v>234</v>
      </c>
      <c r="C82" s="37">
        <v>1534</v>
      </c>
      <c r="D82" s="37">
        <v>502.34100000000001</v>
      </c>
      <c r="E82" s="38">
        <f t="shared" si="3"/>
        <v>32.747131681877448</v>
      </c>
      <c r="F82" s="38">
        <f t="shared" si="4"/>
        <v>-1031.6590000000001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396">
        <f>C56+C64+C66+C71+C76+C81+C83+C88+C94</f>
        <v>6004.6435099999999</v>
      </c>
      <c r="D98" s="396">
        <f>D56+D64+D66+D71+D76+D81+D83+D88+D94</f>
        <v>3670.6233199999997</v>
      </c>
      <c r="E98" s="34">
        <f t="shared" si="3"/>
        <v>61.129745902267551</v>
      </c>
      <c r="F98" s="34">
        <f t="shared" si="4"/>
        <v>-2334.0201900000002</v>
      </c>
    </row>
    <row r="99" spans="1:6" ht="20.25" customHeight="1">
      <c r="C99" s="347"/>
      <c r="D99" s="348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  <row r="141" hidden="1"/>
  </sheetData>
  <customSheetViews>
    <customSheetView guid="{D9DF2AB9-CCB8-40C7-9C85-E4DDD4810EEF}" scale="70" showPageBreaks="1" hiddenRows="1" view="pageBreakPreview" topLeftCell="A1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3" orientation="portrait" r:id="rId1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3"/>
    </customSheetView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4"/>
    </customSheetView>
    <customSheetView guid="{B30CE22D-C12F-4E12-8BB9-3AAE0A6991CC}" scale="70" showPageBreaks="1" hiddenRows="1" view="pageBreakPreview" topLeftCell="A42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1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3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3" orientation="portrait" r:id="rId7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2"/>
  <sheetViews>
    <sheetView view="pageBreakPreview" topLeftCell="A64" zoomScale="70" zoomScaleNormal="100" zoomScaleSheetLayoutView="70" workbookViewId="0">
      <selection activeCell="C97" activeCellId="1" sqref="C51:D52 C97:D97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9.140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425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1020.62069</v>
      </c>
      <c r="E4" s="5">
        <f>SUM(D4/C4*100)</f>
        <v>58.690091431857383</v>
      </c>
      <c r="F4" s="5">
        <f>SUM(D4-C4)</f>
        <v>-718.37931000000003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67.200050000000005</v>
      </c>
      <c r="E5" s="5">
        <f t="shared" ref="E5:E51" si="0">SUM(D5/C5*100)</f>
        <v>62.164708603145243</v>
      </c>
      <c r="F5" s="5">
        <f t="shared" ref="F5:F51" si="1">SUM(D5-C5)</f>
        <v>-40.89994999999999</v>
      </c>
    </row>
    <row r="6" spans="1:6">
      <c r="A6" s="7">
        <v>1010200001</v>
      </c>
      <c r="B6" s="8" t="s">
        <v>229</v>
      </c>
      <c r="C6" s="9">
        <v>108.1</v>
      </c>
      <c r="D6" s="10">
        <v>67.200050000000005</v>
      </c>
      <c r="E6" s="9">
        <f t="shared" ref="E6:E11" si="2">SUM(D6/C6*100)</f>
        <v>62.164708603145243</v>
      </c>
      <c r="F6" s="9">
        <f t="shared" si="1"/>
        <v>-40.89994999999999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352.16915</v>
      </c>
      <c r="E7" s="9">
        <f t="shared" si="2"/>
        <v>67.607822998656175</v>
      </c>
      <c r="F7" s="9">
        <f t="shared" si="1"/>
        <v>-168.73084999999998</v>
      </c>
    </row>
    <row r="8" spans="1:6">
      <c r="A8" s="7">
        <v>1030223001</v>
      </c>
      <c r="B8" s="8" t="s">
        <v>283</v>
      </c>
      <c r="C8" s="9">
        <v>194.3</v>
      </c>
      <c r="D8" s="10">
        <v>153.69073</v>
      </c>
      <c r="E8" s="9">
        <f t="shared" si="2"/>
        <v>79.0997066392177</v>
      </c>
      <c r="F8" s="9">
        <f t="shared" si="1"/>
        <v>-40.609270000000009</v>
      </c>
    </row>
    <row r="9" spans="1:6">
      <c r="A9" s="7">
        <v>1030224001</v>
      </c>
      <c r="B9" s="8" t="s">
        <v>289</v>
      </c>
      <c r="C9" s="9">
        <v>2.1</v>
      </c>
      <c r="D9" s="10">
        <v>1.3168500000000001</v>
      </c>
      <c r="E9" s="9">
        <f t="shared" si="2"/>
        <v>62.707142857142863</v>
      </c>
      <c r="F9" s="9">
        <f t="shared" si="1"/>
        <v>-0.78315000000000001</v>
      </c>
    </row>
    <row r="10" spans="1:6">
      <c r="A10" s="7">
        <v>1030225001</v>
      </c>
      <c r="B10" s="8" t="s">
        <v>282</v>
      </c>
      <c r="C10" s="9">
        <v>324.5</v>
      </c>
      <c r="D10" s="10">
        <v>232.99185</v>
      </c>
      <c r="E10" s="9">
        <f t="shared" si="2"/>
        <v>71.800261941448383</v>
      </c>
      <c r="F10" s="9">
        <f t="shared" si="1"/>
        <v>-91.508150000000001</v>
      </c>
    </row>
    <row r="11" spans="1:6">
      <c r="A11" s="7">
        <v>1030226001</v>
      </c>
      <c r="B11" s="8" t="s">
        <v>291</v>
      </c>
      <c r="C11" s="9">
        <v>0</v>
      </c>
      <c r="D11" s="10">
        <v>-35.830280000000002</v>
      </c>
      <c r="E11" s="9" t="e">
        <f t="shared" si="2"/>
        <v>#DIV/0!</v>
      </c>
      <c r="F11" s="9">
        <f t="shared" si="1"/>
        <v>-35.830280000000002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555.87405000000001</v>
      </c>
      <c r="E14" s="5">
        <f t="shared" si="0"/>
        <v>52.440948113207554</v>
      </c>
      <c r="F14" s="5">
        <f t="shared" si="1"/>
        <v>-504.12594999999999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45.403060000000004</v>
      </c>
      <c r="E15" s="9">
        <f t="shared" si="0"/>
        <v>34.925430769230772</v>
      </c>
      <c r="F15" s="9">
        <f>SUM(D15-C15)</f>
        <v>-84.596939999999989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510.47098999999997</v>
      </c>
      <c r="E16" s="9">
        <f t="shared" si="0"/>
        <v>54.889353763440866</v>
      </c>
      <c r="F16" s="9">
        <f t="shared" si="1"/>
        <v>-419.52901000000003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2.375</v>
      </c>
      <c r="E17" s="5">
        <f t="shared" si="0"/>
        <v>23.75</v>
      </c>
      <c r="F17" s="5">
        <f t="shared" si="1"/>
        <v>-7.625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2.375</v>
      </c>
      <c r="E18" s="9">
        <f t="shared" si="0"/>
        <v>23.75</v>
      </c>
      <c r="F18" s="9">
        <f t="shared" si="1"/>
        <v>-7.625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-89.634870000000006</v>
      </c>
      <c r="E25" s="5">
        <f t="shared" si="0"/>
        <v>-53.996909638554222</v>
      </c>
      <c r="F25" s="5">
        <f t="shared" si="1"/>
        <v>-255.63487000000001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4.5158399999999999</v>
      </c>
      <c r="E26" s="5">
        <f t="shared" si="0"/>
        <v>2.7203855421686747</v>
      </c>
      <c r="F26" s="5">
        <f t="shared" si="1"/>
        <v>-161.48416</v>
      </c>
    </row>
    <row r="27" spans="1:6">
      <c r="A27" s="16">
        <v>1110502510</v>
      </c>
      <c r="B27" s="17" t="s">
        <v>226</v>
      </c>
      <c r="C27" s="12">
        <v>160</v>
      </c>
      <c r="D27" s="10">
        <v>0</v>
      </c>
      <c r="E27" s="9">
        <f t="shared" si="0"/>
        <v>0</v>
      </c>
      <c r="F27" s="9">
        <f t="shared" si="1"/>
        <v>-160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4.5158399999999999</v>
      </c>
      <c r="E28" s="9">
        <f t="shared" si="0"/>
        <v>75.263999999999996</v>
      </c>
      <c r="F28" s="9">
        <f t="shared" si="1"/>
        <v>-1.4841600000000001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0.84928999999999999</v>
      </c>
      <c r="E29" s="5" t="e">
        <f t="shared" si="0"/>
        <v>#DIV/0!</v>
      </c>
      <c r="F29" s="5">
        <f t="shared" si="1"/>
        <v>0.84928999999999999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0.84928999999999999</v>
      </c>
      <c r="E30" s="9" t="e">
        <f t="shared" si="0"/>
        <v>#DIV/0!</v>
      </c>
      <c r="F30" s="9">
        <f t="shared" si="1"/>
        <v>0.84928999999999999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930.98581999999999</v>
      </c>
      <c r="E39" s="5">
        <f t="shared" si="0"/>
        <v>48.870646719160106</v>
      </c>
      <c r="F39" s="5">
        <f t="shared" si="1"/>
        <v>-974.01418000000001</v>
      </c>
    </row>
    <row r="40" spans="1:7" s="6" customFormat="1">
      <c r="A40" s="3">
        <v>2000000000</v>
      </c>
      <c r="B40" s="4" t="s">
        <v>20</v>
      </c>
      <c r="C40" s="5">
        <f>C41+C42+C43+C44+C48+C49</f>
        <v>4534.1309999999994</v>
      </c>
      <c r="D40" s="5">
        <f>D41+D42+D43+D44+D48+D49+D50</f>
        <v>2594.5891700000002</v>
      </c>
      <c r="E40" s="5">
        <f t="shared" si="0"/>
        <v>57.223515818135837</v>
      </c>
      <c r="F40" s="5">
        <f t="shared" si="1"/>
        <v>-1939.5418299999992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1992.46</v>
      </c>
      <c r="E41" s="9">
        <f t="shared" si="0"/>
        <v>71.959734966162898</v>
      </c>
      <c r="F41" s="9">
        <f t="shared" si="1"/>
        <v>-776.39399999999978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1320.674</v>
      </c>
      <c r="D43" s="10">
        <v>268.69499999999999</v>
      </c>
      <c r="E43" s="9">
        <f t="shared" si="0"/>
        <v>20.34529338807306</v>
      </c>
      <c r="F43" s="9">
        <f t="shared" si="1"/>
        <v>-1051.979</v>
      </c>
    </row>
    <row r="44" spans="1:7" ht="18" customHeight="1">
      <c r="A44" s="16">
        <v>2023000000</v>
      </c>
      <c r="B44" s="17" t="s">
        <v>23</v>
      </c>
      <c r="C44" s="12">
        <v>157.59899999999999</v>
      </c>
      <c r="D44" s="252">
        <v>126.14109999999999</v>
      </c>
      <c r="E44" s="9">
        <f t="shared" si="0"/>
        <v>80.039276898965099</v>
      </c>
      <c r="F44" s="9">
        <f t="shared" si="1"/>
        <v>-31.457899999999995</v>
      </c>
    </row>
    <row r="45" spans="1:7" ht="0.75" hidden="1" customHeight="1">
      <c r="A45" s="16">
        <v>2020400000</v>
      </c>
      <c r="B45" s="17" t="s">
        <v>24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hidden="1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6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6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6" s="6" customFormat="1" ht="19.5" customHeight="1">
      <c r="A51" s="3"/>
      <c r="B51" s="4" t="s">
        <v>28</v>
      </c>
      <c r="C51" s="93">
        <f>C39+C40</f>
        <v>6439.1309999999994</v>
      </c>
      <c r="D51" s="93">
        <f>SUM(D39,D40,)</f>
        <v>3525.5749900000001</v>
      </c>
      <c r="E51" s="5">
        <f t="shared" si="0"/>
        <v>54.752341426195564</v>
      </c>
      <c r="F51" s="5">
        <f t="shared" si="1"/>
        <v>-2913.5560099999993</v>
      </c>
    </row>
    <row r="52" spans="1:6" s="6" customFormat="1">
      <c r="A52" s="3"/>
      <c r="B52" s="21" t="s">
        <v>321</v>
      </c>
      <c r="C52" s="93">
        <f>C51-C97</f>
        <v>-449.52202000000034</v>
      </c>
      <c r="D52" s="93">
        <f>D51-D97</f>
        <v>-43.147030000000086</v>
      </c>
      <c r="E52" s="22"/>
      <c r="F52" s="22"/>
    </row>
    <row r="53" spans="1:6">
      <c r="A53" s="23"/>
      <c r="B53" s="24"/>
      <c r="C53" s="251"/>
      <c r="D53" s="251"/>
      <c r="E53" s="26"/>
      <c r="F53" s="92"/>
    </row>
    <row r="54" spans="1:6" ht="60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6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6" s="6" customFormat="1" ht="29.25" customHeight="1">
      <c r="A56" s="30" t="s">
        <v>30</v>
      </c>
      <c r="B56" s="31" t="s">
        <v>31</v>
      </c>
      <c r="C56" s="32">
        <f>C57+C58+C59+C60+C61+C63+C62</f>
        <v>1462.2629999999999</v>
      </c>
      <c r="D56" s="32">
        <f>D57+D58+D59+D60+D61+D63+D62</f>
        <v>878.14450000000011</v>
      </c>
      <c r="E56" s="34">
        <f>SUM(D56/C56*100)</f>
        <v>60.053800171378214</v>
      </c>
      <c r="F56" s="34">
        <f>SUM(D56-C56)</f>
        <v>-584.11849999999981</v>
      </c>
    </row>
    <row r="57" spans="1:6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6">
      <c r="A58" s="35" t="s">
        <v>34</v>
      </c>
      <c r="B58" s="39" t="s">
        <v>35</v>
      </c>
      <c r="C58" s="37">
        <v>1410.7539999999999</v>
      </c>
      <c r="D58" s="37">
        <v>866.28150000000005</v>
      </c>
      <c r="E58" s="38">
        <f t="shared" ref="E58:E97" si="3">SUM(D58/C58*100)</f>
        <v>61.405567519213136</v>
      </c>
      <c r="F58" s="38">
        <f t="shared" ref="F58:F97" si="4">SUM(D58-C58)</f>
        <v>-544.47249999999985</v>
      </c>
    </row>
    <row r="59" spans="1:6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6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6">
      <c r="A61" s="35" t="s">
        <v>40</v>
      </c>
      <c r="B61" s="39" t="s">
        <v>41</v>
      </c>
      <c r="C61" s="37">
        <v>19.635999999999999</v>
      </c>
      <c r="D61" s="37"/>
      <c r="E61" s="38">
        <f t="shared" si="3"/>
        <v>0</v>
      </c>
      <c r="F61" s="38">
        <f t="shared" si="4"/>
        <v>-19.635999999999999</v>
      </c>
    </row>
    <row r="62" spans="1:6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6" ht="18.75" customHeight="1">
      <c r="A63" s="35" t="s">
        <v>44</v>
      </c>
      <c r="B63" s="39" t="s">
        <v>45</v>
      </c>
      <c r="C63" s="37">
        <v>11.863</v>
      </c>
      <c r="D63" s="37">
        <v>11.863</v>
      </c>
      <c r="E63" s="38">
        <f t="shared" si="3"/>
        <v>100</v>
      </c>
      <c r="F63" s="38">
        <f t="shared" si="4"/>
        <v>0</v>
      </c>
    </row>
    <row r="64" spans="1:6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104.54644</v>
      </c>
      <c r="E64" s="34">
        <f t="shared" si="3"/>
        <v>69.290659526381731</v>
      </c>
      <c r="F64" s="34">
        <f t="shared" si="4"/>
        <v>-46.334559999999996</v>
      </c>
    </row>
    <row r="65" spans="1:7">
      <c r="A65" s="43" t="s">
        <v>48</v>
      </c>
      <c r="B65" s="44" t="s">
        <v>49</v>
      </c>
      <c r="C65" s="37">
        <v>150.881</v>
      </c>
      <c r="D65" s="37">
        <v>104.54644</v>
      </c>
      <c r="E65" s="38">
        <f t="shared" si="3"/>
        <v>69.290659526381731</v>
      </c>
      <c r="F65" s="38">
        <f t="shared" si="4"/>
        <v>-46.334559999999996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10</v>
      </c>
      <c r="D66" s="32">
        <f>D69+D70</f>
        <v>0</v>
      </c>
      <c r="E66" s="34">
        <f t="shared" si="3"/>
        <v>0</v>
      </c>
      <c r="F66" s="34">
        <f t="shared" si="4"/>
        <v>-10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2319.4480199999998</v>
      </c>
      <c r="D71" s="48">
        <f>SUM(D72:D75)</f>
        <v>508.60867999999999</v>
      </c>
      <c r="E71" s="34">
        <f t="shared" si="3"/>
        <v>21.928005094936339</v>
      </c>
      <c r="F71" s="34">
        <f t="shared" si="4"/>
        <v>-1810.8393399999998</v>
      </c>
    </row>
    <row r="72" spans="1:7" ht="15" customHeight="1">
      <c r="A72" s="35" t="s">
        <v>60</v>
      </c>
      <c r="B72" s="39" t="s">
        <v>61</v>
      </c>
      <c r="C72" s="49">
        <v>19.417999999999999</v>
      </c>
      <c r="D72" s="37">
        <v>2.738</v>
      </c>
      <c r="E72" s="38">
        <f t="shared" si="3"/>
        <v>14.100319291379131</v>
      </c>
      <c r="F72" s="38">
        <f t="shared" si="4"/>
        <v>-16.68</v>
      </c>
    </row>
    <row r="73" spans="1:7" s="6" customFormat="1" ht="15" customHeight="1">
      <c r="A73" s="35" t="s">
        <v>62</v>
      </c>
      <c r="B73" s="39" t="s">
        <v>63</v>
      </c>
      <c r="C73" s="49">
        <v>140</v>
      </c>
      <c r="D73" s="37">
        <v>18.5</v>
      </c>
      <c r="E73" s="38">
        <f t="shared" si="3"/>
        <v>13.214285714285715</v>
      </c>
      <c r="F73" s="38">
        <f t="shared" si="4"/>
        <v>-121.5</v>
      </c>
      <c r="G73" s="50"/>
    </row>
    <row r="74" spans="1:7">
      <c r="A74" s="35" t="s">
        <v>64</v>
      </c>
      <c r="B74" s="39" t="s">
        <v>65</v>
      </c>
      <c r="C74" s="49">
        <v>1910.0300199999999</v>
      </c>
      <c r="D74" s="37">
        <v>446.52668</v>
      </c>
      <c r="E74" s="38">
        <f t="shared" si="3"/>
        <v>23.377992771024616</v>
      </c>
      <c r="F74" s="38">
        <f t="shared" si="4"/>
        <v>-1463.50334</v>
      </c>
    </row>
    <row r="75" spans="1:7">
      <c r="A75" s="35" t="s">
        <v>66</v>
      </c>
      <c r="B75" s="39" t="s">
        <v>67</v>
      </c>
      <c r="C75" s="49">
        <v>250</v>
      </c>
      <c r="D75" s="37">
        <v>40.844000000000001</v>
      </c>
      <c r="E75" s="38">
        <f t="shared" si="3"/>
        <v>16.337599999999998</v>
      </c>
      <c r="F75" s="38">
        <f t="shared" si="4"/>
        <v>-209.15600000000001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809.21100000000001</v>
      </c>
      <c r="D76" s="32">
        <f>SUM(D77:D79)</f>
        <v>475.56948</v>
      </c>
      <c r="E76" s="34">
        <f t="shared" si="3"/>
        <v>58.769527354423012</v>
      </c>
      <c r="F76" s="34">
        <f t="shared" si="4"/>
        <v>-333.64152000000001</v>
      </c>
    </row>
    <row r="77" spans="1:7" ht="14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hidden="1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809.21100000000001</v>
      </c>
      <c r="D79" s="37">
        <v>475.56948</v>
      </c>
      <c r="E79" s="38">
        <f t="shared" si="3"/>
        <v>58.769527354423012</v>
      </c>
      <c r="F79" s="38">
        <f t="shared" si="4"/>
        <v>-333.64152000000001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1577.9379200000001</v>
      </c>
      <c r="E80" s="34">
        <f>SUM(D80/C80*100)</f>
        <v>75.1452684715575</v>
      </c>
      <c r="F80" s="34">
        <f t="shared" si="4"/>
        <v>-521.91207999999983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1577.9379200000001</v>
      </c>
      <c r="E81" s="38">
        <f>SUM(D81/C81*100)</f>
        <v>75.1452684715575</v>
      </c>
      <c r="F81" s="38">
        <f t="shared" si="4"/>
        <v>-521.91207999999983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23.914999999999999</v>
      </c>
      <c r="E87" s="38">
        <f t="shared" si="3"/>
        <v>64.63513513513513</v>
      </c>
      <c r="F87" s="22">
        <f>F88+F89+F90+F91+F92</f>
        <v>-13.085000000000001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23.914999999999999</v>
      </c>
      <c r="E88" s="38">
        <f t="shared" si="3"/>
        <v>64.63513513513513</v>
      </c>
      <c r="F88" s="38">
        <f>SUM(D88-C88)</f>
        <v>-13.085000000000001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96">
        <f>C56+C64+C66+C71+C76+C80+C82+C87+C93</f>
        <v>6888.6530199999997</v>
      </c>
      <c r="D97" s="396">
        <f>D56+D64+D66+D71+D76+D80+D82+D87+D93</f>
        <v>3568.7220200000002</v>
      </c>
      <c r="E97" s="34">
        <f t="shared" si="3"/>
        <v>51.805803103144257</v>
      </c>
      <c r="F97" s="34">
        <f t="shared" si="4"/>
        <v>-3319.9309999999996</v>
      </c>
      <c r="G97" s="296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50"/>
      <c r="D99" s="250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  <row r="142" hidden="1"/>
  </sheetData>
  <customSheetViews>
    <customSheetView guid="{D9DF2AB9-CCB8-40C7-9C85-E4DDD4810EEF}" scale="70" showPageBreaks="1" hiddenRows="1" view="pageBreakPreview" topLeftCell="A64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3"/>
    </customSheetView>
    <customSheetView guid="{5BFCA170-DEAE-4D2C-98A0-1E68B427AC01}" showPageBreaks="1" hiddenRows="1" topLeftCell="A38">
      <selection activeCell="B100" sqref="B100"/>
      <pageMargins left="0.7" right="0.7" top="0.75" bottom="0.75" header="0.3" footer="0.3"/>
      <pageSetup paperSize="9" scale="49" orientation="portrait" r:id="rId4"/>
    </customSheetView>
    <customSheetView guid="{B30CE22D-C12F-4E12-8BB9-3AAE0A6991CC}" scale="70" showPageBreaks="1" hiddenRows="1" view="pageBreakPreview" topLeftCell="A58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64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7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28" zoomScale="70" zoomScaleNormal="100" zoomScaleSheetLayoutView="70" workbookViewId="0">
      <selection activeCell="C51" activeCellId="1" sqref="C98:D98 C51:D52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46" t="s">
        <v>426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852.60515000000009</v>
      </c>
      <c r="E4" s="5">
        <f>SUM(D4/C4*100)</f>
        <v>57.472541287495794</v>
      </c>
      <c r="F4" s="5">
        <f>SUM(D4-C4)</f>
        <v>-630.89484999999991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63.301630000000003</v>
      </c>
      <c r="E5" s="5">
        <f t="shared" ref="E5:E51" si="0">SUM(D5/C5*100)</f>
        <v>60.402318702290081</v>
      </c>
      <c r="F5" s="5">
        <f t="shared" ref="F5:F51" si="1">SUM(D5-C5)</f>
        <v>-41.498369999999994</v>
      </c>
    </row>
    <row r="6" spans="1:6">
      <c r="A6" s="7">
        <v>1010200001</v>
      </c>
      <c r="B6" s="8" t="s">
        <v>229</v>
      </c>
      <c r="C6" s="9">
        <v>104.8</v>
      </c>
      <c r="D6" s="10">
        <v>63.301630000000003</v>
      </c>
      <c r="E6" s="9">
        <f t="shared" ref="E6:E11" si="2">SUM(D6/C6*100)</f>
        <v>60.402318702290081</v>
      </c>
      <c r="F6" s="9">
        <f t="shared" si="1"/>
        <v>-41.498369999999994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489.28419000000002</v>
      </c>
      <c r="E7" s="5">
        <f t="shared" si="2"/>
        <v>67.608703882824386</v>
      </c>
      <c r="F7" s="5">
        <f t="shared" si="1"/>
        <v>-234.41580999999991</v>
      </c>
    </row>
    <row r="8" spans="1:6">
      <c r="A8" s="7">
        <v>1030223001</v>
      </c>
      <c r="B8" s="8" t="s">
        <v>283</v>
      </c>
      <c r="C8" s="9">
        <v>269.94</v>
      </c>
      <c r="D8" s="10">
        <v>213.52934999999999</v>
      </c>
      <c r="E8" s="9">
        <f t="shared" si="2"/>
        <v>79.102522782840637</v>
      </c>
      <c r="F8" s="9">
        <f t="shared" si="1"/>
        <v>-56.410650000000004</v>
      </c>
    </row>
    <row r="9" spans="1:6">
      <c r="A9" s="7">
        <v>1030224001</v>
      </c>
      <c r="B9" s="8" t="s">
        <v>289</v>
      </c>
      <c r="C9" s="9">
        <v>2.9</v>
      </c>
      <c r="D9" s="10">
        <v>1.8295300000000001</v>
      </c>
      <c r="E9" s="9">
        <f>SUM(D9/C9*100)</f>
        <v>63.087241379310356</v>
      </c>
      <c r="F9" s="9">
        <f t="shared" si="1"/>
        <v>-1.0704699999999998</v>
      </c>
    </row>
    <row r="10" spans="1:6">
      <c r="A10" s="7">
        <v>1030225001</v>
      </c>
      <c r="B10" s="8" t="s">
        <v>282</v>
      </c>
      <c r="C10" s="9">
        <v>450.86</v>
      </c>
      <c r="D10" s="10">
        <v>323.70591000000002</v>
      </c>
      <c r="E10" s="9">
        <f t="shared" si="2"/>
        <v>71.797433793195225</v>
      </c>
      <c r="F10" s="9">
        <f t="shared" si="1"/>
        <v>-127.15409</v>
      </c>
    </row>
    <row r="11" spans="1:6">
      <c r="A11" s="7">
        <v>1030226001</v>
      </c>
      <c r="B11" s="8" t="s">
        <v>291</v>
      </c>
      <c r="C11" s="9">
        <v>0</v>
      </c>
      <c r="D11" s="10">
        <v>-49.7806</v>
      </c>
      <c r="E11" s="9" t="e">
        <f t="shared" si="2"/>
        <v>#DIV/0!</v>
      </c>
      <c r="F11" s="9">
        <f t="shared" si="1"/>
        <v>-49.7806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269.40003000000002</v>
      </c>
      <c r="E14" s="5">
        <f t="shared" si="0"/>
        <v>42.761909523809528</v>
      </c>
      <c r="F14" s="5">
        <f t="shared" si="1"/>
        <v>-360.59996999999998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33.919730000000001</v>
      </c>
      <c r="E15" s="9">
        <f t="shared" si="0"/>
        <v>21.199831250000003</v>
      </c>
      <c r="F15" s="9">
        <f>SUM(D15-C15)</f>
        <v>-126.08027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235.4803</v>
      </c>
      <c r="E16" s="9">
        <f t="shared" si="0"/>
        <v>50.102191489361701</v>
      </c>
      <c r="F16" s="9">
        <f t="shared" si="1"/>
        <v>-234.5197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4.5999999999999996</v>
      </c>
      <c r="E17" s="5">
        <f t="shared" si="0"/>
        <v>46</v>
      </c>
      <c r="F17" s="5">
        <f t="shared" si="1"/>
        <v>-5.4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4.5999999999999996</v>
      </c>
      <c r="E18" s="9">
        <f t="shared" si="0"/>
        <v>46</v>
      </c>
      <c r="F18" s="9">
        <f t="shared" si="1"/>
        <v>-5.4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380</v>
      </c>
      <c r="D25" s="5">
        <f>D26+D29+D32+D37+D35</f>
        <v>376.58654000000001</v>
      </c>
      <c r="E25" s="5">
        <f t="shared" si="0"/>
        <v>99.101721052631589</v>
      </c>
      <c r="F25" s="5">
        <f t="shared" si="1"/>
        <v>-3.4134599999999864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330</v>
      </c>
      <c r="D26" s="5">
        <f>D27+D28</f>
        <v>345.11516</v>
      </c>
      <c r="E26" s="5">
        <f t="shared" si="0"/>
        <v>104.58035151515152</v>
      </c>
      <c r="F26" s="5">
        <f t="shared" si="1"/>
        <v>15.115160000000003</v>
      </c>
    </row>
    <row r="27" spans="1:6">
      <c r="A27" s="16">
        <v>1110502510</v>
      </c>
      <c r="B27" s="17" t="s">
        <v>226</v>
      </c>
      <c r="C27" s="12">
        <v>300</v>
      </c>
      <c r="D27" s="10">
        <v>305.50894</v>
      </c>
      <c r="E27" s="9">
        <f t="shared" si="0"/>
        <v>101.83631333333334</v>
      </c>
      <c r="F27" s="9">
        <f t="shared" si="1"/>
        <v>5.5089399999999955</v>
      </c>
    </row>
    <row r="28" spans="1:6" ht="18" customHeight="1">
      <c r="A28" s="7">
        <v>1110503505</v>
      </c>
      <c r="B28" s="11" t="s">
        <v>225</v>
      </c>
      <c r="C28" s="12">
        <v>30</v>
      </c>
      <c r="D28" s="10">
        <v>39.60622</v>
      </c>
      <c r="E28" s="9">
        <f t="shared" si="0"/>
        <v>132.02073333333334</v>
      </c>
      <c r="F28" s="9">
        <f t="shared" si="1"/>
        <v>9.6062200000000004</v>
      </c>
    </row>
    <row r="29" spans="1:6" s="15" customFormat="1" ht="18" customHeight="1">
      <c r="A29" s="68">
        <v>1130000000</v>
      </c>
      <c r="B29" s="69" t="s">
        <v>131</v>
      </c>
      <c r="C29" s="5">
        <f>C30</f>
        <v>50</v>
      </c>
      <c r="D29" s="5">
        <f>D30+D31</f>
        <v>31.729009999999999</v>
      </c>
      <c r="E29" s="5">
        <f t="shared" si="0"/>
        <v>63.458019999999991</v>
      </c>
      <c r="F29" s="5">
        <f t="shared" si="1"/>
        <v>-18.270990000000001</v>
      </c>
    </row>
    <row r="30" spans="1:6" ht="15.75" customHeight="1">
      <c r="A30" s="7">
        <v>1130206510</v>
      </c>
      <c r="B30" s="8" t="s">
        <v>338</v>
      </c>
      <c r="C30" s="9">
        <v>50</v>
      </c>
      <c r="D30" s="324">
        <v>21.702069999999999</v>
      </c>
      <c r="E30" s="9">
        <f t="shared" si="0"/>
        <v>43.404139999999998</v>
      </c>
      <c r="F30" s="9">
        <f t="shared" si="1"/>
        <v>-28.297930000000001</v>
      </c>
    </row>
    <row r="31" spans="1:6" ht="17.25" customHeight="1">
      <c r="A31" s="7">
        <v>1130299510</v>
      </c>
      <c r="B31" s="8" t="s">
        <v>357</v>
      </c>
      <c r="C31" s="9">
        <v>0</v>
      </c>
      <c r="D31" s="324">
        <v>10.02694</v>
      </c>
      <c r="E31" s="9" t="e">
        <f>SUM(D31/C31*100)</f>
        <v>#DIV/0!</v>
      </c>
      <c r="F31" s="9">
        <f>SUM(D31-C31)</f>
        <v>10.02694</v>
      </c>
    </row>
    <row r="32" spans="1:6" ht="18" hidden="1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>
        <v>1170000000</v>
      </c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1863.5</v>
      </c>
      <c r="D40" s="127">
        <f>D4+D25</f>
        <v>1229.1916900000001</v>
      </c>
      <c r="E40" s="5">
        <f t="shared" si="0"/>
        <v>65.961453716125575</v>
      </c>
      <c r="F40" s="5">
        <f t="shared" si="1"/>
        <v>-634.30830999999989</v>
      </c>
    </row>
    <row r="41" spans="1:7" s="6" customFormat="1">
      <c r="A41" s="3">
        <v>2000000000</v>
      </c>
      <c r="B41" s="4" t="s">
        <v>20</v>
      </c>
      <c r="C41" s="5">
        <f>C42+C43+C44+C45+C46+C48</f>
        <v>2945.2370000000001</v>
      </c>
      <c r="D41" s="5">
        <f>D42+D43+D44+D45+D46+D48+D49</f>
        <v>1631.6086</v>
      </c>
      <c r="E41" s="5">
        <f t="shared" si="0"/>
        <v>55.398210738219035</v>
      </c>
      <c r="F41" s="5">
        <f t="shared" si="1"/>
        <v>-1313.6284000000001</v>
      </c>
      <c r="G41" s="19"/>
    </row>
    <row r="42" spans="1:7">
      <c r="A42" s="16">
        <v>2021000000</v>
      </c>
      <c r="B42" s="17" t="s">
        <v>21</v>
      </c>
      <c r="C42" s="99">
        <f>1342.7+9.163</f>
        <v>1351.8630000000001</v>
      </c>
      <c r="D42" s="20">
        <v>1012.1950000000001</v>
      </c>
      <c r="E42" s="9">
        <f t="shared" si="0"/>
        <v>74.874081175385371</v>
      </c>
      <c r="F42" s="9">
        <f t="shared" si="1"/>
        <v>-339.66800000000001</v>
      </c>
    </row>
    <row r="43" spans="1:7" ht="15.75" customHeight="1">
      <c r="A43" s="16">
        <v>2021500200</v>
      </c>
      <c r="B43" s="17" t="s">
        <v>232</v>
      </c>
      <c r="C43" s="99">
        <v>584</v>
      </c>
      <c r="D43" s="20">
        <v>227</v>
      </c>
      <c r="E43" s="9">
        <f>SUM(D43/C43*100)</f>
        <v>38.869863013698627</v>
      </c>
      <c r="F43" s="9">
        <f>SUM(D43-C43)</f>
        <v>-357</v>
      </c>
    </row>
    <row r="44" spans="1:7">
      <c r="A44" s="16">
        <v>2022000000</v>
      </c>
      <c r="B44" s="17" t="s">
        <v>22</v>
      </c>
      <c r="C44" s="99">
        <v>802.53499999999997</v>
      </c>
      <c r="D44" s="10">
        <v>237.059</v>
      </c>
      <c r="E44" s="9">
        <f t="shared" si="0"/>
        <v>29.538774009856265</v>
      </c>
      <c r="F44" s="9">
        <f t="shared" si="1"/>
        <v>-565.476</v>
      </c>
    </row>
    <row r="45" spans="1:7">
      <c r="A45" s="16">
        <v>2023000000</v>
      </c>
      <c r="B45" s="17" t="s">
        <v>23</v>
      </c>
      <c r="C45" s="12">
        <f>3.359+150.88</f>
        <v>154.239</v>
      </c>
      <c r="D45" s="252">
        <v>125.104</v>
      </c>
      <c r="E45" s="9">
        <f t="shared" si="0"/>
        <v>81.110484378140413</v>
      </c>
      <c r="F45" s="9">
        <f t="shared" si="1"/>
        <v>-29.135000000000005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3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3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8" s="6" customFormat="1" ht="0.75" hidden="1" customHeight="1">
      <c r="A50" s="3">
        <v>3000000000</v>
      </c>
      <c r="B50" s="13" t="s">
        <v>27</v>
      </c>
      <c r="C50" s="278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93">
        <f>C40+C41</f>
        <v>4808.7370000000001</v>
      </c>
      <c r="D51" s="93">
        <f>D40+D41</f>
        <v>2860.8002900000001</v>
      </c>
      <c r="E51" s="93">
        <f t="shared" si="0"/>
        <v>59.491718719489128</v>
      </c>
      <c r="F51" s="93">
        <f t="shared" si="1"/>
        <v>-1947.9367099999999</v>
      </c>
      <c r="G51" s="296"/>
      <c r="H51" s="296"/>
    </row>
    <row r="52" spans="1:8" s="6" customFormat="1">
      <c r="A52" s="3"/>
      <c r="B52" s="21" t="s">
        <v>321</v>
      </c>
      <c r="C52" s="93">
        <f>C51-C98</f>
        <v>-307.03722999999991</v>
      </c>
      <c r="D52" s="93">
        <f>D51-D98</f>
        <v>185.00896999999986</v>
      </c>
      <c r="E52" s="282"/>
      <c r="F52" s="282"/>
    </row>
    <row r="53" spans="1:8">
      <c r="A53" s="23"/>
      <c r="B53" s="24"/>
      <c r="C53" s="251"/>
      <c r="D53" s="251"/>
      <c r="E53" s="26"/>
      <c r="F53" s="27"/>
    </row>
    <row r="54" spans="1:8" ht="45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1122.472</v>
      </c>
      <c r="D56" s="33">
        <f>D57+D58+D59+D60+D61+D63+D62</f>
        <v>643.11628999999994</v>
      </c>
      <c r="E56" s="34">
        <f>SUM(D56/C56*100)</f>
        <v>57.294639866295107</v>
      </c>
      <c r="F56" s="34">
        <f>SUM(D56-C56)</f>
        <v>-479.35571000000004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639.62028999999995</v>
      </c>
      <c r="E58" s="38">
        <f t="shared" ref="E58:E98" si="3">SUM(D58/C58*100)</f>
        <v>58.334872220950452</v>
      </c>
      <c r="F58" s="38">
        <f t="shared" ref="F58:F98" si="4">SUM(D58-C58)</f>
        <v>-456.84271000000001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>
        <v>0</v>
      </c>
      <c r="E61" s="38">
        <f t="shared" si="3"/>
        <v>0</v>
      </c>
      <c r="F61" s="38">
        <f t="shared" si="4"/>
        <v>-16.561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4.4480000000000004</v>
      </c>
      <c r="D63" s="37">
        <v>3.496</v>
      </c>
      <c r="E63" s="38">
        <f t="shared" si="3"/>
        <v>78.597122302158269</v>
      </c>
      <c r="F63" s="38">
        <f t="shared" si="4"/>
        <v>-0.9520000000000004</v>
      </c>
    </row>
    <row r="64" spans="1:8" s="6" customFormat="1">
      <c r="A64" s="41" t="s">
        <v>46</v>
      </c>
      <c r="B64" s="42" t="s">
        <v>47</v>
      </c>
      <c r="C64" s="32">
        <f>C65</f>
        <v>150.88</v>
      </c>
      <c r="D64" s="32">
        <f>D65</f>
        <v>96.332329999999999</v>
      </c>
      <c r="E64" s="34">
        <f t="shared" si="3"/>
        <v>63.846984358430547</v>
      </c>
      <c r="F64" s="34">
        <f t="shared" si="4"/>
        <v>-54.547669999999997</v>
      </c>
    </row>
    <row r="65" spans="1:7">
      <c r="A65" s="43" t="s">
        <v>48</v>
      </c>
      <c r="B65" s="44" t="s">
        <v>49</v>
      </c>
      <c r="C65" s="37">
        <v>150.88</v>
      </c>
      <c r="D65" s="37">
        <v>96.332329999999999</v>
      </c>
      <c r="E65" s="38">
        <f t="shared" si="3"/>
        <v>63.846984358430547</v>
      </c>
      <c r="F65" s="38">
        <f t="shared" si="4"/>
        <v>-54.547669999999997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2259.2312300000003</v>
      </c>
      <c r="D71" s="48">
        <f>SUM(D72:D76)</f>
        <v>927.38732000000005</v>
      </c>
      <c r="E71" s="34">
        <f t="shared" si="3"/>
        <v>41.048800480683859</v>
      </c>
      <c r="F71" s="34">
        <f t="shared" si="4"/>
        <v>-1331.8439100000003</v>
      </c>
    </row>
    <row r="72" spans="1:7" ht="15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7.25" customHeight="1">
      <c r="A73" s="35" t="s">
        <v>62</v>
      </c>
      <c r="B73" s="39" t="s">
        <v>63</v>
      </c>
      <c r="C73" s="49">
        <v>243.59100000000001</v>
      </c>
      <c r="D73" s="37">
        <v>218.94194999999999</v>
      </c>
      <c r="E73" s="38">
        <f t="shared" si="3"/>
        <v>89.880968508688738</v>
      </c>
      <c r="F73" s="38">
        <f t="shared" si="4"/>
        <v>-24.649050000000017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639.69236999999998</v>
      </c>
      <c r="E75" s="38">
        <f t="shared" si="3"/>
        <v>35.254038744953817</v>
      </c>
      <c r="F75" s="38">
        <f t="shared" si="4"/>
        <v>-1174.8298600000001</v>
      </c>
    </row>
    <row r="76" spans="1:7">
      <c r="A76" s="35" t="s">
        <v>66</v>
      </c>
      <c r="B76" s="39" t="s">
        <v>67</v>
      </c>
      <c r="C76" s="49">
        <v>191.40899999999999</v>
      </c>
      <c r="D76" s="37">
        <v>68.753</v>
      </c>
      <c r="E76" s="38">
        <f t="shared" si="3"/>
        <v>35.919418627128294</v>
      </c>
      <c r="F76" s="38">
        <f t="shared" si="4"/>
        <v>-122.65599999999999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344.59100000000001</v>
      </c>
      <c r="D77" s="32">
        <f>SUM(D78:D80)</f>
        <v>207.49538000000001</v>
      </c>
      <c r="E77" s="34">
        <f t="shared" si="3"/>
        <v>60.214973693451078</v>
      </c>
      <c r="F77" s="34">
        <f t="shared" si="4"/>
        <v>-137.09562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344.59100000000001</v>
      </c>
      <c r="D80" s="37">
        <v>207.49538000000001</v>
      </c>
      <c r="E80" s="38">
        <f t="shared" si="3"/>
        <v>60.214973693451078</v>
      </c>
      <c r="F80" s="38">
        <f t="shared" si="4"/>
        <v>-137.09562</v>
      </c>
    </row>
    <row r="81" spans="1:6" s="6" customFormat="1">
      <c r="A81" s="30" t="s">
        <v>86</v>
      </c>
      <c r="B81" s="31" t="s">
        <v>87</v>
      </c>
      <c r="C81" s="32">
        <f>C82</f>
        <v>1221.5999999999999</v>
      </c>
      <c r="D81" s="32">
        <f>D82</f>
        <v>791.46</v>
      </c>
      <c r="E81" s="34">
        <f t="shared" si="3"/>
        <v>64.788801571709243</v>
      </c>
      <c r="F81" s="34">
        <f t="shared" si="4"/>
        <v>-430.13999999999987</v>
      </c>
    </row>
    <row r="82" spans="1:6" ht="15.75" customHeight="1">
      <c r="A82" s="35" t="s">
        <v>88</v>
      </c>
      <c r="B82" s="39" t="s">
        <v>234</v>
      </c>
      <c r="C82" s="37">
        <v>1221.5999999999999</v>
      </c>
      <c r="D82" s="37">
        <v>791.46</v>
      </c>
      <c r="E82" s="38">
        <f t="shared" si="3"/>
        <v>64.788801571709243</v>
      </c>
      <c r="F82" s="38">
        <f t="shared" si="4"/>
        <v>-430.13999999999987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hidden="1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6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6" s="6" customFormat="1">
      <c r="A98" s="52"/>
      <c r="B98" s="57" t="s">
        <v>119</v>
      </c>
      <c r="C98" s="396">
        <f>C56+C64+C66+C71+C77+C81+C96</f>
        <v>5115.77423</v>
      </c>
      <c r="D98" s="396">
        <f>D56+D64+D66+D71+D77+D81+D88+D83+D94+D96</f>
        <v>2675.7913200000003</v>
      </c>
      <c r="E98" s="34">
        <f t="shared" si="3"/>
        <v>52.304718693576916</v>
      </c>
      <c r="F98" s="34">
        <f t="shared" si="4"/>
        <v>-2439.9829099999997</v>
      </c>
    </row>
    <row r="99" spans="1:6" ht="16.5" customHeight="1">
      <c r="C99" s="126"/>
      <c r="D99" s="101"/>
    </row>
    <row r="100" spans="1:6" s="65" customFormat="1" ht="20.25" customHeight="1">
      <c r="A100" s="63" t="s">
        <v>120</v>
      </c>
      <c r="B100" s="63"/>
      <c r="C100" s="116"/>
      <c r="D100" s="64" t="s">
        <v>275</v>
      </c>
    </row>
    <row r="101" spans="1:6" s="65" customFormat="1" ht="13.5" customHeight="1">
      <c r="A101" s="66" t="s">
        <v>121</v>
      </c>
      <c r="B101" s="66"/>
      <c r="C101" s="65" t="s">
        <v>122</v>
      </c>
    </row>
    <row r="103" spans="1:6" ht="5.25" customHeight="1"/>
    <row r="142" hidden="1"/>
  </sheetData>
  <customSheetViews>
    <customSheetView guid="{D9DF2AB9-CCB8-40C7-9C85-E4DDD4810EEF}" scale="70" showPageBreaks="1" printArea="1" hiddenRows="1" view="pageBreakPreview" topLeftCell="A2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3"/>
    </customSheetView>
    <customSheetView guid="{5BFCA170-DEAE-4D2C-98A0-1E68B427AC01}" showPageBreaks="1" printArea="1" hiddenRows="1" topLeftCell="A41">
      <selection activeCell="B100" sqref="B100"/>
      <pageMargins left="0.7" right="0.7" top="0.75" bottom="0.75" header="0.3" footer="0.3"/>
      <pageSetup paperSize="9" scale="48" orientation="portrait" r:id="rId4"/>
    </customSheetView>
    <customSheetView guid="{B30CE22D-C12F-4E12-8BB9-3AAE0A6991CC}" scale="70" showPageBreaks="1" printArea="1" hiddenRows="1" view="pageBreakPreview">
      <selection activeCell="A3" sqref="A3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printArea="1" hiddenRows="1" view="pageBreakPreview" topLeftCell="A28">
      <selection activeCell="C51" activeCellId="1" sqref="C98:D98 C51:D52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7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52" zoomScale="70" zoomScaleNormal="100" zoomScaleSheetLayoutView="70" workbookViewId="0">
      <selection activeCell="C95" activeCellId="1" sqref="C49:D50 C95:D95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427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455.07691</v>
      </c>
      <c r="E4" s="5">
        <f>SUM(D4/C4*100)</f>
        <v>48.686948753610778</v>
      </c>
      <c r="F4" s="5">
        <f>SUM(D4-C4)</f>
        <v>-479.62309000000005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47.846409999999999</v>
      </c>
      <c r="E5" s="5">
        <f t="shared" ref="E5:E49" si="0">SUM(D5/C5*100)</f>
        <v>55.765046620046618</v>
      </c>
      <c r="F5" s="5">
        <f t="shared" ref="F5:F49" si="1">SUM(D5-C5)</f>
        <v>-37.953589999999998</v>
      </c>
    </row>
    <row r="6" spans="1:6">
      <c r="A6" s="7">
        <v>1010200001</v>
      </c>
      <c r="B6" s="8" t="s">
        <v>229</v>
      </c>
      <c r="C6" s="9">
        <v>85.8</v>
      </c>
      <c r="D6" s="10">
        <v>47.846409999999999</v>
      </c>
      <c r="E6" s="9">
        <f t="shared" ref="E6:E11" si="2">SUM(D6/C6*100)</f>
        <v>55.765046620046618</v>
      </c>
      <c r="F6" s="9">
        <f t="shared" si="1"/>
        <v>-37.953589999999998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223.71399</v>
      </c>
      <c r="E7" s="5">
        <f t="shared" si="2"/>
        <v>67.607733454215762</v>
      </c>
      <c r="F7" s="5">
        <f t="shared" si="1"/>
        <v>-107.18601000000004</v>
      </c>
    </row>
    <row r="8" spans="1:6">
      <c r="A8" s="7">
        <v>1030223001</v>
      </c>
      <c r="B8" s="8" t="s">
        <v>283</v>
      </c>
      <c r="C8" s="9">
        <v>123.43</v>
      </c>
      <c r="D8" s="10">
        <v>97.631410000000002</v>
      </c>
      <c r="E8" s="9">
        <f t="shared" si="2"/>
        <v>79.098606497609978</v>
      </c>
      <c r="F8" s="9">
        <f t="shared" si="1"/>
        <v>-25.798590000000004</v>
      </c>
    </row>
    <row r="9" spans="1:6">
      <c r="A9" s="7">
        <v>1030224001</v>
      </c>
      <c r="B9" s="8" t="s">
        <v>289</v>
      </c>
      <c r="C9" s="9">
        <v>1.32</v>
      </c>
      <c r="D9" s="10">
        <v>0.83648</v>
      </c>
      <c r="E9" s="9">
        <f t="shared" si="2"/>
        <v>63.369696969696967</v>
      </c>
      <c r="F9" s="9">
        <f t="shared" si="1"/>
        <v>-0.48352000000000006</v>
      </c>
    </row>
    <row r="10" spans="1:6">
      <c r="A10" s="7">
        <v>1030225001</v>
      </c>
      <c r="B10" s="8" t="s">
        <v>282</v>
      </c>
      <c r="C10" s="9">
        <v>206.15</v>
      </c>
      <c r="D10" s="10">
        <v>148.00711999999999</v>
      </c>
      <c r="E10" s="9">
        <f t="shared" si="2"/>
        <v>71.795837982051893</v>
      </c>
      <c r="F10" s="9">
        <f t="shared" si="1"/>
        <v>-58.142880000000019</v>
      </c>
    </row>
    <row r="11" spans="1:6">
      <c r="A11" s="7">
        <v>1030226001</v>
      </c>
      <c r="B11" s="8" t="s">
        <v>291</v>
      </c>
      <c r="C11" s="9">
        <v>0</v>
      </c>
      <c r="D11" s="10">
        <v>-22.761019999999998</v>
      </c>
      <c r="E11" s="9" t="e">
        <f t="shared" si="2"/>
        <v>#DIV/0!</v>
      </c>
      <c r="F11" s="9">
        <f t="shared" si="1"/>
        <v>-22.761019999999998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2.532</v>
      </c>
      <c r="E12" s="5">
        <f t="shared" si="0"/>
        <v>25.319999999999997</v>
      </c>
      <c r="F12" s="5">
        <f t="shared" si="1"/>
        <v>-7.468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2.532</v>
      </c>
      <c r="E13" s="9">
        <f t="shared" si="0"/>
        <v>25.319999999999997</v>
      </c>
      <c r="F13" s="9">
        <f t="shared" si="1"/>
        <v>-7.468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500</v>
      </c>
      <c r="D14" s="5">
        <f>D15+D16</f>
        <v>161.18451000000002</v>
      </c>
      <c r="E14" s="5">
        <f t="shared" si="0"/>
        <v>32.236902000000008</v>
      </c>
      <c r="F14" s="5">
        <f t="shared" si="1"/>
        <v>-338.81548999999995</v>
      </c>
    </row>
    <row r="15" spans="1:6" s="6" customFormat="1" ht="15.75" customHeight="1">
      <c r="A15" s="7">
        <v>1060100000</v>
      </c>
      <c r="B15" s="11" t="s">
        <v>9</v>
      </c>
      <c r="C15" s="9">
        <v>110</v>
      </c>
      <c r="D15" s="10">
        <v>10.967599999999999</v>
      </c>
      <c r="E15" s="9">
        <f t="shared" si="0"/>
        <v>9.970545454545455</v>
      </c>
      <c r="F15" s="9">
        <f>SUM(D15-C15)</f>
        <v>-99.032399999999996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150.21691000000001</v>
      </c>
      <c r="E16" s="9">
        <f t="shared" si="0"/>
        <v>38.517156410256412</v>
      </c>
      <c r="F16" s="9">
        <f t="shared" si="1"/>
        <v>-239.78308999999999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19.8</v>
      </c>
      <c r="E17" s="5">
        <f t="shared" si="0"/>
        <v>247.5</v>
      </c>
      <c r="F17" s="5">
        <f t="shared" si="1"/>
        <v>11.8</v>
      </c>
    </row>
    <row r="18" spans="1:6" ht="18" customHeight="1">
      <c r="A18" s="7">
        <v>1080400001</v>
      </c>
      <c r="B18" s="8" t="s">
        <v>228</v>
      </c>
      <c r="C18" s="9">
        <v>8</v>
      </c>
      <c r="D18" s="10">
        <v>19.8</v>
      </c>
      <c r="E18" s="9">
        <f t="shared" si="0"/>
        <v>247.5</v>
      </c>
      <c r="F18" s="9">
        <f t="shared" si="1"/>
        <v>11.8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8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7.5" hidden="1" customHeight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 ht="15.75" hidden="1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 ht="22.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460.11381</v>
      </c>
      <c r="E37" s="5">
        <f t="shared" si="0"/>
        <v>47.547154076676655</v>
      </c>
      <c r="F37" s="5">
        <f t="shared" si="1"/>
        <v>-507.58619000000004</v>
      </c>
    </row>
    <row r="38" spans="1:7" s="6" customFormat="1">
      <c r="A38" s="3">
        <v>2000000000</v>
      </c>
      <c r="B38" s="4" t="s">
        <v>20</v>
      </c>
      <c r="C38" s="5">
        <f>C39+C41+C42+C43+C44+C45</f>
        <v>2633.8540000000003</v>
      </c>
      <c r="D38" s="392">
        <f>D39+D41+D42+D43+D45</f>
        <v>1717.297</v>
      </c>
      <c r="E38" s="5">
        <f t="shared" si="0"/>
        <v>65.200918501936698</v>
      </c>
      <c r="F38" s="5">
        <f t="shared" si="1"/>
        <v>-916.55700000000024</v>
      </c>
      <c r="G38" s="19"/>
    </row>
    <row r="39" spans="1:7" ht="14.25" customHeight="1">
      <c r="A39" s="16">
        <v>2021000000</v>
      </c>
      <c r="B39" s="17" t="s">
        <v>21</v>
      </c>
      <c r="C39" s="99">
        <f>1221.5+37.496</f>
        <v>1258.9960000000001</v>
      </c>
      <c r="D39" s="20">
        <v>920.82899999999995</v>
      </c>
      <c r="E39" s="9">
        <f t="shared" si="0"/>
        <v>73.139946433507333</v>
      </c>
      <c r="F39" s="9">
        <f t="shared" si="1"/>
        <v>-338.16700000000014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730</v>
      </c>
      <c r="D41" s="20">
        <v>215</v>
      </c>
      <c r="E41" s="9">
        <f t="shared" si="0"/>
        <v>29.452054794520549</v>
      </c>
      <c r="F41" s="9">
        <f t="shared" si="1"/>
        <v>-515</v>
      </c>
    </row>
    <row r="42" spans="1:7">
      <c r="A42" s="16">
        <v>2022000000</v>
      </c>
      <c r="B42" s="17" t="s">
        <v>22</v>
      </c>
      <c r="C42" s="99">
        <v>480.904</v>
      </c>
      <c r="D42" s="10">
        <v>435.16199999999998</v>
      </c>
      <c r="E42" s="9"/>
      <c r="F42" s="9">
        <f t="shared" si="1"/>
        <v>-45.742000000000019</v>
      </c>
    </row>
    <row r="43" spans="1:7">
      <c r="A43" s="16">
        <v>2023000000</v>
      </c>
      <c r="B43" s="17" t="s">
        <v>23</v>
      </c>
      <c r="C43" s="12">
        <v>73.953999999999994</v>
      </c>
      <c r="D43" s="252">
        <v>59.305999999999997</v>
      </c>
      <c r="E43" s="9">
        <f t="shared" si="0"/>
        <v>80.193093003759103</v>
      </c>
      <c r="F43" s="9">
        <f t="shared" si="1"/>
        <v>-14.647999999999996</v>
      </c>
    </row>
    <row r="44" spans="1:7" ht="0.75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>
      <c r="A45" s="16">
        <v>2070500010</v>
      </c>
      <c r="B45" s="8" t="s">
        <v>355</v>
      </c>
      <c r="C45" s="12">
        <v>90</v>
      </c>
      <c r="D45" s="253">
        <v>87</v>
      </c>
      <c r="E45" s="9">
        <f t="shared" si="0"/>
        <v>96.666666666666671</v>
      </c>
      <c r="F45" s="9">
        <f t="shared" si="1"/>
        <v>-3</v>
      </c>
    </row>
    <row r="46" spans="1:7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31.5" hidden="1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idden="1">
      <c r="A48" s="3">
        <v>2190500010</v>
      </c>
      <c r="B48" s="13" t="s">
        <v>326</v>
      </c>
      <c r="C48" s="278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281">
        <f>C37+C38</f>
        <v>3601.5540000000001</v>
      </c>
      <c r="D49" s="281">
        <f>D37+D38</f>
        <v>2177.4108099999999</v>
      </c>
      <c r="E49" s="5">
        <f t="shared" si="0"/>
        <v>60.457536108024478</v>
      </c>
      <c r="F49" s="5">
        <f t="shared" si="1"/>
        <v>-1424.1431900000002</v>
      </c>
      <c r="G49" s="296"/>
      <c r="H49" s="394"/>
    </row>
    <row r="50" spans="1:8" s="6" customFormat="1" ht="15.75" customHeight="1">
      <c r="A50" s="3"/>
      <c r="B50" s="21" t="s">
        <v>321</v>
      </c>
      <c r="C50" s="281">
        <f>C49-C95</f>
        <v>16.760440000000017</v>
      </c>
      <c r="D50" s="281">
        <f>D49-D95</f>
        <v>88.294690000000173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9" t="s">
        <v>346</v>
      </c>
      <c r="D52" s="73" t="s">
        <v>412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578.95999999999992</v>
      </c>
      <c r="E54" s="34">
        <f>SUM(D54/C54*100)</f>
        <v>50.973538591571611</v>
      </c>
      <c r="F54" s="34">
        <f>SUM(D54-C54)</f>
        <v>-556.84500000000014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1128.096</v>
      </c>
      <c r="D56" s="37">
        <v>576.25149999999996</v>
      </c>
      <c r="E56" s="38">
        <f>SUM(D56/C56*100)</f>
        <v>51.081778501120468</v>
      </c>
      <c r="F56" s="38">
        <f t="shared" ref="F56:F95" si="3">SUM(D56-C56)</f>
        <v>-551.84450000000004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hidden="1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40.802509999999998</v>
      </c>
      <c r="E62" s="34">
        <f t="shared" si="4"/>
        <v>57.798016856717894</v>
      </c>
      <c r="F62" s="34">
        <f t="shared" si="3"/>
        <v>-29.792490000000001</v>
      </c>
    </row>
    <row r="63" spans="1:8" ht="17.850000000000001" customHeight="1">
      <c r="A63" s="43" t="s">
        <v>48</v>
      </c>
      <c r="B63" s="44" t="s">
        <v>49</v>
      </c>
      <c r="C63" s="37">
        <v>70.594999999999999</v>
      </c>
      <c r="D63" s="37">
        <v>40.802509999999998</v>
      </c>
      <c r="E63" s="38">
        <f t="shared" si="4"/>
        <v>57.798016856717894</v>
      </c>
      <c r="F63" s="38">
        <f t="shared" si="3"/>
        <v>-29.792490000000001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</v>
      </c>
      <c r="D64" s="32">
        <f>SUM(D65:D67)</f>
        <v>2</v>
      </c>
      <c r="E64" s="34">
        <f t="shared" si="4"/>
        <v>50</v>
      </c>
      <c r="F64" s="34">
        <f t="shared" si="3"/>
        <v>-2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</v>
      </c>
      <c r="D67" s="37">
        <v>2</v>
      </c>
      <c r="E67" s="34">
        <f t="shared" si="4"/>
        <v>100</v>
      </c>
      <c r="F67" s="34">
        <f t="shared" si="3"/>
        <v>0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908.89155999999991</v>
      </c>
      <c r="D69" s="48">
        <f>D70+D71+D72+D73</f>
        <v>758.28727000000003</v>
      </c>
      <c r="E69" s="34">
        <f t="shared" si="4"/>
        <v>83.429894540994539</v>
      </c>
      <c r="F69" s="34">
        <f t="shared" si="3"/>
        <v>-150.60428999999988</v>
      </c>
    </row>
    <row r="70" spans="1:7" ht="16.5" customHeight="1">
      <c r="A70" s="35" t="s">
        <v>60</v>
      </c>
      <c r="B70" s="39" t="s">
        <v>61</v>
      </c>
      <c r="C70" s="49">
        <v>9.7089999999999996</v>
      </c>
      <c r="D70" s="37">
        <v>0</v>
      </c>
      <c r="E70" s="38">
        <f t="shared" si="4"/>
        <v>0</v>
      </c>
      <c r="F70" s="38">
        <f t="shared" si="3"/>
        <v>-9.7089999999999996</v>
      </c>
    </row>
    <row r="71" spans="1:7" s="6" customFormat="1" ht="19.5" hidden="1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757.28727000000003</v>
      </c>
      <c r="E72" s="38">
        <f t="shared" si="4"/>
        <v>86.135383531720649</v>
      </c>
      <c r="F72" s="38">
        <f t="shared" si="3"/>
        <v>-121.89528999999993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184.80199999999999</v>
      </c>
      <c r="D74" s="32">
        <f>D77</f>
        <v>122.06634</v>
      </c>
      <c r="E74" s="34">
        <f t="shared" si="4"/>
        <v>66.05249943182433</v>
      </c>
      <c r="F74" s="34">
        <f t="shared" si="3"/>
        <v>-62.735659999999996</v>
      </c>
    </row>
    <row r="75" spans="1:7" ht="15.75" hidden="1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hidden="1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f>126.571+53.231+5</f>
        <v>184.80199999999999</v>
      </c>
      <c r="D77" s="37">
        <v>122.06634</v>
      </c>
      <c r="E77" s="38">
        <f t="shared" si="4"/>
        <v>66.05249943182433</v>
      </c>
      <c r="F77" s="38">
        <f t="shared" si="3"/>
        <v>-62.735659999999996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1277.7</v>
      </c>
      <c r="D78" s="32">
        <f>D79</f>
        <v>585</v>
      </c>
      <c r="E78" s="34">
        <f t="shared" si="4"/>
        <v>45.78539563277765</v>
      </c>
      <c r="F78" s="34">
        <f t="shared" si="3"/>
        <v>-692.7</v>
      </c>
    </row>
    <row r="79" spans="1:7" ht="15" customHeight="1">
      <c r="A79" s="35" t="s">
        <v>88</v>
      </c>
      <c r="B79" s="39" t="s">
        <v>234</v>
      </c>
      <c r="C79" s="37">
        <v>1277.7</v>
      </c>
      <c r="D79" s="37">
        <v>585</v>
      </c>
      <c r="E79" s="38">
        <f t="shared" si="4"/>
        <v>45.78539563277765</v>
      </c>
      <c r="F79" s="38">
        <f t="shared" si="3"/>
        <v>-692.7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40"/>
      <c r="D93" s="241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33">
        <f>C54+C62+C64+C69+C74+C78+C80+C85+C91</f>
        <v>3584.7935600000001</v>
      </c>
      <c r="D95" s="33">
        <f>D54+D62+D64+D69+D74+D78+D85</f>
        <v>2089.1161199999997</v>
      </c>
      <c r="E95" s="34">
        <f t="shared" si="4"/>
        <v>58.277166733138174</v>
      </c>
      <c r="F95" s="34">
        <f t="shared" si="3"/>
        <v>-1495.6774400000004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  <row r="141" hidden="1"/>
  </sheetData>
  <customSheetViews>
    <customSheetView guid="{D9DF2AB9-CCB8-40C7-9C85-E4DDD4810EEF}" scale="70" showPageBreaks="1" hiddenRows="1" view="pageBreakPreview" topLeftCell="A52">
      <selection activeCell="C95" activeCellId="1" sqref="C49:D50 C95:D95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3"/>
    </customSheetView>
    <customSheetView guid="{5BFCA170-DEAE-4D2C-98A0-1E68B427AC01}" showPageBreaks="1" hiddenRows="1" topLeftCell="A28">
      <selection activeCell="B100" sqref="B100"/>
      <pageMargins left="0.7" right="0.7" top="0.75" bottom="0.75" header="0.3" footer="0.3"/>
      <pageSetup paperSize="9" scale="60" orientation="portrait" r:id="rId4"/>
    </customSheetView>
    <customSheetView guid="{B30CE22D-C12F-4E12-8BB9-3AAE0A6991CC}" scale="70" showPageBreaks="1" hiddenRows="1" view="pageBreakPreview" topLeftCell="A25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52">
      <selection activeCell="C95" activeCellId="1" sqref="C49:D50 C95:D95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41"/>
  <sheetViews>
    <sheetView view="pageBreakPreview" topLeftCell="A62" zoomScale="70" zoomScaleNormal="100" zoomScaleSheetLayoutView="70" workbookViewId="0">
      <selection activeCell="C97" activeCellId="1" sqref="C51:D52 C97:D97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428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989.12</v>
      </c>
      <c r="D4" s="5">
        <f>D5+D12+D14+D17+D20+D7</f>
        <v>578.58668</v>
      </c>
      <c r="E4" s="5">
        <f>SUM(D4/C4*100)</f>
        <v>58.495094629569721</v>
      </c>
      <c r="F4" s="5">
        <f>SUM(D4-C4)</f>
        <v>-410.53332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52.120100000000001</v>
      </c>
      <c r="E5" s="5">
        <f t="shared" ref="E5:E51" si="0">SUM(D5/C5*100)</f>
        <v>54.690556138509969</v>
      </c>
      <c r="F5" s="5">
        <f t="shared" ref="F5:F51" si="1">SUM(D5-C5)</f>
        <v>-43.179899999999996</v>
      </c>
    </row>
    <row r="6" spans="1:6">
      <c r="A6" s="7">
        <v>1010200001</v>
      </c>
      <c r="B6" s="8" t="s">
        <v>229</v>
      </c>
      <c r="C6" s="9">
        <v>95.3</v>
      </c>
      <c r="D6" s="10">
        <v>52.120100000000001</v>
      </c>
      <c r="E6" s="9">
        <f t="shared" ref="E6:E11" si="2">SUM(D6/C6*100)</f>
        <v>54.690556138509969</v>
      </c>
      <c r="F6" s="9">
        <f t="shared" si="1"/>
        <v>-43.179899999999996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212.16751000000002</v>
      </c>
      <c r="E7" s="9">
        <f t="shared" si="2"/>
        <v>67.608026894398066</v>
      </c>
      <c r="F7" s="9">
        <f t="shared" si="1"/>
        <v>-101.65248999999997</v>
      </c>
    </row>
    <row r="8" spans="1:6">
      <c r="A8" s="7">
        <v>1030223001</v>
      </c>
      <c r="B8" s="8" t="s">
        <v>283</v>
      </c>
      <c r="C8" s="9">
        <v>117.05</v>
      </c>
      <c r="D8" s="10">
        <v>92.592410000000001</v>
      </c>
      <c r="E8" s="9">
        <f t="shared" si="2"/>
        <v>79.105006407518147</v>
      </c>
      <c r="F8" s="9">
        <f t="shared" si="1"/>
        <v>-24.457589999999996</v>
      </c>
    </row>
    <row r="9" spans="1:6">
      <c r="A9" s="7">
        <v>1030224001</v>
      </c>
      <c r="B9" s="8" t="s">
        <v>289</v>
      </c>
      <c r="C9" s="9">
        <v>1.26</v>
      </c>
      <c r="D9" s="10">
        <v>0.79335</v>
      </c>
      <c r="E9" s="9">
        <f t="shared" si="2"/>
        <v>62.964285714285715</v>
      </c>
      <c r="F9" s="9">
        <f t="shared" si="1"/>
        <v>-0.46665000000000001</v>
      </c>
    </row>
    <row r="10" spans="1:6">
      <c r="A10" s="7">
        <v>1030225001</v>
      </c>
      <c r="B10" s="8" t="s">
        <v>282</v>
      </c>
      <c r="C10" s="9">
        <v>195.51</v>
      </c>
      <c r="D10" s="10">
        <v>140.36803</v>
      </c>
      <c r="E10" s="9">
        <f t="shared" si="2"/>
        <v>71.795831415272886</v>
      </c>
      <c r="F10" s="9">
        <f t="shared" si="1"/>
        <v>-55.141969999999986</v>
      </c>
    </row>
    <row r="11" spans="1:6">
      <c r="A11" s="7">
        <v>1030226001</v>
      </c>
      <c r="B11" s="8" t="s">
        <v>291</v>
      </c>
      <c r="C11" s="9">
        <v>0</v>
      </c>
      <c r="D11" s="10">
        <v>-21.586279999999999</v>
      </c>
      <c r="E11" s="9" t="e">
        <f t="shared" si="2"/>
        <v>#DIV/0!</v>
      </c>
      <c r="F11" s="9">
        <f t="shared" si="1"/>
        <v>-21.586279999999999</v>
      </c>
    </row>
    <row r="12" spans="1:6" s="6" customFormat="1">
      <c r="A12" s="68">
        <v>1050000000</v>
      </c>
      <c r="B12" s="67" t="s">
        <v>7</v>
      </c>
      <c r="C12" s="5">
        <f>SUM(C13:C13)</f>
        <v>35</v>
      </c>
      <c r="D12" s="5">
        <f>SUM(D13:D13)</f>
        <v>69.827370000000002</v>
      </c>
      <c r="E12" s="5">
        <f t="shared" si="0"/>
        <v>199.50677142857143</v>
      </c>
      <c r="F12" s="5">
        <f t="shared" si="1"/>
        <v>34.827370000000002</v>
      </c>
    </row>
    <row r="13" spans="1:6" ht="15.75" customHeight="1">
      <c r="A13" s="7">
        <v>1050300000</v>
      </c>
      <c r="B13" s="11" t="s">
        <v>230</v>
      </c>
      <c r="C13" s="12">
        <v>35</v>
      </c>
      <c r="D13" s="10">
        <v>69.827370000000002</v>
      </c>
      <c r="E13" s="9">
        <f t="shared" si="0"/>
        <v>199.50677142857143</v>
      </c>
      <c r="F13" s="9">
        <f t="shared" si="1"/>
        <v>34.827370000000002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236.9717</v>
      </c>
      <c r="E14" s="9">
        <f t="shared" si="0"/>
        <v>44.293775700934582</v>
      </c>
      <c r="F14" s="9">
        <f t="shared" si="1"/>
        <v>-298.0283</v>
      </c>
    </row>
    <row r="15" spans="1:6" s="6" customFormat="1" ht="15.75" customHeight="1">
      <c r="A15" s="7">
        <v>1060100000</v>
      </c>
      <c r="B15" s="11" t="s">
        <v>9</v>
      </c>
      <c r="C15" s="279">
        <v>75</v>
      </c>
      <c r="D15" s="10">
        <v>22.861139999999999</v>
      </c>
      <c r="E15" s="9">
        <f>SUM(D15/C15*100)</f>
        <v>30.48152</v>
      </c>
      <c r="F15" s="9">
        <f>SUM(D15-C14)</f>
        <v>-512.13886000000002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214.11055999999999</v>
      </c>
      <c r="E16" s="9">
        <f t="shared" si="0"/>
        <v>46.545773913043476</v>
      </c>
      <c r="F16" s="9">
        <f t="shared" si="1"/>
        <v>-245.88944000000001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7.5</v>
      </c>
      <c r="E17" s="5">
        <f t="shared" si="0"/>
        <v>75</v>
      </c>
      <c r="F17" s="5">
        <f t="shared" si="1"/>
        <v>-2.5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7.5</v>
      </c>
      <c r="E18" s="9">
        <f t="shared" si="0"/>
        <v>75</v>
      </c>
      <c r="F18" s="9">
        <f t="shared" si="1"/>
        <v>-2.5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82</v>
      </c>
      <c r="D25" s="5">
        <f>D26+D29+D31+D37-D34</f>
        <v>39.044690000000003</v>
      </c>
      <c r="E25" s="5">
        <f t="shared" si="0"/>
        <v>47.615475609756103</v>
      </c>
      <c r="F25" s="5">
        <f t="shared" si="1"/>
        <v>-42.955309999999997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13.965</v>
      </c>
      <c r="E26" s="5">
        <f t="shared" si="0"/>
        <v>17.030487804878046</v>
      </c>
      <c r="F26" s="5">
        <f t="shared" si="1"/>
        <v>-68.034999999999997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13.965</v>
      </c>
      <c r="E27" s="9">
        <f t="shared" si="0"/>
        <v>17.456250000000001</v>
      </c>
      <c r="F27" s="9">
        <f t="shared" si="1"/>
        <v>-66.034999999999997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0</v>
      </c>
      <c r="D29" s="5">
        <f>D30</f>
        <v>25.080850000000002</v>
      </c>
      <c r="E29" s="5" t="e">
        <f t="shared" si="0"/>
        <v>#DIV/0!</v>
      </c>
      <c r="F29" s="5">
        <f t="shared" si="1"/>
        <v>25.080850000000002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25.080850000000002</v>
      </c>
      <c r="E30" s="9" t="e">
        <f t="shared" si="0"/>
        <v>#DIV/0!</v>
      </c>
      <c r="F30" s="9">
        <f t="shared" si="1"/>
        <v>25.080850000000002</v>
      </c>
    </row>
    <row r="31" spans="1:6" ht="22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 hidden="1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1071.1199999999999</v>
      </c>
      <c r="D40" s="127">
        <f>D4+D25</f>
        <v>617.63137000000006</v>
      </c>
      <c r="E40" s="5">
        <f t="shared" si="0"/>
        <v>57.662201247292565</v>
      </c>
      <c r="F40" s="5">
        <f t="shared" si="1"/>
        <v>-453.48862999999983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2587.5070000000001</v>
      </c>
      <c r="D41" s="346">
        <f>D42+D44+D45+D46+D47+D48+D43+D50</f>
        <v>1665.8731</v>
      </c>
      <c r="E41" s="5">
        <f t="shared" si="0"/>
        <v>64.381394910235983</v>
      </c>
      <c r="F41" s="5">
        <f t="shared" si="1"/>
        <v>-921.63390000000004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1430.432</v>
      </c>
      <c r="E42" s="9">
        <f t="shared" si="0"/>
        <v>75.022801617275832</v>
      </c>
      <c r="F42" s="9">
        <f t="shared" si="1"/>
        <v>-476.23099999999999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73.953999999999994</v>
      </c>
      <c r="D45" s="252">
        <v>60.3431</v>
      </c>
      <c r="E45" s="9">
        <f t="shared" si="0"/>
        <v>81.595451226438058</v>
      </c>
      <c r="F45" s="9">
        <f t="shared" si="1"/>
        <v>-13.610899999999994</v>
      </c>
    </row>
    <row r="46" spans="1:7" hidden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93">
        <f>C40+C41</f>
        <v>3658.627</v>
      </c>
      <c r="D51" s="395">
        <f>D40+D41</f>
        <v>2283.5044699999999</v>
      </c>
      <c r="E51" s="93">
        <f t="shared" si="0"/>
        <v>62.414246382591067</v>
      </c>
      <c r="F51" s="93">
        <f t="shared" si="1"/>
        <v>-1375.1225300000001</v>
      </c>
      <c r="G51" s="296"/>
    </row>
    <row r="52" spans="1:7" s="6" customFormat="1">
      <c r="A52" s="3"/>
      <c r="B52" s="21" t="s">
        <v>321</v>
      </c>
      <c r="C52" s="93">
        <f>C51-C97</f>
        <v>-73.666529999999966</v>
      </c>
      <c r="D52" s="93">
        <f>D51-D97</f>
        <v>290.90793000000008</v>
      </c>
      <c r="E52" s="22"/>
      <c r="F52" s="22"/>
    </row>
    <row r="53" spans="1:7">
      <c r="A53" s="23"/>
      <c r="B53" s="24"/>
      <c r="C53" s="251"/>
      <c r="D53" s="251"/>
      <c r="E53" s="26"/>
      <c r="F53" s="27"/>
    </row>
    <row r="54" spans="1:7" ht="46.5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1291.3660000000002</v>
      </c>
      <c r="D56" s="33">
        <f>D57+D58+D59+D60+D61+D63+D62</f>
        <v>775.43912999999998</v>
      </c>
      <c r="E56" s="34">
        <f>SUM(D56/C56*100)</f>
        <v>60.047974780193982</v>
      </c>
      <c r="F56" s="34">
        <f>SUM(D56-C56)</f>
        <v>-515.92687000000024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1274.5630000000001</v>
      </c>
      <c r="D58" s="37">
        <v>764.09163000000001</v>
      </c>
      <c r="E58" s="38">
        <f t="shared" ref="E58:E97" si="3">SUM(D58/C58*100)</f>
        <v>59.949302623722787</v>
      </c>
      <c r="F58" s="38">
        <f t="shared" ref="F58:F97" si="4">SUM(D58-C58)</f>
        <v>-510.47137000000009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11.803000000000001</v>
      </c>
      <c r="D63" s="37">
        <v>11.3475</v>
      </c>
      <c r="E63" s="38">
        <f t="shared" si="3"/>
        <v>96.140811658053025</v>
      </c>
      <c r="F63" s="38">
        <f t="shared" si="4"/>
        <v>-0.45550000000000068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48.432270000000003</v>
      </c>
      <c r="E64" s="34">
        <f t="shared" si="3"/>
        <v>68.60580777675473</v>
      </c>
      <c r="F64" s="34">
        <f t="shared" si="4"/>
        <v>-22.162729999999996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48.432270000000003</v>
      </c>
      <c r="E65" s="38">
        <f t="shared" si="3"/>
        <v>68.60580777675473</v>
      </c>
      <c r="F65" s="38">
        <f t="shared" si="4"/>
        <v>-22.162729999999996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9.25</v>
      </c>
      <c r="D66" s="32">
        <f>D69+D70</f>
        <v>1.45</v>
      </c>
      <c r="E66" s="34">
        <f t="shared" si="3"/>
        <v>15.675675675675677</v>
      </c>
      <c r="F66" s="34">
        <f t="shared" si="4"/>
        <v>-7.8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5</v>
      </c>
      <c r="D69" s="37">
        <v>0</v>
      </c>
      <c r="E69" s="38">
        <f t="shared" si="3"/>
        <v>0</v>
      </c>
      <c r="F69" s="38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1.45</v>
      </c>
      <c r="E70" s="38">
        <f t="shared" si="3"/>
        <v>34.117647058823529</v>
      </c>
      <c r="F70" s="38">
        <f t="shared" si="4"/>
        <v>-2.8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995.69153000000006</v>
      </c>
      <c r="D71" s="48">
        <f>SUM(D72:D75)</f>
        <v>297.27006</v>
      </c>
      <c r="E71" s="34">
        <f t="shared" si="3"/>
        <v>29.855638121175943</v>
      </c>
      <c r="F71" s="34">
        <f t="shared" si="4"/>
        <v>-698.42147</v>
      </c>
    </row>
    <row r="72" spans="1:7" ht="15.75" customHeight="1">
      <c r="A72" s="35" t="s">
        <v>60</v>
      </c>
      <c r="B72" s="39" t="s">
        <v>61</v>
      </c>
      <c r="C72" s="49">
        <v>9.7089999999999996</v>
      </c>
      <c r="D72" s="37">
        <v>3.75</v>
      </c>
      <c r="E72" s="38">
        <f t="shared" si="3"/>
        <v>38.623957153156866</v>
      </c>
      <c r="F72" s="38">
        <f t="shared" si="4"/>
        <v>-5.9589999999999996</v>
      </c>
    </row>
    <row r="73" spans="1:7" s="6" customFormat="1" ht="19.5" customHeight="1">
      <c r="A73" s="35" t="s">
        <v>62</v>
      </c>
      <c r="B73" s="39" t="s">
        <v>63</v>
      </c>
      <c r="C73" s="49">
        <v>79.168999999999997</v>
      </c>
      <c r="D73" s="37">
        <v>73.958060000000003</v>
      </c>
      <c r="E73" s="38">
        <f t="shared" si="3"/>
        <v>93.417953997145347</v>
      </c>
      <c r="F73" s="38">
        <f t="shared" si="4"/>
        <v>-5.2109399999999937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180</v>
      </c>
      <c r="E74" s="38">
        <f t="shared" si="3"/>
        <v>21.302997108011628</v>
      </c>
      <c r="F74" s="38">
        <f t="shared" si="4"/>
        <v>-664.95153000000005</v>
      </c>
    </row>
    <row r="75" spans="1:7" ht="16.5" customHeight="1">
      <c r="A75" s="35" t="s">
        <v>66</v>
      </c>
      <c r="B75" s="39" t="s">
        <v>67</v>
      </c>
      <c r="C75" s="49">
        <f>31.862+30</f>
        <v>61.861999999999995</v>
      </c>
      <c r="D75" s="37">
        <v>39.561999999999998</v>
      </c>
      <c r="E75" s="38">
        <f t="shared" si="3"/>
        <v>63.952022243057129</v>
      </c>
      <c r="F75" s="38">
        <f t="shared" si="4"/>
        <v>-22.299999999999997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490.59100000000001</v>
      </c>
      <c r="D76" s="32">
        <f>SUM(D77:D79)</f>
        <v>287.41807999999997</v>
      </c>
      <c r="E76" s="34">
        <f t="shared" si="3"/>
        <v>58.58608902323931</v>
      </c>
      <c r="F76" s="34">
        <f t="shared" si="4"/>
        <v>-203.17292000000003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490.59100000000001</v>
      </c>
      <c r="D79" s="37">
        <v>287.41807999999997</v>
      </c>
      <c r="E79" s="38">
        <f t="shared" si="3"/>
        <v>58.58608902323931</v>
      </c>
      <c r="F79" s="38">
        <f t="shared" si="4"/>
        <v>-203.17292000000003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581.87199999999996</v>
      </c>
      <c r="E80" s="34">
        <f t="shared" si="3"/>
        <v>66.667277726856085</v>
      </c>
      <c r="F80" s="34">
        <f t="shared" si="4"/>
        <v>-290.928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581.87199999999996</v>
      </c>
      <c r="E81" s="38">
        <f t="shared" si="3"/>
        <v>66.667277726856085</v>
      </c>
      <c r="F81" s="38">
        <f t="shared" si="4"/>
        <v>-290.928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6" s="6" customFormat="1" ht="15.75" customHeight="1">
      <c r="A97" s="52"/>
      <c r="B97" s="57" t="s">
        <v>119</v>
      </c>
      <c r="C97" s="396">
        <f>C56+C64+C66+C71+C76+C80+C82+C87+C93</f>
        <v>3732.2935299999999</v>
      </c>
      <c r="D97" s="396">
        <f>D56+D64+D66+D71+D76+D80+D82+D87+D93</f>
        <v>1992.5965399999998</v>
      </c>
      <c r="E97" s="34">
        <f t="shared" si="3"/>
        <v>53.387991163706786</v>
      </c>
      <c r="F97" s="34">
        <f t="shared" si="4"/>
        <v>-1739.6969900000001</v>
      </c>
    </row>
    <row r="98" spans="1:6">
      <c r="C98" s="126"/>
      <c r="D98" s="101"/>
    </row>
    <row r="99" spans="1:6" s="65" customFormat="1" ht="16.5" customHeight="1">
      <c r="A99" s="63" t="s">
        <v>120</v>
      </c>
      <c r="B99" s="63"/>
      <c r="C99" s="250"/>
      <c r="D99" s="250"/>
      <c r="E99" s="393"/>
    </row>
    <row r="100" spans="1:6" s="65" customFormat="1" ht="20.25" customHeight="1">
      <c r="A100" s="66" t="s">
        <v>121</v>
      </c>
      <c r="B100" s="66"/>
      <c r="C100" s="65" t="s">
        <v>122</v>
      </c>
    </row>
    <row r="101" spans="1:6" ht="13.5" customHeight="1">
      <c r="C101" s="120"/>
    </row>
    <row r="103" spans="1:6" ht="5.25" customHeight="1"/>
    <row r="141" hidden="1"/>
  </sheetData>
  <customSheetViews>
    <customSheetView guid="{D9DF2AB9-CCB8-40C7-9C85-E4DDD4810EEF}" scale="70" showPageBreaks="1" hiddenRows="1" view="pageBreakPreview" topLeftCell="A62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3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4"/>
    </customSheetView>
    <customSheetView guid="{B30CE22D-C12F-4E12-8BB9-3AAE0A6991CC}" scale="70" showPageBreaks="1" hiddenRows="1" view="pageBreakPreview" topLeftCell="A28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62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1"/>
  <sheetViews>
    <sheetView view="pageBreakPreview" topLeftCell="A69" zoomScale="70" zoomScaleNormal="100" zoomScaleSheetLayoutView="70" workbookViewId="0">
      <selection activeCell="C97" activeCellId="1" sqref="C51:D52 C97:D97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7" t="s">
        <v>429</v>
      </c>
      <c r="B1" s="447"/>
      <c r="C1" s="447"/>
      <c r="D1" s="447"/>
      <c r="E1" s="447"/>
      <c r="F1" s="447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379.29093999999998</v>
      </c>
      <c r="E4" s="5">
        <f>SUM(D4/C4*100)</f>
        <v>52.117585467736617</v>
      </c>
      <c r="F4" s="5">
        <f>SUM(D4-C4)</f>
        <v>-348.46906000000001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22.319800000000001</v>
      </c>
      <c r="E5" s="5">
        <f t="shared" ref="E5:E51" si="0">SUM(D5/C5*100)</f>
        <v>66.825748502994017</v>
      </c>
      <c r="F5" s="5">
        <f t="shared" ref="F5:F51" si="1">SUM(D5-C5)</f>
        <v>-11.080199999999998</v>
      </c>
    </row>
    <row r="6" spans="1:6">
      <c r="A6" s="7">
        <v>1010200001</v>
      </c>
      <c r="B6" s="8" t="s">
        <v>229</v>
      </c>
      <c r="C6" s="9">
        <v>33.4</v>
      </c>
      <c r="D6" s="10">
        <v>22.319800000000001</v>
      </c>
      <c r="E6" s="9">
        <f t="shared" ref="E6:E11" si="2">SUM(D6/C6*100)</f>
        <v>66.825748502994017</v>
      </c>
      <c r="F6" s="9">
        <f t="shared" si="1"/>
        <v>-11.080199999999998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217.94074999999998</v>
      </c>
      <c r="E7" s="5">
        <f t="shared" si="2"/>
        <v>67.607876287380563</v>
      </c>
      <c r="F7" s="5">
        <f t="shared" si="1"/>
        <v>-104.41925000000003</v>
      </c>
    </row>
    <row r="8" spans="1:6">
      <c r="A8" s="7">
        <v>1030223001</v>
      </c>
      <c r="B8" s="8" t="s">
        <v>283</v>
      </c>
      <c r="C8" s="9">
        <v>120.24</v>
      </c>
      <c r="D8" s="10">
        <v>95.111879999999999</v>
      </c>
      <c r="E8" s="9">
        <f t="shared" si="2"/>
        <v>79.101696606786433</v>
      </c>
      <c r="F8" s="9">
        <f t="shared" si="1"/>
        <v>-25.128119999999996</v>
      </c>
    </row>
    <row r="9" spans="1:6">
      <c r="A9" s="7">
        <v>1030224001</v>
      </c>
      <c r="B9" s="8" t="s">
        <v>289</v>
      </c>
      <c r="C9" s="9">
        <v>1.29</v>
      </c>
      <c r="D9" s="10">
        <v>0.81491000000000002</v>
      </c>
      <c r="E9" s="9">
        <f t="shared" si="2"/>
        <v>63.171317829457365</v>
      </c>
      <c r="F9" s="9">
        <f t="shared" si="1"/>
        <v>-0.47509000000000001</v>
      </c>
    </row>
    <row r="10" spans="1:6">
      <c r="A10" s="7">
        <v>1030225001</v>
      </c>
      <c r="B10" s="8" t="s">
        <v>282</v>
      </c>
      <c r="C10" s="9">
        <v>200.83</v>
      </c>
      <c r="D10" s="10">
        <v>144.18756999999999</v>
      </c>
      <c r="E10" s="9">
        <f t="shared" si="2"/>
        <v>71.795832295971707</v>
      </c>
      <c r="F10" s="9">
        <f t="shared" si="1"/>
        <v>-56.642430000000019</v>
      </c>
    </row>
    <row r="11" spans="1:6">
      <c r="A11" s="7">
        <v>1030226001</v>
      </c>
      <c r="B11" s="8" t="s">
        <v>291</v>
      </c>
      <c r="C11" s="9">
        <v>0</v>
      </c>
      <c r="D11" s="10">
        <v>-22.17361</v>
      </c>
      <c r="E11" s="9" t="e">
        <f t="shared" si="2"/>
        <v>#DIV/0!</v>
      </c>
      <c r="F11" s="9">
        <f t="shared" si="1"/>
        <v>-22.17361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8.5609699999999993</v>
      </c>
      <c r="E12" s="5">
        <f t="shared" si="0"/>
        <v>85.609699999999989</v>
      </c>
      <c r="F12" s="5">
        <f t="shared" si="1"/>
        <v>-1.4390300000000007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8.5609699999999993</v>
      </c>
      <c r="E13" s="9">
        <f t="shared" si="0"/>
        <v>85.609699999999989</v>
      </c>
      <c r="F13" s="9">
        <f t="shared" si="1"/>
        <v>-1.4390300000000007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129.66942</v>
      </c>
      <c r="E14" s="5">
        <f t="shared" si="0"/>
        <v>36.526597183098595</v>
      </c>
      <c r="F14" s="5">
        <f t="shared" si="1"/>
        <v>-225.33058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13.47983</v>
      </c>
      <c r="E15" s="9">
        <f t="shared" si="0"/>
        <v>33.699574999999996</v>
      </c>
      <c r="F15" s="9">
        <f>SUM(D15-C15)</f>
        <v>-26.52017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116.18959</v>
      </c>
      <c r="E16" s="9">
        <f t="shared" si="0"/>
        <v>36.885584126984128</v>
      </c>
      <c r="F16" s="9">
        <f t="shared" si="1"/>
        <v>-198.81040999999999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0.8</v>
      </c>
      <c r="E17" s="5">
        <f t="shared" si="0"/>
        <v>11.428571428571429</v>
      </c>
      <c r="F17" s="5">
        <f t="shared" si="1"/>
        <v>-6.2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0.8</v>
      </c>
      <c r="E18" s="9">
        <f t="shared" si="0"/>
        <v>11.428571428571429</v>
      </c>
      <c r="F18" s="9">
        <f t="shared" si="1"/>
        <v>-6.2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13</v>
      </c>
      <c r="C25" s="5">
        <f>C26+C29+C31+C37+C34</f>
        <v>182</v>
      </c>
      <c r="D25" s="5">
        <f>D26+D29+D31+D37+D34</f>
        <v>45.121899999999997</v>
      </c>
      <c r="E25" s="5">
        <f t="shared" si="0"/>
        <v>24.792252747252746</v>
      </c>
      <c r="F25" s="5">
        <f t="shared" si="1"/>
        <v>-136.87810000000002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23.854800000000001</v>
      </c>
      <c r="E26" s="5">
        <f t="shared" si="0"/>
        <v>18.071818181818184</v>
      </c>
      <c r="F26" s="5">
        <f t="shared" si="1"/>
        <v>-108.1452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17.340800000000002</v>
      </c>
      <c r="E28" s="9">
        <f t="shared" si="0"/>
        <v>102.00470588235295</v>
      </c>
      <c r="F28" s="9">
        <f t="shared" si="1"/>
        <v>0.34080000000000155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 ht="18" customHeight="1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18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29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-0.12809999999999999</v>
      </c>
      <c r="E37" s="5" t="e">
        <f t="shared" si="0"/>
        <v>#DIV/0!</v>
      </c>
      <c r="F37" s="5">
        <f t="shared" si="1"/>
        <v>-0.12809999999999999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-0.12809999999999999</v>
      </c>
      <c r="E39" s="9" t="e">
        <f t="shared" si="0"/>
        <v>#DIV/0!</v>
      </c>
      <c r="F39" s="9">
        <f t="shared" si="1"/>
        <v>-0.12809999999999999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127">
        <f>D4+D25</f>
        <v>424.41283999999996</v>
      </c>
      <c r="E40" s="5">
        <f t="shared" si="0"/>
        <v>46.651077207175518</v>
      </c>
      <c r="F40" s="5">
        <f t="shared" si="1"/>
        <v>-485.34716000000003</v>
      </c>
    </row>
    <row r="41" spans="1:7" s="6" customFormat="1">
      <c r="A41" s="3">
        <v>2000000000</v>
      </c>
      <c r="B41" s="4" t="s">
        <v>20</v>
      </c>
      <c r="C41" s="5">
        <f>C42+C43+C44+C45+C46+C47+C50</f>
        <v>2539.1910000000003</v>
      </c>
      <c r="D41" s="392">
        <f>D42+D43+D44+D45+D46+D47+D50</f>
        <v>1642.9450999999999</v>
      </c>
      <c r="E41" s="5">
        <f t="shared" si="0"/>
        <v>64.703486267870346</v>
      </c>
      <c r="F41" s="5">
        <f t="shared" si="1"/>
        <v>-896.24590000000035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911.779</v>
      </c>
      <c r="E42" s="9">
        <f t="shared" si="0"/>
        <v>73.30792126493246</v>
      </c>
      <c r="F42" s="9">
        <f t="shared" si="1"/>
        <v>-331.98700000000008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200</v>
      </c>
      <c r="E43" s="9">
        <f t="shared" si="0"/>
        <v>50</v>
      </c>
      <c r="F43" s="9">
        <f t="shared" si="1"/>
        <v>-200</v>
      </c>
    </row>
    <row r="44" spans="1:7">
      <c r="A44" s="16">
        <v>2022000000</v>
      </c>
      <c r="B44" s="17" t="s">
        <v>22</v>
      </c>
      <c r="C44" s="12">
        <v>725.07</v>
      </c>
      <c r="D44" s="10">
        <v>373.72300000000001</v>
      </c>
      <c r="E44" s="9">
        <f t="shared" si="0"/>
        <v>51.543023432220338</v>
      </c>
      <c r="F44" s="9">
        <f t="shared" si="1"/>
        <v>-351.34700000000004</v>
      </c>
    </row>
    <row r="45" spans="1:7" ht="15" customHeight="1">
      <c r="A45" s="16">
        <v>2023000000</v>
      </c>
      <c r="B45" s="17" t="s">
        <v>23</v>
      </c>
      <c r="C45" s="12">
        <v>73.254999999999995</v>
      </c>
      <c r="D45" s="252">
        <v>60.3431</v>
      </c>
      <c r="E45" s="9">
        <f t="shared" si="0"/>
        <v>82.374035901986218</v>
      </c>
      <c r="F45" s="9">
        <f t="shared" si="1"/>
        <v>-12.911899999999996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3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281">
        <f>C40+C41</f>
        <v>3448.951</v>
      </c>
      <c r="D51" s="398">
        <f>D40+D41</f>
        <v>2067.3579399999999</v>
      </c>
      <c r="E51" s="93">
        <f t="shared" si="0"/>
        <v>59.941644285465344</v>
      </c>
      <c r="F51" s="93">
        <f t="shared" si="1"/>
        <v>-1381.5930600000002</v>
      </c>
      <c r="G51" s="94"/>
    </row>
    <row r="52" spans="1:7" s="6" customFormat="1" ht="16.5" customHeight="1">
      <c r="A52" s="3"/>
      <c r="B52" s="21" t="s">
        <v>322</v>
      </c>
      <c r="C52" s="281">
        <f>C51-C97</f>
        <v>53.393469999999979</v>
      </c>
      <c r="D52" s="281">
        <f>D51-D97</f>
        <v>83.871589999999742</v>
      </c>
      <c r="E52" s="282"/>
      <c r="F52" s="282"/>
    </row>
    <row r="53" spans="1:7">
      <c r="A53" s="23"/>
      <c r="B53" s="24"/>
      <c r="C53" s="329"/>
      <c r="D53" s="329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1139.7604999999999</v>
      </c>
      <c r="D56" s="33">
        <f>D57+D58+D59+D60+D61+D63+D62</f>
        <v>681.70507000000009</v>
      </c>
      <c r="E56" s="34">
        <f>SUM(D56/C56*100)</f>
        <v>59.811255961230472</v>
      </c>
      <c r="F56" s="34">
        <f>SUM(D56-C56)</f>
        <v>-458.05542999999977</v>
      </c>
    </row>
    <row r="57" spans="1:7" s="6" customFormat="1" ht="15.75" hidden="1" customHeight="1">
      <c r="A57" s="35" t="s">
        <v>32</v>
      </c>
      <c r="B57" s="36" t="s">
        <v>33</v>
      </c>
      <c r="C57" s="283"/>
      <c r="D57" s="283"/>
      <c r="E57" s="38"/>
      <c r="F57" s="38"/>
    </row>
    <row r="58" spans="1:7" ht="17.25" customHeight="1">
      <c r="A58" s="35" t="s">
        <v>34</v>
      </c>
      <c r="B58" s="39" t="s">
        <v>35</v>
      </c>
      <c r="C58" s="283">
        <v>1100.9659999999999</v>
      </c>
      <c r="D58" s="283">
        <v>676.06257000000005</v>
      </c>
      <c r="E58" s="38">
        <f t="shared" ref="E58:E97" si="3">SUM(D58/C58*100)</f>
        <v>61.406307733390506</v>
      </c>
      <c r="F58" s="38">
        <f t="shared" ref="F58:F97" si="4">SUM(D58-C58)</f>
        <v>-424.90342999999984</v>
      </c>
    </row>
    <row r="59" spans="1:7" ht="17.25" hidden="1" customHeight="1">
      <c r="A59" s="35" t="s">
        <v>36</v>
      </c>
      <c r="B59" s="39" t="s">
        <v>37</v>
      </c>
      <c r="C59" s="283"/>
      <c r="D59" s="283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3"/>
      <c r="D60" s="283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3">
        <v>32.152000000000001</v>
      </c>
      <c r="D61" s="283">
        <v>0</v>
      </c>
      <c r="E61" s="38">
        <f t="shared" si="3"/>
        <v>0</v>
      </c>
      <c r="F61" s="38">
        <f t="shared" si="4"/>
        <v>-32.152000000000001</v>
      </c>
    </row>
    <row r="62" spans="1:7" ht="15.75" customHeight="1">
      <c r="A62" s="35" t="s">
        <v>42</v>
      </c>
      <c r="B62" s="39" t="s">
        <v>43</v>
      </c>
      <c r="C62" s="284">
        <v>1</v>
      </c>
      <c r="D62" s="284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3">
        <v>5.6425000000000001</v>
      </c>
      <c r="D63" s="283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48.679569999999998</v>
      </c>
      <c r="E64" s="34">
        <f t="shared" si="3"/>
        <v>68.955139101365518</v>
      </c>
      <c r="F64" s="34">
        <f t="shared" si="4"/>
        <v>-21.916430000000005</v>
      </c>
    </row>
    <row r="65" spans="1:9">
      <c r="A65" s="43" t="s">
        <v>48</v>
      </c>
      <c r="B65" s="44" t="s">
        <v>49</v>
      </c>
      <c r="C65" s="283">
        <v>70.596000000000004</v>
      </c>
      <c r="D65" s="283">
        <v>48.679569999999998</v>
      </c>
      <c r="E65" s="38">
        <f t="shared" si="3"/>
        <v>68.955139101365518</v>
      </c>
      <c r="F65" s="38">
        <f t="shared" si="4"/>
        <v>-21.916430000000005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4</v>
      </c>
      <c r="D66" s="33">
        <f>D69+D70</f>
        <v>0</v>
      </c>
      <c r="E66" s="34">
        <f t="shared" si="3"/>
        <v>0</v>
      </c>
      <c r="F66" s="34">
        <f t="shared" si="4"/>
        <v>-4</v>
      </c>
    </row>
    <row r="67" spans="1:9" ht="1.5" hidden="1" customHeight="1">
      <c r="A67" s="35" t="s">
        <v>52</v>
      </c>
      <c r="B67" s="39" t="s">
        <v>53</v>
      </c>
      <c r="C67" s="283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3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5">
        <v>2</v>
      </c>
      <c r="D69" s="33">
        <v>0</v>
      </c>
      <c r="E69" s="34">
        <f t="shared" si="3"/>
        <v>0</v>
      </c>
      <c r="F69" s="34">
        <f t="shared" si="4"/>
        <v>-2</v>
      </c>
    </row>
    <row r="70" spans="1:9">
      <c r="A70" s="46" t="s">
        <v>219</v>
      </c>
      <c r="B70" s="47" t="s">
        <v>220</v>
      </c>
      <c r="C70" s="283">
        <v>2</v>
      </c>
      <c r="D70" s="283">
        <v>0</v>
      </c>
      <c r="E70" s="34">
        <f t="shared" si="3"/>
        <v>0</v>
      </c>
      <c r="F70" s="34">
        <f t="shared" si="4"/>
        <v>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1271.0955300000001</v>
      </c>
      <c r="D71" s="33">
        <f>SUM(D72:D75)</f>
        <v>708.40427</v>
      </c>
      <c r="E71" s="34">
        <f t="shared" si="3"/>
        <v>55.731788310198837</v>
      </c>
      <c r="F71" s="34">
        <f t="shared" si="4"/>
        <v>-562.69126000000006</v>
      </c>
      <c r="I71" s="108"/>
    </row>
    <row r="72" spans="1:9" ht="15.75" customHeight="1">
      <c r="A72" s="35" t="s">
        <v>60</v>
      </c>
      <c r="B72" s="39" t="s">
        <v>61</v>
      </c>
      <c r="C72" s="283">
        <v>8.2590000000000003</v>
      </c>
      <c r="D72" s="283">
        <v>3.75</v>
      </c>
      <c r="E72" s="38">
        <f t="shared" si="3"/>
        <v>45.405012713403558</v>
      </c>
      <c r="F72" s="38">
        <f t="shared" si="4"/>
        <v>-4.5090000000000003</v>
      </c>
    </row>
    <row r="73" spans="1:9" s="6" customFormat="1" ht="19.5" customHeight="1">
      <c r="A73" s="35" t="s">
        <v>62</v>
      </c>
      <c r="B73" s="39" t="s">
        <v>63</v>
      </c>
      <c r="C73" s="283">
        <v>60</v>
      </c>
      <c r="D73" s="283">
        <v>23.57723</v>
      </c>
      <c r="E73" s="38">
        <f t="shared" si="3"/>
        <v>39.295383333333334</v>
      </c>
      <c r="F73" s="38">
        <f t="shared" si="4"/>
        <v>-36.42277</v>
      </c>
      <c r="G73" s="50"/>
    </row>
    <row r="74" spans="1:9">
      <c r="A74" s="35" t="s">
        <v>64</v>
      </c>
      <c r="B74" s="39" t="s">
        <v>65</v>
      </c>
      <c r="C74" s="283">
        <v>1130.0365300000001</v>
      </c>
      <c r="D74" s="283">
        <v>675.07704000000001</v>
      </c>
      <c r="E74" s="38">
        <f t="shared" si="3"/>
        <v>59.739399751970844</v>
      </c>
      <c r="F74" s="38">
        <f t="shared" si="4"/>
        <v>-454.95949000000007</v>
      </c>
    </row>
    <row r="75" spans="1:9">
      <c r="A75" s="35" t="s">
        <v>66</v>
      </c>
      <c r="B75" s="39" t="s">
        <v>67</v>
      </c>
      <c r="C75" s="283">
        <v>72.8</v>
      </c>
      <c r="D75" s="283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211.602</v>
      </c>
      <c r="D76" s="33">
        <f>SUM(D77:D79)</f>
        <v>85.996440000000007</v>
      </c>
      <c r="E76" s="34">
        <f t="shared" si="3"/>
        <v>40.640655570363229</v>
      </c>
      <c r="F76" s="34">
        <f t="shared" si="4"/>
        <v>-125.60556</v>
      </c>
    </row>
    <row r="77" spans="1:9" ht="15" hidden="1" customHeight="1">
      <c r="A77" s="35" t="s">
        <v>70</v>
      </c>
      <c r="B77" s="51" t="s">
        <v>71</v>
      </c>
      <c r="C77" s="283"/>
      <c r="D77" s="283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3"/>
      <c r="D78" s="283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3">
        <v>211.602</v>
      </c>
      <c r="D79" s="283">
        <v>85.996440000000007</v>
      </c>
      <c r="E79" s="38">
        <f t="shared" si="3"/>
        <v>40.640655570363229</v>
      </c>
      <c r="F79" s="38">
        <f t="shared" si="4"/>
        <v>-125.60556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449.70299999999997</v>
      </c>
      <c r="E80" s="34">
        <f t="shared" si="3"/>
        <v>65.221278789737823</v>
      </c>
      <c r="F80" s="34">
        <f t="shared" si="4"/>
        <v>-239.80050000000006</v>
      </c>
    </row>
    <row r="81" spans="1:12" ht="15.75" customHeight="1">
      <c r="A81" s="35" t="s">
        <v>88</v>
      </c>
      <c r="B81" s="39" t="s">
        <v>234</v>
      </c>
      <c r="C81" s="283">
        <v>689.50350000000003</v>
      </c>
      <c r="D81" s="283">
        <v>449.70299999999997</v>
      </c>
      <c r="E81" s="38">
        <f t="shared" si="3"/>
        <v>65.221278789737823</v>
      </c>
      <c r="F81" s="38">
        <f t="shared" si="4"/>
        <v>-239.80050000000006</v>
      </c>
      <c r="L81" s="107"/>
    </row>
    <row r="82" spans="1:12" s="6" customFormat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3"/>
      <c r="D83" s="283"/>
      <c r="E83" s="356" t="e">
        <f>SUM(D83/C83*100)</f>
        <v>#DIV/0!</v>
      </c>
      <c r="F83" s="356">
        <f>SUM(D83-C83)</f>
        <v>0</v>
      </c>
    </row>
    <row r="84" spans="1:12" hidden="1">
      <c r="A84" s="53">
        <v>1003</v>
      </c>
      <c r="B84" s="54" t="s">
        <v>91</v>
      </c>
      <c r="C84" s="283"/>
      <c r="D84" s="283"/>
      <c r="E84" s="356" t="e">
        <f>SUM(D84/C84*100)</f>
        <v>#DIV/0!</v>
      </c>
      <c r="F84" s="356">
        <f>SUM(D84-C84)</f>
        <v>0</v>
      </c>
    </row>
    <row r="85" spans="1:12" hidden="1">
      <c r="A85" s="53">
        <v>1004</v>
      </c>
      <c r="B85" s="54" t="s">
        <v>92</v>
      </c>
      <c r="C85" s="283"/>
      <c r="D85" s="286"/>
      <c r="E85" s="356" t="e">
        <f>SUM(D85/C85*100)</f>
        <v>#DIV/0!</v>
      </c>
      <c r="F85" s="356">
        <f>SUM(D85-C85)</f>
        <v>0</v>
      </c>
    </row>
    <row r="86" spans="1:12" ht="15" customHeight="1">
      <c r="A86" s="35" t="s">
        <v>93</v>
      </c>
      <c r="B86" s="39" t="s">
        <v>94</v>
      </c>
      <c r="C86" s="283">
        <v>5</v>
      </c>
      <c r="D86" s="283">
        <v>5</v>
      </c>
      <c r="E86" s="356">
        <f>SUM(D86/C86*100)</f>
        <v>100</v>
      </c>
      <c r="F86" s="356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3">
        <v>4</v>
      </c>
      <c r="D88" s="283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3"/>
      <c r="D89" s="283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3"/>
      <c r="D90" s="283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3"/>
      <c r="D91" s="283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3"/>
      <c r="D92" s="283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3"/>
      <c r="D94" s="283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3"/>
      <c r="D95" s="283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3"/>
      <c r="D96" s="283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3">
        <f>C56+C64+C66+C71+C76+C80+C87+C82</f>
        <v>3395.55753</v>
      </c>
      <c r="D97" s="33">
        <f>D56+D64+D66+D71+D76+D80+D87+D82</f>
        <v>1983.4863500000001</v>
      </c>
      <c r="E97" s="34">
        <f t="shared" si="3"/>
        <v>58.414158278154694</v>
      </c>
      <c r="F97" s="34">
        <f t="shared" si="4"/>
        <v>-1412.0711799999999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  <row r="141" hidden="1"/>
  </sheetData>
  <customSheetViews>
    <customSheetView guid="{D9DF2AB9-CCB8-40C7-9C85-E4DDD4810EEF}" scale="70" showPageBreaks="1" hiddenRows="1" view="pageBreakPreview" topLeftCell="A69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2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3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4"/>
    </customSheetView>
    <customSheetView guid="{B30CE22D-C12F-4E12-8BB9-3AAE0A6991CC}" scale="70" showPageBreaks="1" hiddenRows="1" view="pageBreakPreview" topLeftCell="A37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53" orientation="portrait" r:id="rId5"/>
    </customSheetView>
    <customSheetView guid="{A54C432C-6C68-4B53-A75C-446EB3A61B2B}" scale="70" showPageBreaks="1" hiddenRows="1" view="pageBreakPreview" topLeftCell="A69">
      <selection activeCell="C97" activeCellId="1" sqref="C51:D52 C97:D97"/>
      <pageMargins left="0.70866141732283472" right="0.70866141732283472" top="0.74803149606299213" bottom="0.74803149606299213" header="0.31496062992125984" footer="0.31496062992125984"/>
      <pageSetup paperSize="9" scale="58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8" orientation="portrait" r:id="rId7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41"/>
  <sheetViews>
    <sheetView view="pageBreakPreview" topLeftCell="A39" zoomScale="70" zoomScaleNormal="100" zoomScaleSheetLayoutView="70" workbookViewId="0">
      <selection activeCell="C50" activeCellId="1" sqref="C96:D96 C50:D5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430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2400.41</v>
      </c>
      <c r="D4" s="5">
        <f>D5+D12+D14+D17+D7</f>
        <v>1320.61328</v>
      </c>
      <c r="E4" s="5">
        <f>SUM(D4/C4*100)</f>
        <v>55.016154740231883</v>
      </c>
      <c r="F4" s="5">
        <f>SUM(D4-C4)</f>
        <v>-1079.7967199999998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78.698989999999995</v>
      </c>
      <c r="E5" s="5">
        <f t="shared" ref="E5:E50" si="0">SUM(D5/C5*100)</f>
        <v>68.732742358078596</v>
      </c>
      <c r="F5" s="5">
        <f t="shared" ref="F5:F50" si="1">SUM(D5-C5)</f>
        <v>-35.801010000000005</v>
      </c>
    </row>
    <row r="6" spans="1:6">
      <c r="A6" s="7">
        <v>1010200001</v>
      </c>
      <c r="B6" s="8" t="s">
        <v>229</v>
      </c>
      <c r="C6" s="9">
        <v>114.5</v>
      </c>
      <c r="D6" s="10">
        <v>78.698989999999995</v>
      </c>
      <c r="E6" s="9">
        <f t="shared" ref="E6:E11" si="2">SUM(D6/C6*100)</f>
        <v>68.732742358078596</v>
      </c>
      <c r="F6" s="9">
        <f t="shared" si="1"/>
        <v>-35.801010000000005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336.29269999999997</v>
      </c>
      <c r="E7" s="5">
        <f t="shared" si="2"/>
        <v>67.608753342313179</v>
      </c>
      <c r="F7" s="5">
        <f t="shared" si="1"/>
        <v>-161.1173</v>
      </c>
    </row>
    <row r="8" spans="1:6">
      <c r="A8" s="7">
        <v>1030223001</v>
      </c>
      <c r="B8" s="8" t="s">
        <v>283</v>
      </c>
      <c r="C8" s="9">
        <v>185.53</v>
      </c>
      <c r="D8" s="10">
        <v>146.7621</v>
      </c>
      <c r="E8" s="9">
        <f t="shared" si="2"/>
        <v>79.104241901579258</v>
      </c>
      <c r="F8" s="9">
        <f t="shared" si="1"/>
        <v>-38.767899999999997</v>
      </c>
    </row>
    <row r="9" spans="1:6">
      <c r="A9" s="7">
        <v>1030224001</v>
      </c>
      <c r="B9" s="8" t="s">
        <v>289</v>
      </c>
      <c r="C9" s="9">
        <v>2</v>
      </c>
      <c r="D9" s="10">
        <v>1.25745</v>
      </c>
      <c r="E9" s="9">
        <f t="shared" si="2"/>
        <v>62.872499999999995</v>
      </c>
      <c r="F9" s="9">
        <f t="shared" si="1"/>
        <v>-0.74255000000000004</v>
      </c>
    </row>
    <row r="10" spans="1:6">
      <c r="A10" s="7">
        <v>1030225001</v>
      </c>
      <c r="B10" s="8" t="s">
        <v>282</v>
      </c>
      <c r="C10" s="9">
        <v>309.88</v>
      </c>
      <c r="D10" s="10">
        <v>222.48813000000001</v>
      </c>
      <c r="E10" s="9">
        <f t="shared" si="2"/>
        <v>71.798157351232732</v>
      </c>
      <c r="F10" s="9">
        <f t="shared" si="1"/>
        <v>-87.391869999999983</v>
      </c>
    </row>
    <row r="11" spans="1:6">
      <c r="A11" s="7">
        <v>1030226001</v>
      </c>
      <c r="B11" s="8" t="s">
        <v>291</v>
      </c>
      <c r="C11" s="9">
        <v>0</v>
      </c>
      <c r="D11" s="10">
        <v>-34.214979999999997</v>
      </c>
      <c r="E11" s="9" t="e">
        <f t="shared" si="2"/>
        <v>#DIV/0!</v>
      </c>
      <c r="F11" s="9">
        <f t="shared" si="1"/>
        <v>-34.214979999999997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42.170999999999999</v>
      </c>
      <c r="E12" s="5">
        <f t="shared" si="0"/>
        <v>281.14</v>
      </c>
      <c r="F12" s="5">
        <f t="shared" si="1"/>
        <v>27.170999999999999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42.170999999999999</v>
      </c>
      <c r="E13" s="9">
        <f t="shared" si="0"/>
        <v>281.14</v>
      </c>
      <c r="F13" s="9">
        <f t="shared" si="1"/>
        <v>27.170999999999999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856.50058999999999</v>
      </c>
      <c r="E14" s="5">
        <f t="shared" si="0"/>
        <v>48.62336588135112</v>
      </c>
      <c r="F14" s="5">
        <f t="shared" si="1"/>
        <v>-904.99941000000001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90.049270000000007</v>
      </c>
      <c r="E15" s="9">
        <f t="shared" si="0"/>
        <v>60.032846666666671</v>
      </c>
      <c r="F15" s="9">
        <f>SUM(D15-C15)</f>
        <v>-59.950729999999993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766.45132000000001</v>
      </c>
      <c r="E16" s="9">
        <f t="shared" si="0"/>
        <v>47.561360223394352</v>
      </c>
      <c r="F16" s="9">
        <f t="shared" si="1"/>
        <v>-845.04867999999999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6.95</v>
      </c>
      <c r="E17" s="5">
        <f t="shared" si="0"/>
        <v>57.916666666666671</v>
      </c>
      <c r="F17" s="5">
        <f t="shared" si="1"/>
        <v>-5.05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6.95</v>
      </c>
      <c r="E18" s="9">
        <f t="shared" si="0"/>
        <v>57.916666666666671</v>
      </c>
      <c r="F18" s="9">
        <f t="shared" si="1"/>
        <v>-5.05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250</v>
      </c>
      <c r="D25" s="5">
        <f>D26+D29+D31+D36+D34</f>
        <v>114.60264000000001</v>
      </c>
      <c r="E25" s="5">
        <f t="shared" si="0"/>
        <v>45.841056000000002</v>
      </c>
      <c r="F25" s="5">
        <f t="shared" si="1"/>
        <v>-135.39735999999999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65.194999999999993</v>
      </c>
      <c r="E26" s="5">
        <f t="shared" si="0"/>
        <v>26.077999999999996</v>
      </c>
      <c r="F26" s="5">
        <f t="shared" si="1"/>
        <v>-184.80500000000001</v>
      </c>
    </row>
    <row r="27" spans="1:6">
      <c r="A27" s="16">
        <v>1110502510</v>
      </c>
      <c r="B27" s="17" t="s">
        <v>226</v>
      </c>
      <c r="C27" s="12">
        <v>220</v>
      </c>
      <c r="D27" s="10">
        <v>40.216999999999999</v>
      </c>
      <c r="E27" s="9">
        <f t="shared" si="0"/>
        <v>18.280454545454543</v>
      </c>
      <c r="F27" s="9">
        <f t="shared" si="1"/>
        <v>-179.78300000000002</v>
      </c>
    </row>
    <row r="28" spans="1:6">
      <c r="A28" s="7">
        <v>1110503510</v>
      </c>
      <c r="B28" s="11" t="s">
        <v>225</v>
      </c>
      <c r="C28" s="12">
        <v>30</v>
      </c>
      <c r="D28" s="10">
        <v>24.978000000000002</v>
      </c>
      <c r="E28" s="9">
        <f t="shared" si="0"/>
        <v>83.26</v>
      </c>
      <c r="F28" s="9">
        <f t="shared" si="1"/>
        <v>-5.0219999999999985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0</v>
      </c>
      <c r="D29" s="5">
        <f>D30</f>
        <v>48.231670000000001</v>
      </c>
      <c r="E29" s="5" t="e">
        <f t="shared" si="0"/>
        <v>#DIV/0!</v>
      </c>
      <c r="F29" s="5">
        <f t="shared" si="1"/>
        <v>48.231670000000001</v>
      </c>
    </row>
    <row r="30" spans="1:6" ht="21" customHeight="1">
      <c r="A30" s="7">
        <v>1130206510</v>
      </c>
      <c r="B30" s="8" t="s">
        <v>15</v>
      </c>
      <c r="C30" s="9">
        <v>0</v>
      </c>
      <c r="D30" s="10">
        <v>48.231670000000001</v>
      </c>
      <c r="E30" s="9" t="e">
        <f t="shared" si="0"/>
        <v>#DIV/0!</v>
      </c>
      <c r="F30" s="9">
        <f t="shared" si="1"/>
        <v>48.231670000000001</v>
      </c>
    </row>
    <row r="31" spans="1:6" ht="0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6.5" hidden="1" customHeight="1">
      <c r="A34" s="3">
        <v>1160000000</v>
      </c>
      <c r="B34" s="13" t="s">
        <v>252</v>
      </c>
      <c r="C34" s="9">
        <v>0</v>
      </c>
      <c r="D34" s="14">
        <f>D35</f>
        <v>1.17597</v>
      </c>
      <c r="E34" s="9" t="e">
        <f t="shared" si="0"/>
        <v>#DIV/0!</v>
      </c>
      <c r="F34" s="9">
        <f t="shared" si="1"/>
        <v>1.17597</v>
      </c>
    </row>
    <row r="35" spans="1:7" ht="0.75" hidden="1" customHeight="1">
      <c r="A35" s="7">
        <v>1163305010</v>
      </c>
      <c r="B35" s="8" t="s">
        <v>268</v>
      </c>
      <c r="C35" s="9">
        <v>0</v>
      </c>
      <c r="D35" s="10">
        <v>1.17597</v>
      </c>
      <c r="E35" s="9" t="e">
        <f t="shared" si="0"/>
        <v>#DIV/0!</v>
      </c>
      <c r="F35" s="9">
        <f t="shared" si="1"/>
        <v>1.17597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0</v>
      </c>
      <c r="E36" s="9" t="e">
        <f t="shared" si="0"/>
        <v>#DIV/0!</v>
      </c>
      <c r="F36" s="5">
        <f t="shared" si="1"/>
        <v>0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0</v>
      </c>
      <c r="E37" s="9" t="e">
        <f t="shared" si="0"/>
        <v>#DIV/0!</v>
      </c>
      <c r="F37" s="9">
        <f t="shared" si="1"/>
        <v>0</v>
      </c>
    </row>
    <row r="38" spans="1:7" ht="1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2650.41</v>
      </c>
      <c r="D39" s="127">
        <f>SUM(D4,D25)</f>
        <v>1435.2159200000001</v>
      </c>
      <c r="E39" s="5">
        <f t="shared" si="0"/>
        <v>54.150713285868989</v>
      </c>
      <c r="F39" s="5">
        <f t="shared" si="1"/>
        <v>-1215.1940799999998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2147.9899999999998</v>
      </c>
      <c r="D40" s="346">
        <f>D41+D42+D43+D44+D48+D47</f>
        <v>894.89025000000015</v>
      </c>
      <c r="E40" s="5">
        <f t="shared" si="0"/>
        <v>41.661751218581102</v>
      </c>
      <c r="F40" s="5">
        <f t="shared" si="1"/>
        <v>-1253.0997499999996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722.63099999999997</v>
      </c>
      <c r="E41" s="9">
        <f t="shared" si="0"/>
        <v>84.10960083989599</v>
      </c>
      <c r="F41" s="9">
        <f t="shared" si="1"/>
        <v>-136.52300000000002</v>
      </c>
    </row>
    <row r="42" spans="1:7" ht="15" customHeight="1">
      <c r="A42" s="16">
        <v>2021500200</v>
      </c>
      <c r="B42" s="17" t="s">
        <v>232</v>
      </c>
      <c r="C42" s="12">
        <v>600</v>
      </c>
      <c r="D42" s="20">
        <v>0</v>
      </c>
      <c r="E42" s="9">
        <f>SUM(D42/C42*100)</f>
        <v>0</v>
      </c>
      <c r="F42" s="9">
        <f>SUM(D42-C42)</f>
        <v>-600</v>
      </c>
    </row>
    <row r="43" spans="1:7">
      <c r="A43" s="16">
        <v>2022000000</v>
      </c>
      <c r="B43" s="17" t="s">
        <v>22</v>
      </c>
      <c r="C43" s="12">
        <v>457.16199999999998</v>
      </c>
      <c r="D43" s="10">
        <v>335.63900000000001</v>
      </c>
      <c r="E43" s="9">
        <f t="shared" si="0"/>
        <v>73.417956873055942</v>
      </c>
      <c r="F43" s="9">
        <f t="shared" si="1"/>
        <v>-121.52299999999997</v>
      </c>
    </row>
    <row r="44" spans="1:7" ht="18.75" customHeight="1">
      <c r="A44" s="16">
        <v>2023000000</v>
      </c>
      <c r="B44" s="17" t="s">
        <v>23</v>
      </c>
      <c r="C44" s="12">
        <v>71.573999999999998</v>
      </c>
      <c r="D44" s="252">
        <v>59.305999999999997</v>
      </c>
      <c r="E44" s="9">
        <f t="shared" si="0"/>
        <v>82.859697655573257</v>
      </c>
      <c r="F44" s="9">
        <f t="shared" si="1"/>
        <v>-12.268000000000001</v>
      </c>
    </row>
    <row r="45" spans="1:7" ht="17.25" customHeight="1">
      <c r="A45" s="16">
        <v>2020400000</v>
      </c>
      <c r="B45" s="17" t="s">
        <v>24</v>
      </c>
      <c r="C45" s="12">
        <v>120</v>
      </c>
      <c r="D45" s="253">
        <v>0</v>
      </c>
      <c r="E45" s="9">
        <f t="shared" si="0"/>
        <v>0</v>
      </c>
      <c r="F45" s="9">
        <f t="shared" si="1"/>
        <v>-120</v>
      </c>
    </row>
    <row r="46" spans="1:7" ht="47.25" hidden="1">
      <c r="A46" s="16">
        <v>2020900000</v>
      </c>
      <c r="B46" s="18" t="s">
        <v>25</v>
      </c>
      <c r="C46" s="12"/>
      <c r="D46" s="253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>
      <c r="A49" s="357">
        <v>2190000010</v>
      </c>
      <c r="B49" s="358" t="s">
        <v>26</v>
      </c>
      <c r="C49" s="12">
        <v>0</v>
      </c>
      <c r="D49" s="10">
        <v>-262.74074999999999</v>
      </c>
      <c r="E49" s="9" t="e">
        <f t="shared" si="0"/>
        <v>#DIV/0!</v>
      </c>
      <c r="F49" s="9">
        <f t="shared" si="1"/>
        <v>-262.74074999999999</v>
      </c>
    </row>
    <row r="50" spans="1:7" s="6" customFormat="1" ht="19.5" customHeight="1">
      <c r="A50" s="3"/>
      <c r="B50" s="4" t="s">
        <v>28</v>
      </c>
      <c r="C50" s="93">
        <f>C39+C40</f>
        <v>4798.3999999999996</v>
      </c>
      <c r="D50" s="395">
        <f>D39+D40</f>
        <v>2330.10617</v>
      </c>
      <c r="E50" s="5">
        <f t="shared" si="0"/>
        <v>48.560065230076702</v>
      </c>
      <c r="F50" s="5">
        <f t="shared" si="1"/>
        <v>-2468.2938299999996</v>
      </c>
      <c r="G50" s="94"/>
    </row>
    <row r="51" spans="1:7" s="6" customFormat="1">
      <c r="A51" s="3"/>
      <c r="B51" s="21" t="s">
        <v>321</v>
      </c>
      <c r="C51" s="93">
        <f>C50-C96</f>
        <v>-646.64892000000054</v>
      </c>
      <c r="D51" s="93">
        <f>D50-D96</f>
        <v>-106.94173000000001</v>
      </c>
      <c r="E51" s="22"/>
      <c r="F51" s="22"/>
    </row>
    <row r="52" spans="1:7">
      <c r="A52" s="23"/>
      <c r="B52" s="24"/>
      <c r="C52" s="354"/>
      <c r="D52" s="354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4" t="s">
        <v>346</v>
      </c>
      <c r="D53" s="245" t="s">
        <v>412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7">
        <f>C56+C57+C58+C59+C60+C62+C61</f>
        <v>1438.34</v>
      </c>
      <c r="D55" s="32">
        <f>D56+D57+D58+D59+D60+D62+D61</f>
        <v>881.19901000000004</v>
      </c>
      <c r="E55" s="34">
        <f>SUM(D55/C55*100)</f>
        <v>61.265000625721321</v>
      </c>
      <c r="F55" s="34">
        <f>SUM(D55-C55)</f>
        <v>-557.14098999999987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1429.154</v>
      </c>
      <c r="D57" s="37">
        <v>877.44051000000002</v>
      </c>
      <c r="E57" s="34">
        <f>SUM(D57/C57*100)</f>
        <v>61.3957984933744</v>
      </c>
      <c r="F57" s="38">
        <f t="shared" ref="F57:F96" si="3">SUM(D57-C57)</f>
        <v>-551.71348999999998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 hidden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4.1859999999999999</v>
      </c>
      <c r="D62" s="37">
        <v>3.7585000000000002</v>
      </c>
      <c r="E62" s="38">
        <f t="shared" si="4"/>
        <v>89.787386526516968</v>
      </c>
      <c r="F62" s="38">
        <f t="shared" si="3"/>
        <v>-0.42749999999999977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45.599620000000002</v>
      </c>
      <c r="E63" s="34">
        <f t="shared" si="4"/>
        <v>64.593271478150015</v>
      </c>
      <c r="F63" s="34">
        <f t="shared" si="3"/>
        <v>-24.995379999999997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45.599620000000002</v>
      </c>
      <c r="E64" s="38">
        <f t="shared" si="4"/>
        <v>64.593271478150015</v>
      </c>
      <c r="F64" s="38">
        <f t="shared" si="3"/>
        <v>-24.995379999999997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25.3</v>
      </c>
      <c r="D65" s="32">
        <f>D68+D69</f>
        <v>12.650740000000001</v>
      </c>
      <c r="E65" s="34">
        <f t="shared" si="4"/>
        <v>50.002924901185771</v>
      </c>
      <c r="F65" s="34">
        <f t="shared" si="3"/>
        <v>-12.64926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hidden="1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25.3</v>
      </c>
      <c r="D69" s="37">
        <v>12.650740000000001</v>
      </c>
      <c r="E69" s="34">
        <f t="shared" si="4"/>
        <v>50.002924901185771</v>
      </c>
      <c r="F69" s="34">
        <f t="shared" si="3"/>
        <v>-12.64926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2233.5359200000003</v>
      </c>
      <c r="D70" s="48">
        <f>SUM(D71:D74)</f>
        <v>914.48603000000003</v>
      </c>
      <c r="E70" s="34">
        <f t="shared" si="4"/>
        <v>40.943421675528725</v>
      </c>
      <c r="F70" s="34">
        <f t="shared" si="3"/>
        <v>-1319.0498900000002</v>
      </c>
    </row>
    <row r="71" spans="1:7">
      <c r="A71" s="35" t="s">
        <v>60</v>
      </c>
      <c r="B71" s="39" t="s">
        <v>61</v>
      </c>
      <c r="C71" s="49">
        <v>4.0289999999999999</v>
      </c>
      <c r="D71" s="37">
        <v>0</v>
      </c>
      <c r="E71" s="38">
        <f t="shared" si="4"/>
        <v>0</v>
      </c>
      <c r="F71" s="38">
        <f t="shared" si="3"/>
        <v>-4.0289999999999999</v>
      </c>
    </row>
    <row r="72" spans="1:7" s="6" customFormat="1">
      <c r="A72" s="35" t="s">
        <v>62</v>
      </c>
      <c r="B72" s="39" t="s">
        <v>63</v>
      </c>
      <c r="C72" s="49">
        <v>1135</v>
      </c>
      <c r="D72" s="37">
        <v>218.19782000000001</v>
      </c>
      <c r="E72" s="38">
        <f t="shared" si="4"/>
        <v>19.22447753303965</v>
      </c>
      <c r="F72" s="38">
        <f t="shared" si="3"/>
        <v>-916.80218000000002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671.28821000000005</v>
      </c>
      <c r="E73" s="38">
        <f t="shared" si="4"/>
        <v>64.833775372298049</v>
      </c>
      <c r="F73" s="38">
        <f t="shared" si="3"/>
        <v>-364.11071000000004</v>
      </c>
    </row>
    <row r="74" spans="1:7">
      <c r="A74" s="35" t="s">
        <v>66</v>
      </c>
      <c r="B74" s="39" t="s">
        <v>67</v>
      </c>
      <c r="C74" s="49">
        <v>59.107999999999997</v>
      </c>
      <c r="D74" s="37">
        <v>25</v>
      </c>
      <c r="E74" s="38">
        <f t="shared" si="4"/>
        <v>42.295459159504638</v>
      </c>
      <c r="F74" s="38">
        <f t="shared" si="3"/>
        <v>-34.107999999999997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707.07799999999997</v>
      </c>
      <c r="D75" s="32">
        <f>SUM(D76:D78)</f>
        <v>201.23052999999999</v>
      </c>
      <c r="E75" s="34">
        <f t="shared" si="4"/>
        <v>28.459452846786348</v>
      </c>
      <c r="F75" s="34">
        <f t="shared" si="3"/>
        <v>-505.84746999999999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707.07799999999997</v>
      </c>
      <c r="D78" s="37">
        <v>201.23052999999999</v>
      </c>
      <c r="E78" s="38">
        <f t="shared" si="4"/>
        <v>28.459452846786348</v>
      </c>
      <c r="F78" s="38">
        <f t="shared" si="3"/>
        <v>-505.84746999999999</v>
      </c>
    </row>
    <row r="79" spans="1:7" s="6" customFormat="1">
      <c r="A79" s="30" t="s">
        <v>86</v>
      </c>
      <c r="B79" s="31" t="s">
        <v>87</v>
      </c>
      <c r="C79" s="32">
        <f>C80</f>
        <v>950.2</v>
      </c>
      <c r="D79" s="32">
        <f>SUM(D80)</f>
        <v>379.68196999999998</v>
      </c>
      <c r="E79" s="34">
        <f t="shared" si="4"/>
        <v>39.95811092401599</v>
      </c>
      <c r="F79" s="34">
        <f t="shared" si="3"/>
        <v>-570.51803000000007</v>
      </c>
    </row>
    <row r="80" spans="1:7" ht="15.75" customHeight="1">
      <c r="A80" s="35" t="s">
        <v>88</v>
      </c>
      <c r="B80" s="39" t="s">
        <v>234</v>
      </c>
      <c r="C80" s="37">
        <v>950.2</v>
      </c>
      <c r="D80" s="37">
        <v>379.68196999999998</v>
      </c>
      <c r="E80" s="38">
        <f t="shared" si="4"/>
        <v>39.95811092401599</v>
      </c>
      <c r="F80" s="38">
        <f t="shared" si="3"/>
        <v>-570.51803000000007</v>
      </c>
    </row>
    <row r="81" spans="1:6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6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6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6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6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6">
      <c r="A86" s="30" t="s">
        <v>95</v>
      </c>
      <c r="B86" s="31" t="s">
        <v>96</v>
      </c>
      <c r="C86" s="32">
        <f>C87+C88+C89+C90+C91</f>
        <v>20</v>
      </c>
      <c r="D86" s="32">
        <f>D87+D88+D89+D90+D91</f>
        <v>2.2000000000000002</v>
      </c>
      <c r="E86" s="38">
        <f t="shared" si="4"/>
        <v>11.000000000000002</v>
      </c>
      <c r="F86" s="22">
        <f>F87+F88+F89+F90+F91</f>
        <v>-17.8</v>
      </c>
    </row>
    <row r="87" spans="1:6" ht="17.25" customHeight="1">
      <c r="A87" s="35" t="s">
        <v>97</v>
      </c>
      <c r="B87" s="39" t="s">
        <v>98</v>
      </c>
      <c r="C87" s="37">
        <v>20</v>
      </c>
      <c r="D87" s="37">
        <v>2.2000000000000002</v>
      </c>
      <c r="E87" s="38">
        <f t="shared" si="4"/>
        <v>11.000000000000002</v>
      </c>
      <c r="F87" s="38">
        <f>SUM(D87-C87)</f>
        <v>-17.8</v>
      </c>
    </row>
    <row r="88" spans="1:6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6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6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6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6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6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6" s="6" customFormat="1" ht="15.75" customHeight="1">
      <c r="A96" s="52"/>
      <c r="B96" s="57" t="s">
        <v>119</v>
      </c>
      <c r="C96" s="396">
        <f>C55+C63+C70+C75+C79+C81+C86+C65+C92</f>
        <v>5445.0489200000002</v>
      </c>
      <c r="D96" s="396">
        <f>D55+D63+D70+D75+D79+D81+D86+D65+D92</f>
        <v>2437.0479</v>
      </c>
      <c r="E96" s="34">
        <f t="shared" si="4"/>
        <v>44.75713507455503</v>
      </c>
      <c r="F96" s="34">
        <f t="shared" si="3"/>
        <v>-3008.0010200000002</v>
      </c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50"/>
      <c r="D98" s="250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  <row r="141" hidden="1"/>
  </sheetData>
  <customSheetViews>
    <customSheetView guid="{D9DF2AB9-CCB8-40C7-9C85-E4DDD4810EEF}" scale="70" showPageBreaks="1" printArea="1" hiddenRows="1" view="pageBreakPreview" topLeftCell="A39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3"/>
    </customSheetView>
    <customSheetView guid="{5BFCA170-DEAE-4D2C-98A0-1E68B427AC01}" showPageBreaks="1" printArea="1" hiddenRows="1" topLeftCell="A37">
      <selection activeCell="B100" sqref="B100"/>
      <pageMargins left="0.7" right="0.7" top="0.75" bottom="0.75" header="0.3" footer="0.3"/>
      <pageSetup paperSize="9" scale="57" orientation="portrait" r:id="rId4"/>
    </customSheetView>
    <customSheetView guid="{B30CE22D-C12F-4E12-8BB9-3AAE0A6991CC}" scale="70" showPageBreaks="1" printArea="1" hiddenRows="1" view="pageBreakPreview" topLeftCell="A28">
      <selection activeCell="E98" sqref="E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printArea="1" hiddenRows="1" view="pageBreakPreview" topLeftCell="A39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41"/>
  <sheetViews>
    <sheetView view="pageBreakPreview" topLeftCell="A62" zoomScale="70" zoomScaleNormal="100" zoomScaleSheetLayoutView="70" workbookViewId="0">
      <selection activeCell="C98" activeCellId="1" sqref="C52:D53 C98:D98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432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1338.54</v>
      </c>
      <c r="D4" s="5">
        <f>D5+D12+D14+D17+D7</f>
        <v>733.70150999999998</v>
      </c>
      <c r="E4" s="5">
        <f>SUM(D4/C4*100)</f>
        <v>54.813566273701198</v>
      </c>
      <c r="F4" s="5">
        <f>SUM(D4-C4)</f>
        <v>-604.83848999999998</v>
      </c>
    </row>
    <row r="5" spans="1:6" s="6" customFormat="1">
      <c r="A5" s="68">
        <v>1010000000</v>
      </c>
      <c r="B5" s="67" t="s">
        <v>6</v>
      </c>
      <c r="C5" s="5">
        <f>C6</f>
        <v>105.2</v>
      </c>
      <c r="D5" s="5">
        <f>D6</f>
        <v>81.604619999999997</v>
      </c>
      <c r="E5" s="5">
        <f t="shared" ref="E5:E52" si="0">SUM(D5/C5*100)</f>
        <v>77.570931558935357</v>
      </c>
      <c r="F5" s="5">
        <f t="shared" ref="F5:F52" si="1">SUM(D5-C5)</f>
        <v>-23.595380000000006</v>
      </c>
    </row>
    <row r="6" spans="1:6">
      <c r="A6" s="7">
        <v>1010200001</v>
      </c>
      <c r="B6" s="8" t="s">
        <v>229</v>
      </c>
      <c r="C6" s="9">
        <v>105.2</v>
      </c>
      <c r="D6" s="10">
        <v>81.604619999999997</v>
      </c>
      <c r="E6" s="9">
        <f t="shared" ref="E6:E11" si="2">SUM(D6/C6*100)</f>
        <v>77.570931558935357</v>
      </c>
      <c r="F6" s="9">
        <f t="shared" si="1"/>
        <v>-23.595380000000006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453.20123000000001</v>
      </c>
      <c r="E7" s="5">
        <f t="shared" si="2"/>
        <v>67.607666258913397</v>
      </c>
      <c r="F7" s="5">
        <f t="shared" si="1"/>
        <v>-217.13876999999991</v>
      </c>
    </row>
    <row r="8" spans="1:6">
      <c r="A8" s="7">
        <v>1030223001</v>
      </c>
      <c r="B8" s="8" t="s">
        <v>283</v>
      </c>
      <c r="C8" s="9">
        <v>250.04</v>
      </c>
      <c r="D8" s="10">
        <v>197.78236000000001</v>
      </c>
      <c r="E8" s="9">
        <f t="shared" si="2"/>
        <v>79.100287953927378</v>
      </c>
      <c r="F8" s="9">
        <f t="shared" si="1"/>
        <v>-52.257639999999981</v>
      </c>
    </row>
    <row r="9" spans="1:6">
      <c r="A9" s="7">
        <v>1030224001</v>
      </c>
      <c r="B9" s="8" t="s">
        <v>289</v>
      </c>
      <c r="C9" s="9">
        <v>2.68</v>
      </c>
      <c r="D9" s="10">
        <v>1.69462</v>
      </c>
      <c r="E9" s="9">
        <f t="shared" si="2"/>
        <v>63.232089552238804</v>
      </c>
      <c r="F9" s="9">
        <f t="shared" si="1"/>
        <v>-0.98538000000000014</v>
      </c>
    </row>
    <row r="10" spans="1:6">
      <c r="A10" s="7">
        <v>1030225001</v>
      </c>
      <c r="B10" s="8" t="s">
        <v>282</v>
      </c>
      <c r="C10" s="9">
        <v>417.62</v>
      </c>
      <c r="D10" s="10">
        <v>299.83377000000002</v>
      </c>
      <c r="E10" s="9">
        <f t="shared" si="2"/>
        <v>71.795835927398116</v>
      </c>
      <c r="F10" s="9">
        <f t="shared" si="1"/>
        <v>-117.78622999999999</v>
      </c>
    </row>
    <row r="11" spans="1:6">
      <c r="A11" s="7">
        <v>1030226001</v>
      </c>
      <c r="B11" s="8" t="s">
        <v>291</v>
      </c>
      <c r="C11" s="9">
        <v>0</v>
      </c>
      <c r="D11" s="10">
        <v>-46.109520000000003</v>
      </c>
      <c r="E11" s="9" t="e">
        <f t="shared" si="2"/>
        <v>#DIV/0!</v>
      </c>
      <c r="F11" s="9">
        <f t="shared" si="1"/>
        <v>-46.109520000000003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193.58834000000002</v>
      </c>
      <c r="E14" s="5">
        <f t="shared" si="0"/>
        <v>36.873969523809521</v>
      </c>
      <c r="F14" s="5">
        <f t="shared" si="1"/>
        <v>-331.41165999999998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46.545529999999999</v>
      </c>
      <c r="E15" s="9">
        <f t="shared" si="0"/>
        <v>44.329076190476194</v>
      </c>
      <c r="F15" s="9">
        <f>SUM(D15-C15)</f>
        <v>-58.454470000000001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147.04281</v>
      </c>
      <c r="E16" s="9">
        <f t="shared" si="0"/>
        <v>35.010192857142854</v>
      </c>
      <c r="F16" s="9">
        <f t="shared" si="1"/>
        <v>-272.95718999999997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3.65</v>
      </c>
      <c r="E17" s="5">
        <f t="shared" si="0"/>
        <v>45.625</v>
      </c>
      <c r="F17" s="5">
        <f t="shared" si="1"/>
        <v>-4.3499999999999996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3.65</v>
      </c>
      <c r="E18" s="9">
        <f t="shared" si="0"/>
        <v>45.625</v>
      </c>
      <c r="F18" s="9">
        <f t="shared" si="1"/>
        <v>-4.3499999999999996</v>
      </c>
    </row>
    <row r="19" spans="1:6" ht="49.5" hidden="1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260</v>
      </c>
      <c r="D25" s="5">
        <f>D26+D29+D31+D34</f>
        <v>322.00469000000004</v>
      </c>
      <c r="E25" s="5">
        <f t="shared" si="0"/>
        <v>123.8479576923077</v>
      </c>
      <c r="F25" s="5">
        <f t="shared" si="1"/>
        <v>62.004690000000039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22</v>
      </c>
      <c r="E26" s="5">
        <f t="shared" si="0"/>
        <v>36.666666666666664</v>
      </c>
      <c r="F26" s="5">
        <f t="shared" si="1"/>
        <v>-38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22</v>
      </c>
      <c r="E28" s="9">
        <f t="shared" si="0"/>
        <v>36.666666666666664</v>
      </c>
      <c r="F28" s="9">
        <f t="shared" si="1"/>
        <v>-38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200</v>
      </c>
      <c r="D29" s="5">
        <f>D30</f>
        <v>300.24479000000002</v>
      </c>
      <c r="E29" s="5">
        <f t="shared" si="0"/>
        <v>150.12239500000001</v>
      </c>
      <c r="F29" s="5">
        <f t="shared" si="1"/>
        <v>100.24479000000002</v>
      </c>
    </row>
    <row r="30" spans="1:6" ht="15.75" customHeight="1">
      <c r="A30" s="7">
        <v>1130206005</v>
      </c>
      <c r="B30" s="8" t="s">
        <v>15</v>
      </c>
      <c r="C30" s="9">
        <v>200</v>
      </c>
      <c r="D30" s="10">
        <v>300.24479000000002</v>
      </c>
      <c r="E30" s="9">
        <f t="shared" si="0"/>
        <v>150.12239500000001</v>
      </c>
      <c r="F30" s="9">
        <f t="shared" si="1"/>
        <v>100.24479000000002</v>
      </c>
    </row>
    <row r="31" spans="1:6" ht="20.2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1598.54</v>
      </c>
      <c r="D37" s="127">
        <f>D4+D25</f>
        <v>1055.7062000000001</v>
      </c>
      <c r="E37" s="5">
        <f t="shared" si="0"/>
        <v>66.041900734420167</v>
      </c>
      <c r="F37" s="5">
        <f t="shared" si="1"/>
        <v>-542.83379999999988</v>
      </c>
    </row>
    <row r="38" spans="1:7" s="6" customFormat="1">
      <c r="A38" s="3">
        <v>2000000000</v>
      </c>
      <c r="B38" s="4" t="s">
        <v>20</v>
      </c>
      <c r="C38" s="5">
        <f>C39+C41+C42+C43+C50+C51</f>
        <v>5606.6020000000008</v>
      </c>
      <c r="D38" s="5">
        <f>D39+D41+D42+D43+D50+D51</f>
        <v>2920.4364999999998</v>
      </c>
      <c r="E38" s="5">
        <f t="shared" si="0"/>
        <v>52.089242289714868</v>
      </c>
      <c r="F38" s="5">
        <f t="shared" si="1"/>
        <v>-2686.165500000001</v>
      </c>
      <c r="G38" s="19"/>
    </row>
    <row r="39" spans="1:7">
      <c r="A39" s="16">
        <v>2021000000</v>
      </c>
      <c r="B39" s="17" t="s">
        <v>21</v>
      </c>
      <c r="C39" s="12">
        <v>2768.5630000000001</v>
      </c>
      <c r="D39" s="20">
        <v>2080.174</v>
      </c>
      <c r="E39" s="9">
        <v>0</v>
      </c>
      <c r="F39" s="9">
        <f t="shared" si="1"/>
        <v>-688.38900000000012</v>
      </c>
    </row>
    <row r="40" spans="1:7" ht="14.25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624.97</v>
      </c>
      <c r="D41" s="20">
        <v>0</v>
      </c>
      <c r="E41" s="9">
        <f t="shared" si="0"/>
        <v>0</v>
      </c>
      <c r="F41" s="9">
        <f t="shared" si="1"/>
        <v>-624.97</v>
      </c>
    </row>
    <row r="42" spans="1:7">
      <c r="A42" s="16">
        <v>2022000000</v>
      </c>
      <c r="B42" s="17" t="s">
        <v>22</v>
      </c>
      <c r="C42" s="12">
        <v>1977.37</v>
      </c>
      <c r="D42" s="10">
        <v>635.33000000000004</v>
      </c>
      <c r="E42" s="9">
        <f t="shared" si="0"/>
        <v>32.130051533096996</v>
      </c>
      <c r="F42" s="9">
        <f t="shared" si="1"/>
        <v>-1342.04</v>
      </c>
    </row>
    <row r="43" spans="1:7" ht="17.25" customHeight="1">
      <c r="A43" s="16">
        <v>2023000000</v>
      </c>
      <c r="B43" s="17" t="s">
        <v>23</v>
      </c>
      <c r="C43" s="12">
        <v>157.59899999999999</v>
      </c>
      <c r="D43" s="252">
        <v>126.8325</v>
      </c>
      <c r="E43" s="9">
        <f t="shared" si="0"/>
        <v>80.477985266403977</v>
      </c>
      <c r="F43" s="9">
        <f t="shared" si="1"/>
        <v>-30.766499999999994</v>
      </c>
    </row>
    <row r="44" spans="1:7" ht="18" hidden="1" customHeight="1">
      <c r="A44" s="16">
        <v>2020400000</v>
      </c>
      <c r="B44" s="17" t="s">
        <v>24</v>
      </c>
      <c r="C44" s="12"/>
      <c r="D44" s="253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3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8">
        <f>C47</f>
        <v>0</v>
      </c>
      <c r="D46" s="355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hidden="1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93">
        <f>C37+C38</f>
        <v>7205.1420000000007</v>
      </c>
      <c r="D52" s="93">
        <f>D37+D38</f>
        <v>3976.1426999999999</v>
      </c>
      <c r="E52" s="5">
        <f t="shared" si="0"/>
        <v>55.184793026979897</v>
      </c>
      <c r="F52" s="5">
        <f t="shared" si="1"/>
        <v>-3228.9993000000009</v>
      </c>
      <c r="G52" s="94"/>
    </row>
    <row r="53" spans="1:7" s="6" customFormat="1">
      <c r="A53" s="3"/>
      <c r="B53" s="21" t="s">
        <v>321</v>
      </c>
      <c r="C53" s="93">
        <f>C52-C98</f>
        <v>-699.8163799999993</v>
      </c>
      <c r="D53" s="93">
        <f>D52-D98</f>
        <v>-3.1515000000003965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431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1272.5335</v>
      </c>
      <c r="D57" s="33">
        <f>D58+D59+D60+D61+D62+D64+D63</f>
        <v>872.31263000000001</v>
      </c>
      <c r="E57" s="34">
        <f>SUM(D57/C57*100)</f>
        <v>68.549286128813108</v>
      </c>
      <c r="F57" s="34">
        <f>SUM(D57-C57)</f>
        <v>-400.22086999999999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1247.5630000000001</v>
      </c>
      <c r="D59" s="37">
        <v>868.05613000000005</v>
      </c>
      <c r="E59" s="38">
        <f t="shared" ref="E59:E98" si="3">SUM(D59/C59*100)</f>
        <v>69.580143848446923</v>
      </c>
      <c r="F59" s="38">
        <f t="shared" ref="F59:F98" si="4">SUM(D59-C59)</f>
        <v>-379.50687000000005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4.25" customHeight="1">
      <c r="A62" s="35" t="s">
        <v>40</v>
      </c>
      <c r="B62" s="39" t="s">
        <v>41</v>
      </c>
      <c r="C62" s="37">
        <v>15.714</v>
      </c>
      <c r="D62" s="37">
        <v>0</v>
      </c>
      <c r="E62" s="38">
        <f t="shared" si="3"/>
        <v>0</v>
      </c>
      <c r="F62" s="38">
        <f t="shared" si="4"/>
        <v>-15.714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101.3372</v>
      </c>
      <c r="E65" s="34">
        <f t="shared" si="3"/>
        <v>67.163658777447125</v>
      </c>
      <c r="F65" s="34">
        <f t="shared" si="4"/>
        <v>-49.543800000000005</v>
      </c>
    </row>
    <row r="66" spans="1:7">
      <c r="A66" s="43" t="s">
        <v>48</v>
      </c>
      <c r="B66" s="44" t="s">
        <v>49</v>
      </c>
      <c r="C66" s="37">
        <v>150.881</v>
      </c>
      <c r="D66" s="37">
        <v>101.3372</v>
      </c>
      <c r="E66" s="38">
        <f t="shared" si="3"/>
        <v>67.163658777447125</v>
      </c>
      <c r="F66" s="38">
        <f t="shared" si="4"/>
        <v>-49.543800000000005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1527.69938</v>
      </c>
      <c r="D72" s="48">
        <f>SUM(D73:D76)</f>
        <v>1273.8193799999999</v>
      </c>
      <c r="E72" s="34">
        <f t="shared" si="3"/>
        <v>83.381547225606639</v>
      </c>
      <c r="F72" s="34">
        <f t="shared" si="4"/>
        <v>-253.88000000000011</v>
      </c>
    </row>
    <row r="73" spans="1:7" ht="17.25" customHeight="1">
      <c r="A73" s="35" t="s">
        <v>60</v>
      </c>
      <c r="B73" s="39" t="s">
        <v>61</v>
      </c>
      <c r="C73" s="49">
        <v>19.417999999999999</v>
      </c>
      <c r="D73" s="37">
        <v>6.25</v>
      </c>
      <c r="E73" s="38">
        <f t="shared" si="3"/>
        <v>32.18663096096406</v>
      </c>
      <c r="F73" s="38">
        <f t="shared" si="4"/>
        <v>-13.167999999999999</v>
      </c>
    </row>
    <row r="74" spans="1:7" s="6" customFormat="1" ht="19.5" customHeight="1">
      <c r="A74" s="35" t="s">
        <v>62</v>
      </c>
      <c r="B74" s="39" t="s">
        <v>63</v>
      </c>
      <c r="C74" s="49">
        <v>250</v>
      </c>
      <c r="D74" s="37">
        <v>157.28800000000001</v>
      </c>
      <c r="E74" s="38">
        <f t="shared" si="3"/>
        <v>62.915200000000006</v>
      </c>
      <c r="F74" s="38">
        <f t="shared" si="4"/>
        <v>-92.711999999999989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1110.2813799999999</v>
      </c>
      <c r="E75" s="38">
        <f t="shared" si="3"/>
        <v>91.88930644615246</v>
      </c>
      <c r="F75" s="38">
        <f t="shared" si="4"/>
        <v>-98</v>
      </c>
    </row>
    <row r="76" spans="1:7">
      <c r="A76" s="35" t="s">
        <v>66</v>
      </c>
      <c r="B76" s="39" t="s">
        <v>67</v>
      </c>
      <c r="C76" s="49">
        <v>50</v>
      </c>
      <c r="D76" s="37">
        <v>0</v>
      </c>
      <c r="E76" s="38">
        <f t="shared" si="3"/>
        <v>0</v>
      </c>
      <c r="F76" s="38">
        <f t="shared" si="4"/>
        <v>-50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635.83500000000004</v>
      </c>
      <c r="D77" s="32">
        <f>SUM(D78:D80)</f>
        <v>546.24532999999997</v>
      </c>
      <c r="E77" s="34">
        <f t="shared" si="3"/>
        <v>85.909918453686871</v>
      </c>
      <c r="F77" s="34">
        <f t="shared" si="4"/>
        <v>-89.589670000000069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635.83500000000004</v>
      </c>
      <c r="D80" s="37">
        <v>546.24532999999997</v>
      </c>
      <c r="E80" s="38">
        <f t="shared" si="3"/>
        <v>85.909918453686871</v>
      </c>
      <c r="F80" s="38">
        <f t="shared" si="4"/>
        <v>-89.589670000000069</v>
      </c>
    </row>
    <row r="81" spans="1:6" s="6" customFormat="1">
      <c r="A81" s="30" t="s">
        <v>86</v>
      </c>
      <c r="B81" s="31" t="s">
        <v>87</v>
      </c>
      <c r="C81" s="32">
        <f>C82</f>
        <v>4311.0095000000001</v>
      </c>
      <c r="D81" s="32">
        <f>SUM(D82)</f>
        <v>1185.5796600000001</v>
      </c>
      <c r="E81" s="34">
        <f t="shared" si="3"/>
        <v>27.50120731582707</v>
      </c>
      <c r="F81" s="34">
        <f t="shared" si="4"/>
        <v>-3125.4298399999998</v>
      </c>
    </row>
    <row r="82" spans="1:6" ht="15" customHeight="1">
      <c r="A82" s="35" t="s">
        <v>88</v>
      </c>
      <c r="B82" s="39" t="s">
        <v>234</v>
      </c>
      <c r="C82" s="37">
        <v>4311.0095000000001</v>
      </c>
      <c r="D82" s="37">
        <v>1185.5796600000001</v>
      </c>
      <c r="E82" s="38">
        <f t="shared" si="3"/>
        <v>27.50120731582707</v>
      </c>
      <c r="F82" s="38">
        <f t="shared" si="4"/>
        <v>-3125.4298399999998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2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396">
        <f>C57+C65+C67+C72+C77+C81+C88+C83</f>
        <v>7904.95838</v>
      </c>
      <c r="D98" s="396">
        <f>D57+D65+D67+D72+D77+D81+D88+D83</f>
        <v>3979.2942000000003</v>
      </c>
      <c r="E98" s="34">
        <f t="shared" si="3"/>
        <v>50.339217598764897</v>
      </c>
      <c r="F98" s="34">
        <f t="shared" si="4"/>
        <v>-3925.6641799999998</v>
      </c>
    </row>
    <row r="99" spans="1:6">
      <c r="D99" s="246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  <row r="141" hidden="1"/>
  </sheetData>
  <customSheetViews>
    <customSheetView guid="{D9DF2AB9-CCB8-40C7-9C85-E4DDD4810EEF}" scale="70" showPageBreaks="1" hiddenRows="1" view="pageBreakPreview" topLeftCell="A62">
      <selection activeCell="C98" activeCellId="1" sqref="C52:D53 C98:D98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3"/>
    </customSheetView>
    <customSheetView guid="{5BFCA170-DEAE-4D2C-98A0-1E68B427AC01}" showPageBreaks="1" hiddenRows="1" topLeftCell="A38">
      <selection activeCell="J56" sqref="J56"/>
      <pageMargins left="0.7" right="0.7" top="0.75" bottom="0.75" header="0.3" footer="0.3"/>
      <pageSetup paperSize="9" scale="52" orientation="portrait" r:id="rId4"/>
    </customSheetView>
    <customSheetView guid="{B30CE22D-C12F-4E12-8BB9-3AAE0A6991CC}" scale="70" showPageBreaks="1" hiddenRows="1" view="pageBreakPreview" topLeftCell="A25">
      <selection activeCell="E100" sqref="E100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62">
      <selection activeCell="C98" activeCellId="1" sqref="C52:D53 C98:D98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63" zoomScale="70" zoomScaleNormal="100" zoomScaleSheetLayoutView="70" workbookViewId="0">
      <selection activeCell="D83" sqref="D83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46" t="s">
        <v>433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2455.75</v>
      </c>
      <c r="D4" s="5">
        <f>D5+D12+D14+D17+D7</f>
        <v>1097.9809500000001</v>
      </c>
      <c r="E4" s="5">
        <f>SUM(D4/C4*100)</f>
        <v>44.710615901455775</v>
      </c>
      <c r="F4" s="5">
        <f>SUM(D4-C4)</f>
        <v>-1357.7690499999999</v>
      </c>
    </row>
    <row r="5" spans="1:6" s="6" customFormat="1">
      <c r="A5" s="68">
        <v>1010000000</v>
      </c>
      <c r="B5" s="67" t="s">
        <v>6</v>
      </c>
      <c r="C5" s="5">
        <f>C6</f>
        <v>91.5</v>
      </c>
      <c r="D5" s="5">
        <f>D6</f>
        <v>82.744500000000002</v>
      </c>
      <c r="E5" s="5">
        <f t="shared" ref="E5:E52" si="0">SUM(D5/C5*100)</f>
        <v>90.431147540983616</v>
      </c>
      <c r="F5" s="5">
        <f t="shared" ref="F5:F52" si="1">SUM(D5-C5)</f>
        <v>-8.7554999999999978</v>
      </c>
    </row>
    <row r="6" spans="1:6">
      <c r="A6" s="7">
        <v>1010200001</v>
      </c>
      <c r="B6" s="8" t="s">
        <v>229</v>
      </c>
      <c r="C6" s="9">
        <v>91.5</v>
      </c>
      <c r="D6" s="10">
        <v>82.744500000000002</v>
      </c>
      <c r="E6" s="9">
        <f t="shared" ref="E6:E11" si="2">SUM(D6/C6*100)</f>
        <v>90.431147540983616</v>
      </c>
      <c r="F6" s="9">
        <f t="shared" si="1"/>
        <v>-8.7554999999999978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495.05746000000005</v>
      </c>
      <c r="E7" s="5">
        <f t="shared" si="2"/>
        <v>67.607710481392985</v>
      </c>
      <c r="F7" s="5">
        <f t="shared" si="1"/>
        <v>-237.19253999999984</v>
      </c>
    </row>
    <row r="8" spans="1:6">
      <c r="A8" s="7">
        <v>1030223001</v>
      </c>
      <c r="B8" s="8" t="s">
        <v>283</v>
      </c>
      <c r="C8" s="9">
        <v>273.13</v>
      </c>
      <c r="D8" s="10">
        <v>216.04886999999999</v>
      </c>
      <c r="E8" s="9">
        <f t="shared" si="2"/>
        <v>79.101113023102556</v>
      </c>
      <c r="F8" s="9">
        <f t="shared" si="1"/>
        <v>-57.081130000000002</v>
      </c>
    </row>
    <row r="9" spans="1:6">
      <c r="A9" s="7">
        <v>1030224001</v>
      </c>
      <c r="B9" s="8" t="s">
        <v>289</v>
      </c>
      <c r="C9" s="9">
        <v>2.93</v>
      </c>
      <c r="D9" s="10">
        <v>1.8511299999999999</v>
      </c>
      <c r="E9" s="9">
        <f t="shared" si="2"/>
        <v>63.178498293515354</v>
      </c>
      <c r="F9" s="9">
        <f t="shared" si="1"/>
        <v>-1.0788700000000002</v>
      </c>
    </row>
    <row r="10" spans="1:6">
      <c r="A10" s="7">
        <v>1030225001</v>
      </c>
      <c r="B10" s="8" t="s">
        <v>282</v>
      </c>
      <c r="C10" s="9">
        <v>456.19</v>
      </c>
      <c r="D10" s="10">
        <v>327.52542</v>
      </c>
      <c r="E10" s="9">
        <f t="shared" si="2"/>
        <v>71.795835068721374</v>
      </c>
      <c r="F10" s="9">
        <f>SUM(D10-C10)</f>
        <v>-128.66458</v>
      </c>
    </row>
    <row r="11" spans="1:6">
      <c r="A11" s="7">
        <v>1030226001</v>
      </c>
      <c r="B11" s="8" t="s">
        <v>291</v>
      </c>
      <c r="C11" s="9">
        <v>0</v>
      </c>
      <c r="D11" s="10">
        <v>-50.367959999999997</v>
      </c>
      <c r="E11" s="9" t="e">
        <f t="shared" si="2"/>
        <v>#DIV/0!</v>
      </c>
      <c r="F11" s="9">
        <f>SUM(D11-C11)</f>
        <v>-50.367959999999997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21.4968</v>
      </c>
      <c r="E12" s="5">
        <f t="shared" si="0"/>
        <v>143.31199999999998</v>
      </c>
      <c r="F12" s="5">
        <f t="shared" si="1"/>
        <v>6.4968000000000004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21.4968</v>
      </c>
      <c r="E13" s="9">
        <f t="shared" si="0"/>
        <v>143.31199999999998</v>
      </c>
      <c r="F13" s="9">
        <f t="shared" si="1"/>
        <v>6.4968000000000004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1605</v>
      </c>
      <c r="D14" s="5">
        <f>D15+D16</f>
        <v>486.19497999999999</v>
      </c>
      <c r="E14" s="5">
        <f t="shared" si="0"/>
        <v>30.292522118380059</v>
      </c>
      <c r="F14" s="5">
        <f t="shared" si="1"/>
        <v>-1118.80502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44.308610000000002</v>
      </c>
      <c r="E15" s="9">
        <f t="shared" si="0"/>
        <v>28.586200000000002</v>
      </c>
      <c r="F15" s="9">
        <f>SUM(D15-C15)</f>
        <v>-110.69139</v>
      </c>
    </row>
    <row r="16" spans="1:6" ht="15.75" customHeight="1">
      <c r="A16" s="7">
        <v>1060600000</v>
      </c>
      <c r="B16" s="11" t="s">
        <v>8</v>
      </c>
      <c r="C16" s="9">
        <v>1450</v>
      </c>
      <c r="D16" s="10">
        <v>441.88637</v>
      </c>
      <c r="E16" s="9">
        <f t="shared" si="0"/>
        <v>30.474922068965515</v>
      </c>
      <c r="F16" s="9">
        <f t="shared" si="1"/>
        <v>-1008.1136300000001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12.487209999999999</v>
      </c>
      <c r="E17" s="5">
        <f t="shared" si="0"/>
        <v>104.06008333333332</v>
      </c>
      <c r="F17" s="5">
        <f t="shared" si="1"/>
        <v>0.48720999999999925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12.487209999999999</v>
      </c>
      <c r="E18" s="9">
        <f t="shared" si="0"/>
        <v>104.06008333333332</v>
      </c>
      <c r="F18" s="9">
        <f t="shared" si="1"/>
        <v>0.48720999999999925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35</v>
      </c>
      <c r="D25" s="5">
        <f>D30+D37+D26+D35</f>
        <v>100.3308</v>
      </c>
      <c r="E25" s="5">
        <f t="shared" si="0"/>
        <v>286.65942857142858</v>
      </c>
      <c r="F25" s="5">
        <f t="shared" si="1"/>
        <v>65.330799999999996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35</v>
      </c>
      <c r="D26" s="5">
        <f>D27+D28</f>
        <v>61.579819999999998</v>
      </c>
      <c r="E26" s="5">
        <f t="shared" si="0"/>
        <v>175.94234285714285</v>
      </c>
      <c r="F26" s="5">
        <f t="shared" si="1"/>
        <v>26.579819999999998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8.5763599999999993</v>
      </c>
      <c r="E27" s="9">
        <f t="shared" si="0"/>
        <v>28.587866666666667</v>
      </c>
      <c r="F27" s="9">
        <f t="shared" si="1"/>
        <v>-21.423639999999999</v>
      </c>
    </row>
    <row r="28" spans="1:6" ht="15.75" customHeight="1">
      <c r="A28" s="7">
        <v>1110503510</v>
      </c>
      <c r="B28" s="11" t="s">
        <v>225</v>
      </c>
      <c r="C28" s="12">
        <v>5</v>
      </c>
      <c r="D28" s="10">
        <v>53.003459999999997</v>
      </c>
      <c r="E28" s="9">
        <f t="shared" si="0"/>
        <v>1060.0691999999999</v>
      </c>
      <c r="F28" s="9">
        <f t="shared" si="1"/>
        <v>48.003459999999997</v>
      </c>
    </row>
    <row r="29" spans="1:6" ht="15.75" customHeight="1">
      <c r="A29" s="7">
        <v>1110532510</v>
      </c>
      <c r="B29" s="11" t="s">
        <v>362</v>
      </c>
      <c r="C29" s="12">
        <v>0</v>
      </c>
      <c r="D29" s="246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0</v>
      </c>
      <c r="D30" s="5">
        <f>D31</f>
        <v>25.80283</v>
      </c>
      <c r="E30" s="5" t="e">
        <f t="shared" si="0"/>
        <v>#DIV/0!</v>
      </c>
      <c r="F30" s="5">
        <f t="shared" si="1"/>
        <v>25.80283</v>
      </c>
    </row>
    <row r="31" spans="1:6" ht="17.25" customHeight="1">
      <c r="A31" s="7">
        <v>1130206005</v>
      </c>
      <c r="B31" s="8" t="s">
        <v>224</v>
      </c>
      <c r="C31" s="9">
        <v>0</v>
      </c>
      <c r="D31" s="10">
        <v>25.80283</v>
      </c>
      <c r="E31" s="9" t="e">
        <f t="shared" si="0"/>
        <v>#DIV/0!</v>
      </c>
      <c r="F31" s="9">
        <f t="shared" si="1"/>
        <v>25.80283</v>
      </c>
    </row>
    <row r="32" spans="1:6" hidden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20.25" hidden="1" customHeight="1">
      <c r="A35" s="3">
        <v>1160000000</v>
      </c>
      <c r="B35" s="13" t="s">
        <v>252</v>
      </c>
      <c r="C35" s="5">
        <f>C36</f>
        <v>0</v>
      </c>
      <c r="D35" s="14">
        <f>D36</f>
        <v>12.99113</v>
      </c>
      <c r="E35" s="5" t="e">
        <f>SUM(D35/C35*100)</f>
        <v>#DIV/0!</v>
      </c>
      <c r="F35" s="5">
        <f>SUM(D35-C35)</f>
        <v>12.99113</v>
      </c>
    </row>
    <row r="36" spans="1:7" ht="29.25" hidden="1" customHeight="1">
      <c r="A36" s="7">
        <v>1163305010</v>
      </c>
      <c r="B36" s="8" t="s">
        <v>268</v>
      </c>
      <c r="C36" s="9">
        <v>0</v>
      </c>
      <c r="D36" s="10">
        <v>12.99113</v>
      </c>
      <c r="E36" s="9" t="e">
        <f>SUM(D36/C36*100)</f>
        <v>#DIV/0!</v>
      </c>
      <c r="F36" s="9">
        <f>SUM(D36-C36)</f>
        <v>12.99113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-4.2979999999999997E-2</v>
      </c>
      <c r="E37" s="5" t="e">
        <f t="shared" si="0"/>
        <v>#DIV/0!</v>
      </c>
      <c r="F37" s="5">
        <f t="shared" si="1"/>
        <v>-4.2979999999999997E-2</v>
      </c>
    </row>
    <row r="38" spans="1:7">
      <c r="A38" s="7">
        <v>1170105010</v>
      </c>
      <c r="B38" s="8" t="s">
        <v>18</v>
      </c>
      <c r="C38" s="9">
        <v>0</v>
      </c>
      <c r="D38" s="9">
        <v>-4.2979999999999997E-2</v>
      </c>
      <c r="E38" s="9" t="e">
        <f t="shared" si="0"/>
        <v>#DIV/0!</v>
      </c>
      <c r="F38" s="9">
        <f t="shared" si="1"/>
        <v>-4.2979999999999997E-2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2490.75</v>
      </c>
      <c r="D40" s="127">
        <f>D4+D25</f>
        <v>1198.3117500000001</v>
      </c>
      <c r="E40" s="5">
        <f t="shared" si="0"/>
        <v>48.110478771454382</v>
      </c>
      <c r="F40" s="5">
        <f t="shared" si="1"/>
        <v>-1292.4382499999999</v>
      </c>
    </row>
    <row r="41" spans="1:7" s="6" customFormat="1">
      <c r="A41" s="3">
        <v>2000000000</v>
      </c>
      <c r="B41" s="4" t="s">
        <v>20</v>
      </c>
      <c r="C41" s="5">
        <f>C42+C44+C45+C47+C48+C49+C43+C51</f>
        <v>6051.4553599999999</v>
      </c>
      <c r="D41" s="5">
        <f>D42+D44+D45+D47+D48+D49+D43+D51</f>
        <v>4189.8087999999998</v>
      </c>
      <c r="E41" s="5">
        <f t="shared" si="0"/>
        <v>69.236382832707534</v>
      </c>
      <c r="F41" s="5">
        <f t="shared" si="1"/>
        <v>-1861.6465600000001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20">
        <v>1272.0060000000001</v>
      </c>
      <c r="E42" s="9">
        <f t="shared" si="0"/>
        <v>69.845423801033732</v>
      </c>
      <c r="F42" s="9">
        <f t="shared" si="1"/>
        <v>-549.16699999999992</v>
      </c>
    </row>
    <row r="43" spans="1:7" ht="17.25" customHeight="1">
      <c r="A43" s="16">
        <v>2021500200</v>
      </c>
      <c r="B43" s="17" t="s">
        <v>232</v>
      </c>
      <c r="C43" s="12">
        <v>70</v>
      </c>
      <c r="D43" s="20">
        <v>0</v>
      </c>
      <c r="E43" s="9">
        <f t="shared" si="0"/>
        <v>0</v>
      </c>
      <c r="F43" s="9">
        <f t="shared" si="1"/>
        <v>-70</v>
      </c>
    </row>
    <row r="44" spans="1:7">
      <c r="A44" s="16">
        <v>2022000000</v>
      </c>
      <c r="B44" s="17" t="s">
        <v>22</v>
      </c>
      <c r="C44" s="12">
        <v>3340.6713599999998</v>
      </c>
      <c r="D44" s="10">
        <v>2127.9686999999999</v>
      </c>
      <c r="E44" s="9">
        <f t="shared" si="0"/>
        <v>63.698833877511376</v>
      </c>
      <c r="F44" s="9">
        <f t="shared" si="1"/>
        <v>-1212.7026599999999</v>
      </c>
    </row>
    <row r="45" spans="1:7" ht="15.75" customHeight="1">
      <c r="A45" s="16">
        <v>2023000000</v>
      </c>
      <c r="B45" s="17" t="s">
        <v>23</v>
      </c>
      <c r="C45" s="12">
        <v>155.91800000000001</v>
      </c>
      <c r="D45" s="252">
        <v>126.14109999999999</v>
      </c>
      <c r="E45" s="9">
        <f t="shared" si="0"/>
        <v>80.902205005195029</v>
      </c>
      <c r="F45" s="9">
        <f t="shared" si="1"/>
        <v>-29.776900000000012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3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30">
        <v>663.69299999999998</v>
      </c>
      <c r="D51" s="331">
        <v>663.69299999999998</v>
      </c>
      <c r="E51" s="9">
        <f t="shared" si="0"/>
        <v>100</v>
      </c>
      <c r="F51" s="9">
        <f t="shared" si="1"/>
        <v>0</v>
      </c>
    </row>
    <row r="52" spans="1:7" s="6" customFormat="1">
      <c r="A52" s="3"/>
      <c r="B52" s="4" t="s">
        <v>28</v>
      </c>
      <c r="C52" s="93">
        <f>SUM(C40,C41,C50)</f>
        <v>8542.2053599999999</v>
      </c>
      <c r="D52" s="395">
        <f>D40+D41</f>
        <v>5388.1205499999996</v>
      </c>
      <c r="E52" s="5">
        <f t="shared" si="0"/>
        <v>63.076457693590257</v>
      </c>
      <c r="F52" s="5">
        <f t="shared" si="1"/>
        <v>-3154.0848100000003</v>
      </c>
      <c r="G52" s="94"/>
    </row>
    <row r="53" spans="1:7" s="6" customFormat="1">
      <c r="A53" s="3"/>
      <c r="B53" s="21" t="s">
        <v>321</v>
      </c>
      <c r="C53" s="399">
        <f>C52-C99</f>
        <v>-2198.5853299999999</v>
      </c>
      <c r="D53" s="399">
        <f>D52-D99</f>
        <v>-1481.8857400000015</v>
      </c>
      <c r="E53" s="22"/>
      <c r="F53" s="22"/>
    </row>
    <row r="54" spans="1:7" ht="32.25" customHeight="1">
      <c r="A54" s="23"/>
      <c r="B54" s="24"/>
      <c r="C54" s="248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412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1306.498</v>
      </c>
      <c r="D57" s="33">
        <f>D58+D59+D60+D61+D62+D64+D63</f>
        <v>749.23440000000005</v>
      </c>
      <c r="E57" s="34">
        <f>SUM(D57/C57*100)</f>
        <v>57.346769761606986</v>
      </c>
      <c r="F57" s="34">
        <f>SUM(D57-C57)</f>
        <v>-557.2636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732.42740000000003</v>
      </c>
      <c r="E59" s="38">
        <f t="shared" ref="E59:E99" si="3">SUM(D59/C59*100)</f>
        <v>57.05716331184032</v>
      </c>
      <c r="F59" s="38">
        <f t="shared" ref="F59:F99" si="4">SUM(D59-C59)</f>
        <v>-551.24559999999997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17.824999999999999</v>
      </c>
      <c r="D64" s="37">
        <v>16.806999999999999</v>
      </c>
      <c r="E64" s="38">
        <f t="shared" si="3"/>
        <v>94.288920056100977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150.88</v>
      </c>
      <c r="D65" s="32">
        <f>D66</f>
        <v>108.21825</v>
      </c>
      <c r="E65" s="34">
        <f t="shared" si="3"/>
        <v>71.72471500530223</v>
      </c>
      <c r="F65" s="34">
        <f t="shared" si="4"/>
        <v>-42.661749999999998</v>
      </c>
    </row>
    <row r="66" spans="1:7">
      <c r="A66" s="43" t="s">
        <v>48</v>
      </c>
      <c r="B66" s="44" t="s">
        <v>49</v>
      </c>
      <c r="C66" s="37">
        <v>150.88</v>
      </c>
      <c r="D66" s="37">
        <v>108.21825</v>
      </c>
      <c r="E66" s="38">
        <f t="shared" si="3"/>
        <v>71.72471500530223</v>
      </c>
      <c r="F66" s="38">
        <f t="shared" si="4"/>
        <v>-42.661749999999998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60</v>
      </c>
      <c r="D67" s="32">
        <f>D71+D70</f>
        <v>5.7750000000000004</v>
      </c>
      <c r="E67" s="34">
        <f t="shared" si="3"/>
        <v>9.625</v>
      </c>
      <c r="F67" s="34">
        <f t="shared" si="4"/>
        <v>-54.225000000000001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8</v>
      </c>
      <c r="D71" s="37">
        <v>5.7750000000000004</v>
      </c>
      <c r="E71" s="34">
        <f t="shared" si="3"/>
        <v>72.1875</v>
      </c>
      <c r="F71" s="34">
        <f t="shared" si="4"/>
        <v>-2.2249999999999996</v>
      </c>
    </row>
    <row r="72" spans="1:7" ht="15.75" customHeight="1">
      <c r="A72" s="46" t="s">
        <v>360</v>
      </c>
      <c r="B72" s="47" t="s">
        <v>363</v>
      </c>
      <c r="C72" s="37">
        <v>50</v>
      </c>
      <c r="D72" s="37">
        <v>0</v>
      </c>
      <c r="E72" s="34">
        <f>SUM(D72/C72*100)</f>
        <v>0</v>
      </c>
      <c r="F72" s="34">
        <f>SUM(D72-C72)</f>
        <v>-50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5706.0226899999998</v>
      </c>
      <c r="D73" s="48">
        <f>SUM(D74:D77)</f>
        <v>3574.04441</v>
      </c>
      <c r="E73" s="34">
        <f t="shared" si="3"/>
        <v>62.636351170906401</v>
      </c>
      <c r="F73" s="34">
        <f t="shared" si="4"/>
        <v>-2131.9782799999998</v>
      </c>
    </row>
    <row r="74" spans="1:7" ht="16.5" customHeight="1">
      <c r="A74" s="35" t="s">
        <v>60</v>
      </c>
      <c r="B74" s="39" t="s">
        <v>61</v>
      </c>
      <c r="C74" s="49">
        <v>15.188000000000001</v>
      </c>
      <c r="D74" s="37">
        <v>3.75</v>
      </c>
      <c r="E74" s="38">
        <f t="shared" si="3"/>
        <v>24.690545167237289</v>
      </c>
      <c r="F74" s="38">
        <f t="shared" si="4"/>
        <v>-11.438000000000001</v>
      </c>
    </row>
    <row r="75" spans="1:7" s="6" customFormat="1" ht="17.25" customHeight="1">
      <c r="A75" s="35" t="s">
        <v>62</v>
      </c>
      <c r="B75" s="39" t="s">
        <v>63</v>
      </c>
      <c r="C75" s="49">
        <v>400.35199999999998</v>
      </c>
      <c r="D75" s="37">
        <v>50</v>
      </c>
      <c r="E75" s="38">
        <f t="shared" si="3"/>
        <v>12.489009671489089</v>
      </c>
      <c r="F75" s="38">
        <f t="shared" si="4"/>
        <v>-350.35199999999998</v>
      </c>
      <c r="G75" s="50"/>
    </row>
    <row r="76" spans="1:7" ht="18" customHeight="1">
      <c r="A76" s="35" t="s">
        <v>64</v>
      </c>
      <c r="B76" s="39" t="s">
        <v>65</v>
      </c>
      <c r="C76" s="49">
        <v>5136.4826899999998</v>
      </c>
      <c r="D76" s="37">
        <v>3475.9372100000001</v>
      </c>
      <c r="E76" s="38">
        <f t="shared" si="3"/>
        <v>67.671545292407089</v>
      </c>
      <c r="F76" s="38">
        <f t="shared" si="4"/>
        <v>-1660.5454799999998</v>
      </c>
    </row>
    <row r="77" spans="1:7">
      <c r="A77" s="35" t="s">
        <v>66</v>
      </c>
      <c r="B77" s="39" t="s">
        <v>67</v>
      </c>
      <c r="C77" s="49">
        <f>65+89</f>
        <v>154</v>
      </c>
      <c r="D77" s="37">
        <v>44.357199999999999</v>
      </c>
      <c r="E77" s="38">
        <f t="shared" si="3"/>
        <v>28.803376623376625</v>
      </c>
      <c r="F77" s="38">
        <f t="shared" si="4"/>
        <v>-109.64279999999999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476.375</v>
      </c>
      <c r="D78" s="32">
        <f>SUM(D79:D81)</f>
        <v>294.73453999999998</v>
      </c>
      <c r="E78" s="34">
        <f t="shared" si="3"/>
        <v>61.870278667016535</v>
      </c>
      <c r="F78" s="34">
        <f t="shared" si="4"/>
        <v>-181.64046000000002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476.375</v>
      </c>
      <c r="D81" s="37">
        <v>294.73453999999998</v>
      </c>
      <c r="E81" s="38">
        <f>SUM(D81/C81*100)</f>
        <v>61.870278667016535</v>
      </c>
      <c r="F81" s="38">
        <f t="shared" si="4"/>
        <v>-181.64046000000002</v>
      </c>
    </row>
    <row r="82" spans="1:6" s="6" customFormat="1">
      <c r="A82" s="30" t="s">
        <v>86</v>
      </c>
      <c r="B82" s="31" t="s">
        <v>87</v>
      </c>
      <c r="C82" s="32">
        <f>C83</f>
        <v>2982.0149999999999</v>
      </c>
      <c r="D82" s="32">
        <f>D83</f>
        <v>2101.17769</v>
      </c>
      <c r="E82" s="34">
        <f t="shared" si="3"/>
        <v>70.461674069379271</v>
      </c>
      <c r="F82" s="34">
        <f t="shared" si="4"/>
        <v>-880.83730999999989</v>
      </c>
    </row>
    <row r="83" spans="1:6" ht="18.75" customHeight="1">
      <c r="A83" s="35" t="s">
        <v>88</v>
      </c>
      <c r="B83" s="39" t="s">
        <v>234</v>
      </c>
      <c r="C83" s="37">
        <v>2982.0149999999999</v>
      </c>
      <c r="D83" s="37">
        <v>2101.17769</v>
      </c>
      <c r="E83" s="38">
        <f t="shared" si="3"/>
        <v>70.461674069379271</v>
      </c>
      <c r="F83" s="38">
        <f t="shared" si="4"/>
        <v>-880.83730999999989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59</v>
      </c>
      <c r="D89" s="32">
        <f>D90+D91+D92+D93+D94</f>
        <v>36.822000000000003</v>
      </c>
      <c r="E89" s="38">
        <f t="shared" si="3"/>
        <v>62.410169491525423</v>
      </c>
      <c r="F89" s="22">
        <f>F90+F91+F92+F93+F94</f>
        <v>-22.177999999999997</v>
      </c>
    </row>
    <row r="90" spans="1:6" ht="17.25" customHeight="1">
      <c r="A90" s="35" t="s">
        <v>97</v>
      </c>
      <c r="B90" s="39" t="s">
        <v>98</v>
      </c>
      <c r="C90" s="37">
        <f>22+37</f>
        <v>59</v>
      </c>
      <c r="D90" s="37">
        <v>36.822000000000003</v>
      </c>
      <c r="E90" s="38">
        <f t="shared" si="3"/>
        <v>62.410169491525423</v>
      </c>
      <c r="F90" s="38">
        <f>SUM(D90-C90)</f>
        <v>-22.177999999999997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5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1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396">
        <f>C57+C65+C67+C73+C78+C82+C84+C89+C95</f>
        <v>10740.79069</v>
      </c>
      <c r="D99" s="396">
        <f>D57+D65+D67+D73+D78+D82+D84+D89+D95</f>
        <v>6870.0062900000012</v>
      </c>
      <c r="E99" s="34">
        <f t="shared" si="3"/>
        <v>63.961830076403814</v>
      </c>
      <c r="F99" s="34">
        <f t="shared" si="4"/>
        <v>-3870.7843999999986</v>
      </c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  <row r="143" hidden="1"/>
  </sheetData>
  <customSheetViews>
    <customSheetView guid="{D9DF2AB9-CCB8-40C7-9C85-E4DDD4810EEF}" scale="70" showPageBreaks="1" printArea="1" hiddenRows="1" view="pageBreakPreview" topLeftCell="A63">
      <selection activeCell="D83" sqref="D83"/>
      <pageMargins left="0.70866141732283472" right="0.70866141732283472" top="0.74803149606299213" bottom="0.74803149606299213" header="0.31496062992125984" footer="0.31496062992125984"/>
      <pageSetup paperSize="9" scale="62" orientation="portrait" r:id="rId1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3"/>
    </customSheetView>
    <customSheetView guid="{5BFCA170-DEAE-4D2C-98A0-1E68B427AC01}" showPageBreaks="1" printArea="1" hiddenRows="1" topLeftCell="A51">
      <selection activeCell="B100" sqref="B100"/>
      <pageMargins left="0.7" right="0.7" top="0.75" bottom="0.75" header="0.3" footer="0.3"/>
      <pageSetup paperSize="9" scale="54" orientation="portrait" r:id="rId4"/>
    </customSheetView>
    <customSheetView guid="{B30CE22D-C12F-4E12-8BB9-3AAE0A6991CC}" scale="70" showPageBreaks="1" printArea="1" hiddenRows="1" view="pageBreakPreview" topLeftCell="A31">
      <selection activeCell="D77" sqref="D7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printArea="1" hiddenRows="1" view="pageBreakPreview" topLeftCell="A63">
      <selection activeCell="D83" sqref="D83"/>
      <pageMargins left="0.70866141732283472" right="0.70866141732283472" top="0.74803149606299213" bottom="0.74803149606299213" header="0.31496062992125984" footer="0.31496062992125984"/>
      <pageSetup paperSize="9" scale="62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2" orientation="portrait" r:id="rId7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abSelected="1" view="pageBreakPreview" topLeftCell="A51" zoomScale="70" zoomScaleNormal="100" zoomScaleSheetLayoutView="70" workbookViewId="0">
      <selection activeCell="C94" activeCellId="1" sqref="C48:D49 C94:D94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46" t="s">
        <v>434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1750.1619999999998</v>
      </c>
      <c r="D4" s="5">
        <f>D5+D12+D14+D17+D7</f>
        <v>777.40630999999996</v>
      </c>
      <c r="E4" s="5">
        <f>SUM(D4/C4*100)</f>
        <v>44.419105774208333</v>
      </c>
      <c r="F4" s="5">
        <f>SUM(D4-C4)</f>
        <v>-972.75568999999984</v>
      </c>
    </row>
    <row r="5" spans="1:6" s="6" customFormat="1">
      <c r="A5" s="3">
        <v>1010000000</v>
      </c>
      <c r="B5" s="4" t="s">
        <v>6</v>
      </c>
      <c r="C5" s="5">
        <f>C6</f>
        <v>91.6</v>
      </c>
      <c r="D5" s="5">
        <f>D6</f>
        <v>67.891019999999997</v>
      </c>
      <c r="E5" s="5">
        <f t="shared" ref="E5:E48" si="0">SUM(D5/C5*100)</f>
        <v>74.116834061135378</v>
      </c>
      <c r="F5" s="5">
        <f t="shared" ref="F5:F48" si="1">SUM(D5-C5)</f>
        <v>-23.708979999999997</v>
      </c>
    </row>
    <row r="6" spans="1:6">
      <c r="A6" s="7">
        <v>1010200001</v>
      </c>
      <c r="B6" s="8" t="s">
        <v>229</v>
      </c>
      <c r="C6" s="9">
        <v>91.6</v>
      </c>
      <c r="D6" s="10">
        <v>67.891019999999997</v>
      </c>
      <c r="E6" s="9">
        <f t="shared" ref="E6:E11" si="2">SUM(D6/C6*100)</f>
        <v>74.116834061135378</v>
      </c>
      <c r="F6" s="9">
        <f t="shared" si="1"/>
        <v>-23.708979999999997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284.33335999999997</v>
      </c>
      <c r="E7" s="5">
        <f t="shared" si="2"/>
        <v>67.608274681377196</v>
      </c>
      <c r="F7" s="5">
        <f t="shared" si="1"/>
        <v>-136.22664000000003</v>
      </c>
    </row>
    <row r="8" spans="1:6">
      <c r="A8" s="7">
        <v>1030223001</v>
      </c>
      <c r="B8" s="8" t="s">
        <v>283</v>
      </c>
      <c r="C8" s="9">
        <v>156.87</v>
      </c>
      <c r="D8" s="10">
        <v>124.08636</v>
      </c>
      <c r="E8" s="9">
        <f t="shared" si="2"/>
        <v>79.101396060432208</v>
      </c>
      <c r="F8" s="9">
        <f t="shared" si="1"/>
        <v>-32.783640000000005</v>
      </c>
    </row>
    <row r="9" spans="1:6">
      <c r="A9" s="7">
        <v>1030224001</v>
      </c>
      <c r="B9" s="8" t="s">
        <v>289</v>
      </c>
      <c r="C9" s="9">
        <v>1.68</v>
      </c>
      <c r="D9" s="10">
        <v>1.0631600000000001</v>
      </c>
      <c r="E9" s="9">
        <f t="shared" si="2"/>
        <v>63.283333333333346</v>
      </c>
      <c r="F9" s="9">
        <f t="shared" si="1"/>
        <v>-0.61683999999999983</v>
      </c>
    </row>
    <row r="10" spans="1:6">
      <c r="A10" s="7">
        <v>1030225001</v>
      </c>
      <c r="B10" s="8" t="s">
        <v>282</v>
      </c>
      <c r="C10" s="9">
        <v>262.01</v>
      </c>
      <c r="D10" s="10">
        <v>188.11229</v>
      </c>
      <c r="E10" s="9">
        <f t="shared" si="2"/>
        <v>71.795843670088928</v>
      </c>
      <c r="F10" s="9">
        <f t="shared" si="1"/>
        <v>-73.897709999999989</v>
      </c>
    </row>
    <row r="11" spans="1:6">
      <c r="A11" s="7">
        <v>1030226001</v>
      </c>
      <c r="B11" s="8" t="s">
        <v>291</v>
      </c>
      <c r="C11" s="9">
        <v>0</v>
      </c>
      <c r="D11" s="10">
        <v>-28.928450000000002</v>
      </c>
      <c r="E11" s="9" t="e">
        <f t="shared" si="2"/>
        <v>#DIV/0!</v>
      </c>
      <c r="F11" s="9">
        <f t="shared" si="1"/>
        <v>-28.928450000000002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1225</v>
      </c>
      <c r="D14" s="5">
        <f>D15+D16</f>
        <v>421.94713000000002</v>
      </c>
      <c r="E14" s="5">
        <f t="shared" si="0"/>
        <v>34.444663673469393</v>
      </c>
      <c r="F14" s="5">
        <f t="shared" si="1"/>
        <v>-803.05286999999998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32.503819999999997</v>
      </c>
      <c r="E15" s="9">
        <f t="shared" si="0"/>
        <v>13.831412765957445</v>
      </c>
      <c r="F15" s="9">
        <f>SUM(D15-C15)</f>
        <v>-202.49618000000001</v>
      </c>
    </row>
    <row r="16" spans="1:6" ht="15.75" customHeight="1">
      <c r="A16" s="7">
        <v>1060600000</v>
      </c>
      <c r="B16" s="11" t="s">
        <v>8</v>
      </c>
      <c r="C16" s="9">
        <v>990</v>
      </c>
      <c r="D16" s="10">
        <v>389.44331</v>
      </c>
      <c r="E16" s="9">
        <f t="shared" si="0"/>
        <v>39.337708080808085</v>
      </c>
      <c r="F16" s="9">
        <f t="shared" si="1"/>
        <v>-600.55669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3.1309999999999998</v>
      </c>
      <c r="E17" s="5">
        <f t="shared" si="0"/>
        <v>39.127718070482373</v>
      </c>
      <c r="F17" s="5">
        <f t="shared" si="1"/>
        <v>-4.8710000000000004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3.1309999999999998</v>
      </c>
      <c r="E18" s="9">
        <f t="shared" si="0"/>
        <v>39.127718070482373</v>
      </c>
      <c r="F18" s="9">
        <f t="shared" si="1"/>
        <v>-4.8710000000000004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50</v>
      </c>
      <c r="D25" s="5">
        <f>D26+D29+D31+D34</f>
        <v>0.25512000000000001</v>
      </c>
      <c r="E25" s="5">
        <f t="shared" si="0"/>
        <v>0.51024000000000003</v>
      </c>
      <c r="F25" s="5">
        <f t="shared" si="1"/>
        <v>-49.744880000000002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50</v>
      </c>
      <c r="D26" s="5">
        <f>D27+D28+D30</f>
        <v>0.25512000000000001</v>
      </c>
      <c r="E26" s="5">
        <f t="shared" si="0"/>
        <v>0.51024000000000003</v>
      </c>
      <c r="F26" s="5">
        <f t="shared" si="1"/>
        <v>-49.744880000000002</v>
      </c>
    </row>
    <row r="27" spans="1:6" ht="15" customHeight="1">
      <c r="A27" s="16">
        <v>1110502510</v>
      </c>
      <c r="B27" s="17" t="s">
        <v>226</v>
      </c>
      <c r="C27" s="12">
        <v>50</v>
      </c>
      <c r="D27" s="10">
        <v>0.25512000000000001</v>
      </c>
      <c r="E27" s="5">
        <f t="shared" si="0"/>
        <v>0.51024000000000003</v>
      </c>
      <c r="F27" s="9">
        <f t="shared" si="1"/>
        <v>-49.744880000000002</v>
      </c>
    </row>
    <row r="28" spans="1:6" ht="19.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hidden="1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 hidden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idden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idden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1800.1619999999998</v>
      </c>
      <c r="D37" s="127">
        <f>D4+D25</f>
        <v>777.66143</v>
      </c>
      <c r="E37" s="5">
        <f t="shared" si="0"/>
        <v>43.199524820543935</v>
      </c>
      <c r="F37" s="5">
        <f t="shared" si="1"/>
        <v>-1022.5005699999998</v>
      </c>
    </row>
    <row r="38" spans="1:8" s="6" customFormat="1">
      <c r="A38" s="3">
        <v>2000000000</v>
      </c>
      <c r="B38" s="4" t="s">
        <v>20</v>
      </c>
      <c r="C38" s="5">
        <f>C39+C41+C42+C44+C45+C46+C40</f>
        <v>7391.1859999999988</v>
      </c>
      <c r="D38" s="5">
        <f>D39+D41+D42+D44+D45+D46+D40</f>
        <v>1772.1841999999999</v>
      </c>
      <c r="E38" s="5">
        <f t="shared" si="0"/>
        <v>23.976993678687023</v>
      </c>
      <c r="F38" s="5">
        <f t="shared" si="1"/>
        <v>-5619.0017999999991</v>
      </c>
      <c r="G38" s="19"/>
    </row>
    <row r="39" spans="1:8">
      <c r="A39" s="16">
        <v>2021000000</v>
      </c>
      <c r="B39" s="17" t="s">
        <v>21</v>
      </c>
      <c r="C39" s="12">
        <v>975.07100000000003</v>
      </c>
      <c r="D39" s="20">
        <v>708.78899999999999</v>
      </c>
      <c r="E39" s="9">
        <f t="shared" si="0"/>
        <v>72.691014295369257</v>
      </c>
      <c r="F39" s="9">
        <f t="shared" si="1"/>
        <v>-266.28200000000004</v>
      </c>
    </row>
    <row r="40" spans="1:8" ht="15.75" customHeight="1">
      <c r="A40" s="16">
        <v>2021500200</v>
      </c>
      <c r="B40" s="17" t="s">
        <v>232</v>
      </c>
      <c r="C40" s="12">
        <v>584</v>
      </c>
      <c r="D40" s="20">
        <v>494.5</v>
      </c>
      <c r="E40" s="9">
        <f t="shared" si="0"/>
        <v>84.674657534246577</v>
      </c>
      <c r="F40" s="9">
        <f t="shared" si="1"/>
        <v>-89.5</v>
      </c>
    </row>
    <row r="41" spans="1:8">
      <c r="A41" s="16">
        <v>2022000000</v>
      </c>
      <c r="B41" s="17" t="s">
        <v>22</v>
      </c>
      <c r="C41" s="12">
        <f>1703.097+3800</f>
        <v>5503.0969999999998</v>
      </c>
      <c r="D41" s="10">
        <v>259.59699999999998</v>
      </c>
      <c r="E41" s="9">
        <f t="shared" si="0"/>
        <v>4.7172891918859507</v>
      </c>
      <c r="F41" s="9">
        <f t="shared" si="1"/>
        <v>-5243.5</v>
      </c>
    </row>
    <row r="42" spans="1:8" ht="13.5" customHeight="1">
      <c r="A42" s="16">
        <v>2023000000</v>
      </c>
      <c r="B42" s="17" t="s">
        <v>23</v>
      </c>
      <c r="C42" s="12">
        <v>74.096000000000004</v>
      </c>
      <c r="D42" s="252">
        <v>61.376199999999997</v>
      </c>
      <c r="E42" s="9">
        <f t="shared" si="0"/>
        <v>82.833351328006898</v>
      </c>
      <c r="F42" s="9">
        <f t="shared" si="1"/>
        <v>-12.719800000000006</v>
      </c>
    </row>
    <row r="43" spans="1:8" hidden="1">
      <c r="A43" s="16">
        <v>2070503010</v>
      </c>
      <c r="B43" s="17" t="s">
        <v>271</v>
      </c>
      <c r="C43" s="12">
        <v>0</v>
      </c>
      <c r="D43" s="252">
        <v>0</v>
      </c>
      <c r="E43" s="9" t="e">
        <f t="shared" si="0"/>
        <v>#DIV/0!</v>
      </c>
      <c r="F43" s="9">
        <f t="shared" si="1"/>
        <v>0</v>
      </c>
    </row>
    <row r="44" spans="1:8" hidden="1">
      <c r="A44" s="16">
        <v>2020400000</v>
      </c>
      <c r="B44" s="17" t="s">
        <v>24</v>
      </c>
      <c r="C44" s="12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3">
        <v>247.922</v>
      </c>
      <c r="E45" s="9">
        <v>922</v>
      </c>
      <c r="F45" s="9">
        <f t="shared" si="1"/>
        <v>-7</v>
      </c>
      <c r="G45" s="360"/>
      <c r="H45" s="360"/>
    </row>
    <row r="46" spans="1:8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8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400">
        <f>SUM(C37,C38,C47)</f>
        <v>9191.3479999999981</v>
      </c>
      <c r="D48" s="401">
        <f>D37+D38</f>
        <v>2549.8456299999998</v>
      </c>
      <c r="E48" s="5">
        <f t="shared" si="0"/>
        <v>27.741802725780811</v>
      </c>
      <c r="F48" s="5">
        <f t="shared" si="1"/>
        <v>-6641.5023699999983</v>
      </c>
    </row>
    <row r="49" spans="1:6" s="6" customFormat="1">
      <c r="A49" s="3"/>
      <c r="B49" s="21" t="s">
        <v>321</v>
      </c>
      <c r="C49" s="93">
        <f>C48-C94</f>
        <v>-53.659870000003139</v>
      </c>
      <c r="D49" s="93">
        <f>D48-D94</f>
        <v>133.87031999999999</v>
      </c>
      <c r="E49" s="22"/>
      <c r="F49" s="22"/>
    </row>
    <row r="50" spans="1:6" ht="23.25" customHeight="1">
      <c r="A50" s="23"/>
      <c r="B50" s="24"/>
      <c r="C50" s="329"/>
      <c r="D50" s="329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412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1266.1849999999999</v>
      </c>
      <c r="D53" s="32">
        <f>D54+D55+D56+D57+D58+D60+D59</f>
        <v>804.54273000000001</v>
      </c>
      <c r="E53" s="34">
        <f>SUM(D53/C53*100)</f>
        <v>63.540693500554823</v>
      </c>
      <c r="F53" s="34">
        <f>SUM(D53-C53)</f>
        <v>-461.64226999999994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1257.971</v>
      </c>
      <c r="D55" s="37">
        <v>801.32872999999995</v>
      </c>
      <c r="E55" s="38">
        <f t="shared" ref="E55:E94" si="3">SUM(D55/C55*100)</f>
        <v>63.70009563018543</v>
      </c>
      <c r="F55" s="38">
        <f t="shared" ref="F55:F94" si="4">SUM(D55-C55)</f>
        <v>-456.64227000000005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3.214</v>
      </c>
      <c r="D60" s="37">
        <v>3.214</v>
      </c>
      <c r="E60" s="38">
        <f t="shared" si="3"/>
        <v>100</v>
      </c>
      <c r="F60" s="38">
        <f t="shared" si="4"/>
        <v>0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46.185540000000003</v>
      </c>
      <c r="E61" s="34">
        <f t="shared" si="3"/>
        <v>65.422318544960063</v>
      </c>
      <c r="F61" s="34">
        <f t="shared" si="4"/>
        <v>-24.41046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46.185540000000003</v>
      </c>
      <c r="E62" s="38">
        <f t="shared" si="3"/>
        <v>65.422318544960063</v>
      </c>
      <c r="F62" s="38">
        <f t="shared" si="4"/>
        <v>-24.41046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30.7</v>
      </c>
      <c r="D63" s="32">
        <f>D67+D66</f>
        <v>14.436</v>
      </c>
      <c r="E63" s="34">
        <f t="shared" si="3"/>
        <v>47.022801302931597</v>
      </c>
      <c r="F63" s="34">
        <f t="shared" si="4"/>
        <v>-16.263999999999999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15.7</v>
      </c>
      <c r="D67" s="37">
        <v>14.436</v>
      </c>
      <c r="E67" s="34">
        <f t="shared" si="3"/>
        <v>91.949044585987266</v>
      </c>
      <c r="F67" s="34">
        <f t="shared" si="4"/>
        <v>-1.2639999999999993</v>
      </c>
    </row>
    <row r="68" spans="1:7" s="6" customFormat="1">
      <c r="A68" s="30" t="s">
        <v>58</v>
      </c>
      <c r="B68" s="31" t="s">
        <v>59</v>
      </c>
      <c r="C68" s="48">
        <f>SUM(C69:C72)</f>
        <v>2067.6508700000004</v>
      </c>
      <c r="D68" s="48">
        <f>SUM(D69:D72)</f>
        <v>834.72751999999991</v>
      </c>
      <c r="E68" s="34">
        <f t="shared" si="3"/>
        <v>40.370815600991662</v>
      </c>
      <c r="F68" s="34">
        <f t="shared" si="4"/>
        <v>-1232.9233500000005</v>
      </c>
    </row>
    <row r="69" spans="1:7" ht="15" customHeight="1">
      <c r="A69" s="35" t="s">
        <v>60</v>
      </c>
      <c r="B69" s="39" t="s">
        <v>61</v>
      </c>
      <c r="C69" s="49">
        <v>11</v>
      </c>
      <c r="D69" s="37">
        <v>5.625</v>
      </c>
      <c r="E69" s="38">
        <f t="shared" si="3"/>
        <v>51.136363636363633</v>
      </c>
      <c r="F69" s="38">
        <f t="shared" si="4"/>
        <v>-5.375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f>723.79987+1223.939</f>
        <v>1947.7388700000001</v>
      </c>
      <c r="D71" s="37">
        <v>720.19110000000001</v>
      </c>
      <c r="E71" s="38">
        <f t="shared" si="3"/>
        <v>36.975752298869509</v>
      </c>
      <c r="F71" s="38">
        <f t="shared" si="4"/>
        <v>-1227.5477700000001</v>
      </c>
    </row>
    <row r="72" spans="1:7">
      <c r="A72" s="35" t="s">
        <v>66</v>
      </c>
      <c r="B72" s="39" t="s">
        <v>67</v>
      </c>
      <c r="C72" s="49">
        <v>33.81</v>
      </c>
      <c r="D72" s="37">
        <v>33.81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460.37599999999998</v>
      </c>
      <c r="D73" s="32">
        <f>SUM(D75:D76)</f>
        <v>278.99752000000001</v>
      </c>
      <c r="E73" s="34">
        <f t="shared" si="3"/>
        <v>60.60209915373521</v>
      </c>
      <c r="F73" s="34">
        <f t="shared" si="4"/>
        <v>-181.37847999999997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262.37599999999998</v>
      </c>
      <c r="D76" s="37">
        <v>80.997519999999994</v>
      </c>
      <c r="E76" s="38">
        <f>SUM(D76/C76*100)</f>
        <v>30.870780864103427</v>
      </c>
      <c r="F76" s="38">
        <f t="shared" si="4"/>
        <v>-181.37847999999997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435.07100000000003</v>
      </c>
      <c r="E77" s="34">
        <f t="shared" si="3"/>
        <v>8.140537000654879</v>
      </c>
      <c r="F77" s="34">
        <f t="shared" si="4"/>
        <v>-4909.4290000000001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435.07100000000003</v>
      </c>
      <c r="E78" s="38">
        <f t="shared" si="3"/>
        <v>8.140537000654879</v>
      </c>
      <c r="F78" s="38">
        <f t="shared" si="4"/>
        <v>-4909.4290000000001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49">
        <v>5</v>
      </c>
      <c r="D85" s="349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49"/>
      <c r="D86" s="349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9"/>
      <c r="D87" s="349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9"/>
      <c r="D88" s="349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9"/>
      <c r="D89" s="349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50">
        <f>C91+C92+C93</f>
        <v>0</v>
      </c>
      <c r="D90" s="350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51"/>
      <c r="D91" s="349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51"/>
      <c r="D92" s="349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52">
        <v>0</v>
      </c>
      <c r="D93" s="353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401">
        <f>C53+C61+C63+C68+C73+C77+C79+C84+C90</f>
        <v>9245.0078700000013</v>
      </c>
      <c r="D94" s="401">
        <f>D53+D61+D63+D68+D73+D77+D79+D84+D90</f>
        <v>2415.9753099999998</v>
      </c>
      <c r="E94" s="34">
        <f t="shared" si="3"/>
        <v>26.132755579795948</v>
      </c>
      <c r="F94" s="34">
        <f t="shared" si="4"/>
        <v>-6829.0325600000015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D9DF2AB9-CCB8-40C7-9C85-E4DDD4810EEF}" scale="70" showPageBreaks="1" hiddenRows="1" view="pageBreakPreview" topLeftCell="A51">
      <selection activeCell="C94" activeCellId="1" sqref="C48:D49 C94:D94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2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3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62" orientation="portrait" r:id="rId4"/>
    </customSheetView>
    <customSheetView guid="{B30CE22D-C12F-4E12-8BB9-3AAE0A6991CC}" scale="70" showPageBreaks="1" hiddenRows="1" view="pageBreakPreview" topLeftCell="A12">
      <selection activeCell="D50" sqref="D50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51">
      <selection activeCell="C94" activeCellId="1" sqref="C48:D49 C94:D94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C17" activePane="bottomRight" state="frozen"/>
      <selection activeCell="A10" sqref="A10"/>
      <selection pane="topRight" activeCell="C10" sqref="C10"/>
      <selection pane="bottomLeft" activeCell="A14" sqref="A14"/>
      <selection pane="bottomRight" activeCell="DP15" sqref="DP15:DP29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1" style="153" hidden="1" customWidth="1"/>
    <col min="67" max="67" width="13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27" t="s">
        <v>137</v>
      </c>
      <c r="Y1" s="427"/>
      <c r="Z1" s="427"/>
      <c r="AA1" s="156"/>
      <c r="AB1" s="156"/>
      <c r="AC1" s="156"/>
      <c r="AD1" s="422"/>
      <c r="AE1" s="422"/>
      <c r="AF1" s="422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22"/>
      <c r="AE2" s="422"/>
      <c r="AF2" s="422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26" t="s">
        <v>139</v>
      </c>
      <c r="Y3" s="426"/>
      <c r="Z3" s="426"/>
      <c r="AA3" s="158"/>
      <c r="AB3" s="158"/>
      <c r="AC3" s="158"/>
      <c r="AD3" s="426"/>
      <c r="AE3" s="426"/>
      <c r="AF3" s="426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30" t="s">
        <v>140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28" t="s">
        <v>413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21" t="s">
        <v>141</v>
      </c>
      <c r="B7" s="421" t="s">
        <v>142</v>
      </c>
      <c r="C7" s="412" t="s">
        <v>143</v>
      </c>
      <c r="D7" s="413"/>
      <c r="E7" s="414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12" t="s">
        <v>145</v>
      </c>
      <c r="DH7" s="413"/>
      <c r="DI7" s="414"/>
      <c r="DJ7" s="412"/>
      <c r="DK7" s="413"/>
      <c r="DL7" s="413"/>
      <c r="DM7" s="413"/>
      <c r="DN7" s="413"/>
      <c r="DO7" s="413"/>
      <c r="DP7" s="413"/>
      <c r="DQ7" s="413"/>
      <c r="DR7" s="413"/>
      <c r="DS7" s="413"/>
      <c r="DT7" s="413"/>
      <c r="DU7" s="413"/>
      <c r="DV7" s="413"/>
      <c r="DW7" s="413"/>
      <c r="DX7" s="413"/>
      <c r="DY7" s="413"/>
      <c r="DZ7" s="413"/>
      <c r="EA7" s="413"/>
      <c r="EB7" s="413"/>
      <c r="EC7" s="413"/>
      <c r="ED7" s="413"/>
      <c r="EE7" s="413"/>
      <c r="EF7" s="413"/>
      <c r="EG7" s="413"/>
      <c r="EH7" s="413"/>
      <c r="EI7" s="413"/>
      <c r="EJ7" s="413"/>
      <c r="EK7" s="413"/>
      <c r="EL7" s="413"/>
      <c r="EM7" s="413"/>
      <c r="EN7" s="413"/>
      <c r="EO7" s="413"/>
      <c r="EP7" s="413"/>
      <c r="EQ7" s="413"/>
      <c r="ER7" s="413"/>
      <c r="ES7" s="413"/>
      <c r="ET7" s="413"/>
      <c r="EU7" s="413"/>
      <c r="EV7" s="414"/>
      <c r="EW7" s="412" t="s">
        <v>146</v>
      </c>
      <c r="EX7" s="413"/>
      <c r="EY7" s="414"/>
    </row>
    <row r="8" spans="1:159" s="169" customFormat="1" ht="15" customHeight="1">
      <c r="A8" s="421"/>
      <c r="B8" s="421"/>
      <c r="C8" s="415"/>
      <c r="D8" s="416"/>
      <c r="E8" s="417"/>
      <c r="F8" s="415" t="s">
        <v>147</v>
      </c>
      <c r="G8" s="416"/>
      <c r="H8" s="417"/>
      <c r="I8" s="423" t="s">
        <v>148</v>
      </c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4"/>
      <c r="AQ8" s="424"/>
      <c r="AR8" s="424"/>
      <c r="AS8" s="424"/>
      <c r="AT8" s="424"/>
      <c r="AU8" s="424"/>
      <c r="AV8" s="424"/>
      <c r="AW8" s="424"/>
      <c r="AX8" s="425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21" t="s">
        <v>149</v>
      </c>
      <c r="CA8" s="421"/>
      <c r="CB8" s="421"/>
      <c r="CC8" s="418" t="s">
        <v>148</v>
      </c>
      <c r="CD8" s="419"/>
      <c r="CE8" s="419"/>
      <c r="CF8" s="419"/>
      <c r="CG8" s="419"/>
      <c r="CH8" s="419"/>
      <c r="CI8" s="419"/>
      <c r="CJ8" s="419"/>
      <c r="CK8" s="419"/>
      <c r="CL8" s="419"/>
      <c r="CM8" s="419"/>
      <c r="CN8" s="419"/>
      <c r="CO8" s="170"/>
      <c r="CP8" s="170"/>
      <c r="CQ8" s="170"/>
      <c r="CR8" s="170"/>
      <c r="CS8" s="170"/>
      <c r="CT8" s="170"/>
      <c r="CU8" s="175"/>
      <c r="CV8" s="175"/>
      <c r="CW8" s="176"/>
      <c r="CX8" s="415" t="s">
        <v>150</v>
      </c>
      <c r="CY8" s="416"/>
      <c r="CZ8" s="417"/>
      <c r="DA8" s="409"/>
      <c r="DB8" s="410"/>
      <c r="DC8" s="411"/>
      <c r="DD8" s="409"/>
      <c r="DE8" s="410"/>
      <c r="DF8" s="411"/>
      <c r="DG8" s="415"/>
      <c r="DH8" s="416"/>
      <c r="DI8" s="417"/>
      <c r="DJ8" s="415" t="s">
        <v>148</v>
      </c>
      <c r="DK8" s="416"/>
      <c r="DL8" s="416"/>
      <c r="DM8" s="416"/>
      <c r="DN8" s="416"/>
      <c r="DO8" s="416"/>
      <c r="DP8" s="416"/>
      <c r="DQ8" s="416"/>
      <c r="DR8" s="416"/>
      <c r="DS8" s="416"/>
      <c r="DT8" s="416"/>
      <c r="DU8" s="416"/>
      <c r="DV8" s="416"/>
      <c r="DW8" s="416"/>
      <c r="DX8" s="416"/>
      <c r="DY8" s="416"/>
      <c r="DZ8" s="416"/>
      <c r="EA8" s="416"/>
      <c r="EB8" s="416"/>
      <c r="EC8" s="416"/>
      <c r="ED8" s="416"/>
      <c r="EE8" s="416"/>
      <c r="EF8" s="416"/>
      <c r="EG8" s="416"/>
      <c r="EH8" s="416"/>
      <c r="EI8" s="416"/>
      <c r="EJ8" s="416"/>
      <c r="EK8" s="416"/>
      <c r="EL8" s="416"/>
      <c r="EM8" s="416"/>
      <c r="EN8" s="416"/>
      <c r="EO8" s="416"/>
      <c r="EP8" s="416"/>
      <c r="EQ8" s="416"/>
      <c r="ER8" s="416"/>
      <c r="ES8" s="416"/>
      <c r="ET8" s="416"/>
      <c r="EU8" s="416"/>
      <c r="EV8" s="417"/>
      <c r="EW8" s="415"/>
      <c r="EX8" s="416"/>
      <c r="EY8" s="417"/>
    </row>
    <row r="9" spans="1:159" s="169" customFormat="1" ht="15" customHeight="1">
      <c r="A9" s="421"/>
      <c r="B9" s="421"/>
      <c r="C9" s="415"/>
      <c r="D9" s="416"/>
      <c r="E9" s="417"/>
      <c r="F9" s="415"/>
      <c r="G9" s="416"/>
      <c r="H9" s="417"/>
      <c r="I9" s="412" t="s">
        <v>151</v>
      </c>
      <c r="J9" s="413"/>
      <c r="K9" s="414"/>
      <c r="L9" s="412" t="s">
        <v>293</v>
      </c>
      <c r="M9" s="413"/>
      <c r="N9" s="414"/>
      <c r="O9" s="412" t="s">
        <v>296</v>
      </c>
      <c r="P9" s="413"/>
      <c r="Q9" s="414"/>
      <c r="R9" s="412" t="s">
        <v>294</v>
      </c>
      <c r="S9" s="413"/>
      <c r="T9" s="414"/>
      <c r="U9" s="412" t="s">
        <v>295</v>
      </c>
      <c r="V9" s="413"/>
      <c r="W9" s="414"/>
      <c r="X9" s="412" t="s">
        <v>152</v>
      </c>
      <c r="Y9" s="413"/>
      <c r="Z9" s="414"/>
      <c r="AA9" s="412" t="s">
        <v>153</v>
      </c>
      <c r="AB9" s="413"/>
      <c r="AC9" s="414"/>
      <c r="AD9" s="412" t="s">
        <v>154</v>
      </c>
      <c r="AE9" s="413"/>
      <c r="AF9" s="414"/>
      <c r="AG9" s="421" t="s">
        <v>155</v>
      </c>
      <c r="AH9" s="421"/>
      <c r="AI9" s="421"/>
      <c r="AJ9" s="412" t="s">
        <v>255</v>
      </c>
      <c r="AK9" s="413"/>
      <c r="AL9" s="414"/>
      <c r="AM9" s="412" t="s">
        <v>156</v>
      </c>
      <c r="AN9" s="413"/>
      <c r="AO9" s="414"/>
      <c r="AP9" s="412" t="s">
        <v>348</v>
      </c>
      <c r="AQ9" s="413"/>
      <c r="AR9" s="414"/>
      <c r="AS9" s="412" t="s">
        <v>157</v>
      </c>
      <c r="AT9" s="413"/>
      <c r="AU9" s="414"/>
      <c r="AV9" s="412" t="s">
        <v>158</v>
      </c>
      <c r="AW9" s="413"/>
      <c r="AX9" s="414"/>
      <c r="AY9" s="412" t="s">
        <v>257</v>
      </c>
      <c r="AZ9" s="413"/>
      <c r="BA9" s="414"/>
      <c r="BB9" s="412" t="s">
        <v>358</v>
      </c>
      <c r="BC9" s="413"/>
      <c r="BD9" s="414"/>
      <c r="BE9" s="412" t="s">
        <v>159</v>
      </c>
      <c r="BF9" s="413"/>
      <c r="BG9" s="414"/>
      <c r="BH9" s="412" t="s">
        <v>160</v>
      </c>
      <c r="BI9" s="413"/>
      <c r="BJ9" s="414"/>
      <c r="BK9" s="412" t="s">
        <v>286</v>
      </c>
      <c r="BL9" s="413"/>
      <c r="BM9" s="414"/>
      <c r="BN9" s="412" t="s">
        <v>253</v>
      </c>
      <c r="BO9" s="413"/>
      <c r="BP9" s="414"/>
      <c r="BQ9" s="412" t="s">
        <v>161</v>
      </c>
      <c r="BR9" s="413"/>
      <c r="BS9" s="414"/>
      <c r="BT9" s="412" t="s">
        <v>162</v>
      </c>
      <c r="BU9" s="413"/>
      <c r="BV9" s="414"/>
      <c r="BW9" s="415" t="s">
        <v>163</v>
      </c>
      <c r="BX9" s="416"/>
      <c r="BY9" s="416"/>
      <c r="BZ9" s="421"/>
      <c r="CA9" s="421"/>
      <c r="CB9" s="421"/>
      <c r="CC9" s="412" t="s">
        <v>349</v>
      </c>
      <c r="CD9" s="413"/>
      <c r="CE9" s="414"/>
      <c r="CF9" s="412" t="s">
        <v>350</v>
      </c>
      <c r="CG9" s="413"/>
      <c r="CH9" s="414"/>
      <c r="CI9" s="412" t="s">
        <v>164</v>
      </c>
      <c r="CJ9" s="413"/>
      <c r="CK9" s="414"/>
      <c r="CL9" s="412" t="s">
        <v>165</v>
      </c>
      <c r="CM9" s="413"/>
      <c r="CN9" s="414"/>
      <c r="CO9" s="412" t="s">
        <v>24</v>
      </c>
      <c r="CP9" s="413"/>
      <c r="CQ9" s="414"/>
      <c r="CR9" s="412" t="s">
        <v>303</v>
      </c>
      <c r="CS9" s="413"/>
      <c r="CT9" s="414"/>
      <c r="CU9" s="412" t="s">
        <v>351</v>
      </c>
      <c r="CV9" s="413"/>
      <c r="CW9" s="414"/>
      <c r="CX9" s="415"/>
      <c r="CY9" s="416"/>
      <c r="CZ9" s="417"/>
      <c r="DA9" s="412" t="s">
        <v>271</v>
      </c>
      <c r="DB9" s="413"/>
      <c r="DC9" s="414"/>
      <c r="DD9" s="421" t="s">
        <v>166</v>
      </c>
      <c r="DE9" s="421"/>
      <c r="DF9" s="421"/>
      <c r="DG9" s="415"/>
      <c r="DH9" s="416"/>
      <c r="DI9" s="417"/>
      <c r="DJ9" s="440" t="s">
        <v>167</v>
      </c>
      <c r="DK9" s="441"/>
      <c r="DL9" s="442"/>
      <c r="DM9" s="434" t="s">
        <v>144</v>
      </c>
      <c r="DN9" s="435"/>
      <c r="DO9" s="435"/>
      <c r="DP9" s="435"/>
      <c r="DQ9" s="435"/>
      <c r="DR9" s="435"/>
      <c r="DS9" s="435"/>
      <c r="DT9" s="435"/>
      <c r="DU9" s="435"/>
      <c r="DV9" s="435"/>
      <c r="DW9" s="435"/>
      <c r="DX9" s="436"/>
      <c r="DY9" s="440" t="s">
        <v>168</v>
      </c>
      <c r="DZ9" s="441"/>
      <c r="EA9" s="442"/>
      <c r="EB9" s="440" t="s">
        <v>169</v>
      </c>
      <c r="EC9" s="441"/>
      <c r="ED9" s="442"/>
      <c r="EE9" s="440" t="s">
        <v>170</v>
      </c>
      <c r="EF9" s="441"/>
      <c r="EG9" s="442"/>
      <c r="EH9" s="440" t="s">
        <v>171</v>
      </c>
      <c r="EI9" s="441"/>
      <c r="EJ9" s="442"/>
      <c r="EK9" s="412" t="s">
        <v>297</v>
      </c>
      <c r="EL9" s="413"/>
      <c r="EM9" s="414"/>
      <c r="EN9" s="412" t="s">
        <v>172</v>
      </c>
      <c r="EO9" s="413"/>
      <c r="EP9" s="414"/>
      <c r="EQ9" s="412" t="s">
        <v>329</v>
      </c>
      <c r="ER9" s="413"/>
      <c r="ES9" s="414"/>
      <c r="ET9" s="421" t="s">
        <v>299</v>
      </c>
      <c r="EU9" s="421"/>
      <c r="EV9" s="421"/>
      <c r="EW9" s="415"/>
      <c r="EX9" s="416"/>
      <c r="EY9" s="417"/>
    </row>
    <row r="10" spans="1:159" s="169" customFormat="1" ht="15" customHeight="1">
      <c r="A10" s="421"/>
      <c r="B10" s="421"/>
      <c r="C10" s="415"/>
      <c r="D10" s="416"/>
      <c r="E10" s="417"/>
      <c r="F10" s="415"/>
      <c r="G10" s="416"/>
      <c r="H10" s="417"/>
      <c r="I10" s="415"/>
      <c r="J10" s="416"/>
      <c r="K10" s="417"/>
      <c r="L10" s="415"/>
      <c r="M10" s="416"/>
      <c r="N10" s="417"/>
      <c r="O10" s="415"/>
      <c r="P10" s="416"/>
      <c r="Q10" s="417"/>
      <c r="R10" s="415"/>
      <c r="S10" s="416"/>
      <c r="T10" s="417"/>
      <c r="U10" s="415"/>
      <c r="V10" s="416"/>
      <c r="W10" s="417"/>
      <c r="X10" s="415"/>
      <c r="Y10" s="416"/>
      <c r="Z10" s="417"/>
      <c r="AA10" s="415"/>
      <c r="AB10" s="416"/>
      <c r="AC10" s="417"/>
      <c r="AD10" s="415"/>
      <c r="AE10" s="416"/>
      <c r="AF10" s="417"/>
      <c r="AG10" s="421"/>
      <c r="AH10" s="421"/>
      <c r="AI10" s="421"/>
      <c r="AJ10" s="415"/>
      <c r="AK10" s="416"/>
      <c r="AL10" s="417"/>
      <c r="AM10" s="415"/>
      <c r="AN10" s="416"/>
      <c r="AO10" s="417"/>
      <c r="AP10" s="415"/>
      <c r="AQ10" s="416"/>
      <c r="AR10" s="417"/>
      <c r="AS10" s="415"/>
      <c r="AT10" s="416"/>
      <c r="AU10" s="417"/>
      <c r="AV10" s="415"/>
      <c r="AW10" s="416"/>
      <c r="AX10" s="417"/>
      <c r="AY10" s="415"/>
      <c r="AZ10" s="416"/>
      <c r="BA10" s="417"/>
      <c r="BB10" s="415"/>
      <c r="BC10" s="416"/>
      <c r="BD10" s="417"/>
      <c r="BE10" s="415"/>
      <c r="BF10" s="416"/>
      <c r="BG10" s="417"/>
      <c r="BH10" s="415"/>
      <c r="BI10" s="416"/>
      <c r="BJ10" s="417"/>
      <c r="BK10" s="415"/>
      <c r="BL10" s="416"/>
      <c r="BM10" s="417"/>
      <c r="BN10" s="415"/>
      <c r="BO10" s="416"/>
      <c r="BP10" s="417"/>
      <c r="BQ10" s="415"/>
      <c r="BR10" s="416"/>
      <c r="BS10" s="417"/>
      <c r="BT10" s="415"/>
      <c r="BU10" s="416"/>
      <c r="BV10" s="417"/>
      <c r="BW10" s="415"/>
      <c r="BX10" s="416"/>
      <c r="BY10" s="416"/>
      <c r="BZ10" s="421"/>
      <c r="CA10" s="421"/>
      <c r="CB10" s="421"/>
      <c r="CC10" s="415"/>
      <c r="CD10" s="416"/>
      <c r="CE10" s="417"/>
      <c r="CF10" s="415"/>
      <c r="CG10" s="416"/>
      <c r="CH10" s="417"/>
      <c r="CI10" s="415"/>
      <c r="CJ10" s="416"/>
      <c r="CK10" s="417"/>
      <c r="CL10" s="415"/>
      <c r="CM10" s="416"/>
      <c r="CN10" s="417"/>
      <c r="CO10" s="415"/>
      <c r="CP10" s="416"/>
      <c r="CQ10" s="417"/>
      <c r="CR10" s="415"/>
      <c r="CS10" s="416"/>
      <c r="CT10" s="417"/>
      <c r="CU10" s="415"/>
      <c r="CV10" s="416"/>
      <c r="CW10" s="417"/>
      <c r="CX10" s="415"/>
      <c r="CY10" s="416"/>
      <c r="CZ10" s="417"/>
      <c r="DA10" s="415"/>
      <c r="DB10" s="416"/>
      <c r="DC10" s="417"/>
      <c r="DD10" s="421"/>
      <c r="DE10" s="421"/>
      <c r="DF10" s="421"/>
      <c r="DG10" s="415"/>
      <c r="DH10" s="416"/>
      <c r="DI10" s="417"/>
      <c r="DJ10" s="443"/>
      <c r="DK10" s="444"/>
      <c r="DL10" s="445"/>
      <c r="DM10" s="320"/>
      <c r="DN10" s="321"/>
      <c r="DO10" s="321"/>
      <c r="DP10" s="323"/>
      <c r="DQ10" s="323"/>
      <c r="DR10" s="323"/>
      <c r="DS10" s="321"/>
      <c r="DT10" s="321"/>
      <c r="DU10" s="321"/>
      <c r="DV10" s="321"/>
      <c r="DW10" s="321"/>
      <c r="DX10" s="322"/>
      <c r="DY10" s="443"/>
      <c r="DZ10" s="444"/>
      <c r="EA10" s="445"/>
      <c r="EB10" s="443"/>
      <c r="EC10" s="444"/>
      <c r="ED10" s="445"/>
      <c r="EE10" s="443"/>
      <c r="EF10" s="444"/>
      <c r="EG10" s="445"/>
      <c r="EH10" s="443"/>
      <c r="EI10" s="444"/>
      <c r="EJ10" s="445"/>
      <c r="EK10" s="415"/>
      <c r="EL10" s="416"/>
      <c r="EM10" s="417"/>
      <c r="EN10" s="415"/>
      <c r="EO10" s="416"/>
      <c r="EP10" s="417"/>
      <c r="EQ10" s="415"/>
      <c r="ER10" s="416"/>
      <c r="ES10" s="417"/>
      <c r="ET10" s="421"/>
      <c r="EU10" s="421"/>
      <c r="EV10" s="421"/>
      <c r="EW10" s="415"/>
      <c r="EX10" s="416"/>
      <c r="EY10" s="417"/>
    </row>
    <row r="11" spans="1:159" s="169" customFormat="1" ht="177.75" customHeight="1">
      <c r="A11" s="421"/>
      <c r="B11" s="421"/>
      <c r="C11" s="418"/>
      <c r="D11" s="419"/>
      <c r="E11" s="431"/>
      <c r="F11" s="418"/>
      <c r="G11" s="419"/>
      <c r="H11" s="420"/>
      <c r="I11" s="418"/>
      <c r="J11" s="419"/>
      <c r="K11" s="420"/>
      <c r="L11" s="418"/>
      <c r="M11" s="419"/>
      <c r="N11" s="420"/>
      <c r="O11" s="418"/>
      <c r="P11" s="419"/>
      <c r="Q11" s="420"/>
      <c r="R11" s="418"/>
      <c r="S11" s="419"/>
      <c r="T11" s="420"/>
      <c r="U11" s="418"/>
      <c r="V11" s="419"/>
      <c r="W11" s="420"/>
      <c r="X11" s="418"/>
      <c r="Y11" s="419"/>
      <c r="Z11" s="420"/>
      <c r="AA11" s="418"/>
      <c r="AB11" s="419"/>
      <c r="AC11" s="420"/>
      <c r="AD11" s="418"/>
      <c r="AE11" s="419"/>
      <c r="AF11" s="420"/>
      <c r="AG11" s="421"/>
      <c r="AH11" s="421"/>
      <c r="AI11" s="421"/>
      <c r="AJ11" s="418"/>
      <c r="AK11" s="419"/>
      <c r="AL11" s="420"/>
      <c r="AM11" s="418"/>
      <c r="AN11" s="419"/>
      <c r="AO11" s="420"/>
      <c r="AP11" s="418"/>
      <c r="AQ11" s="419"/>
      <c r="AR11" s="420"/>
      <c r="AS11" s="418"/>
      <c r="AT11" s="419"/>
      <c r="AU11" s="420"/>
      <c r="AV11" s="418"/>
      <c r="AW11" s="419"/>
      <c r="AX11" s="420"/>
      <c r="AY11" s="418"/>
      <c r="AZ11" s="419"/>
      <c r="BA11" s="420"/>
      <c r="BB11" s="418"/>
      <c r="BC11" s="419"/>
      <c r="BD11" s="420"/>
      <c r="BE11" s="418"/>
      <c r="BF11" s="419"/>
      <c r="BG11" s="420"/>
      <c r="BH11" s="418"/>
      <c r="BI11" s="419"/>
      <c r="BJ11" s="420"/>
      <c r="BK11" s="418"/>
      <c r="BL11" s="419"/>
      <c r="BM11" s="420"/>
      <c r="BN11" s="418"/>
      <c r="BO11" s="419"/>
      <c r="BP11" s="420"/>
      <c r="BQ11" s="418"/>
      <c r="BR11" s="419"/>
      <c r="BS11" s="420"/>
      <c r="BT11" s="418"/>
      <c r="BU11" s="419"/>
      <c r="BV11" s="420"/>
      <c r="BW11" s="418"/>
      <c r="BX11" s="419"/>
      <c r="BY11" s="419"/>
      <c r="BZ11" s="421"/>
      <c r="CA11" s="421"/>
      <c r="CB11" s="421"/>
      <c r="CC11" s="418"/>
      <c r="CD11" s="419"/>
      <c r="CE11" s="420"/>
      <c r="CF11" s="418"/>
      <c r="CG11" s="419"/>
      <c r="CH11" s="420"/>
      <c r="CI11" s="418"/>
      <c r="CJ11" s="419"/>
      <c r="CK11" s="420"/>
      <c r="CL11" s="418"/>
      <c r="CM11" s="419"/>
      <c r="CN11" s="420"/>
      <c r="CO11" s="418"/>
      <c r="CP11" s="419"/>
      <c r="CQ11" s="420"/>
      <c r="CR11" s="418"/>
      <c r="CS11" s="419"/>
      <c r="CT11" s="420"/>
      <c r="CU11" s="418"/>
      <c r="CV11" s="419"/>
      <c r="CW11" s="420"/>
      <c r="CX11" s="418"/>
      <c r="CY11" s="419"/>
      <c r="CZ11" s="420"/>
      <c r="DA11" s="418"/>
      <c r="DB11" s="419"/>
      <c r="DC11" s="420"/>
      <c r="DD11" s="421"/>
      <c r="DE11" s="421"/>
      <c r="DF11" s="421"/>
      <c r="DG11" s="418"/>
      <c r="DH11" s="419"/>
      <c r="DI11" s="420"/>
      <c r="DJ11" s="437"/>
      <c r="DK11" s="438"/>
      <c r="DL11" s="439"/>
      <c r="DM11" s="437" t="s">
        <v>173</v>
      </c>
      <c r="DN11" s="438"/>
      <c r="DO11" s="439"/>
      <c r="DP11" s="434" t="s">
        <v>174</v>
      </c>
      <c r="DQ11" s="435"/>
      <c r="DR11" s="436"/>
      <c r="DS11" s="437" t="s">
        <v>175</v>
      </c>
      <c r="DT11" s="438"/>
      <c r="DU11" s="439"/>
      <c r="DV11" s="437" t="s">
        <v>250</v>
      </c>
      <c r="DW11" s="438"/>
      <c r="DX11" s="439"/>
      <c r="DY11" s="437"/>
      <c r="DZ11" s="438"/>
      <c r="EA11" s="439"/>
      <c r="EB11" s="437"/>
      <c r="EC11" s="438"/>
      <c r="ED11" s="439"/>
      <c r="EE11" s="437"/>
      <c r="EF11" s="438"/>
      <c r="EG11" s="439"/>
      <c r="EH11" s="437"/>
      <c r="EI11" s="438"/>
      <c r="EJ11" s="439"/>
      <c r="EK11" s="418"/>
      <c r="EL11" s="419"/>
      <c r="EM11" s="420"/>
      <c r="EN11" s="418"/>
      <c r="EO11" s="419"/>
      <c r="EP11" s="420"/>
      <c r="EQ11" s="418"/>
      <c r="ER11" s="419"/>
      <c r="ES11" s="420"/>
      <c r="ET11" s="421"/>
      <c r="EU11" s="421"/>
      <c r="EV11" s="421"/>
      <c r="EW11" s="418"/>
      <c r="EX11" s="419"/>
      <c r="EY11" s="420"/>
      <c r="FA11" s="174"/>
      <c r="FB11" s="174"/>
      <c r="FC11" s="174"/>
    </row>
    <row r="12" spans="1:159" s="169" customFormat="1" ht="42.75" customHeight="1">
      <c r="A12" s="421"/>
      <c r="B12" s="421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3265.1120000000001</v>
      </c>
      <c r="D14" s="287">
        <f t="shared" ref="D14:D29" si="0">G14+CA14+CY14</f>
        <v>2420.43028</v>
      </c>
      <c r="E14" s="184">
        <f t="shared" ref="E14:E29" si="1">D14/C14*100</f>
        <v>74.13008435851512</v>
      </c>
      <c r="F14" s="185">
        <f t="shared" ref="F14:F29" si="2">I14+X14+AA14+AD14+AG14+AM14+AS14+BE14+BQ14+BN14+AJ14+AY14+L14+R14+O14+U14+AP14</f>
        <v>592.89</v>
      </c>
      <c r="G14" s="185">
        <f t="shared" ref="G14:G29" si="3">J14+Y14+AB14+AE14+AH14+AN14+AT14+BF14+AK14+BR14+BO14+AZ14+M14+S14+P14+V14+AQ14</f>
        <v>342.80986999999999</v>
      </c>
      <c r="H14" s="184">
        <f>G14/F14*100</f>
        <v>57.820147076186132</v>
      </c>
      <c r="I14" s="293">
        <f>Але!C6</f>
        <v>59</v>
      </c>
      <c r="J14" s="293">
        <f>Але!D6</f>
        <v>41.475700000000003</v>
      </c>
      <c r="K14" s="184">
        <f>J14/I14*100</f>
        <v>70.297796610169499</v>
      </c>
      <c r="L14" s="184">
        <f>Але!C8</f>
        <v>82.02</v>
      </c>
      <c r="M14" s="184">
        <f>Але!D8</f>
        <v>64.877650000000003</v>
      </c>
      <c r="N14" s="184">
        <f>M14/L14*100</f>
        <v>79.099792733479646</v>
      </c>
      <c r="O14" s="184">
        <f>Але!C9</f>
        <v>0.88</v>
      </c>
      <c r="P14" s="184">
        <f>Але!D9</f>
        <v>0.55586999999999998</v>
      </c>
      <c r="Q14" s="184">
        <f>P14/O14*100</f>
        <v>63.167045454545459</v>
      </c>
      <c r="R14" s="184">
        <f>Але!C10</f>
        <v>136.99</v>
      </c>
      <c r="S14" s="184">
        <f>Але!D10</f>
        <v>98.353139999999996</v>
      </c>
      <c r="T14" s="184">
        <f>S14/R14*100</f>
        <v>71.795853711949775</v>
      </c>
      <c r="U14" s="184">
        <f>Але!C11</f>
        <v>0</v>
      </c>
      <c r="V14" s="184">
        <f>Але!D11</f>
        <v>-15.12509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12.642569999999999</v>
      </c>
      <c r="AC14" s="184">
        <f>AB14/AA14*100</f>
        <v>31.606424999999998</v>
      </c>
      <c r="AD14" s="186">
        <f>Але!C16</f>
        <v>210</v>
      </c>
      <c r="AE14" s="186">
        <f>Але!D16</f>
        <v>94.179630000000003</v>
      </c>
      <c r="AF14" s="184">
        <f t="shared" ref="AF14:AF29" si="4">AE14/AD14*100</f>
        <v>44.847442857142859</v>
      </c>
      <c r="AG14" s="184">
        <f>Але!C18</f>
        <v>3</v>
      </c>
      <c r="AH14" s="184">
        <f>Але!D18</f>
        <v>3.7</v>
      </c>
      <c r="AI14" s="184">
        <f>AH14/AG14*100</f>
        <v>123.33333333333334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3"/>
      <c r="BP14" s="184" t="e">
        <f>BO14/BN14*100</f>
        <v>#DIV/0!</v>
      </c>
      <c r="BQ14" s="184">
        <f>Але!C34</f>
        <v>0</v>
      </c>
      <c r="BR14" s="184">
        <f>Але!D35</f>
        <v>42.150399999999998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2672.2220000000002</v>
      </c>
      <c r="CA14" s="186">
        <f>CD14+CG14+CJ14+CM14+CS14+CP14+CV14</f>
        <v>2077.62041</v>
      </c>
      <c r="CB14" s="184">
        <f>CA14/BZ14*100</f>
        <v>77.748795197405002</v>
      </c>
      <c r="CC14" s="187">
        <f>Але!C39</f>
        <v>1200.0540000000001</v>
      </c>
      <c r="CD14" s="187">
        <f>Але!D39</f>
        <v>870.10199999999998</v>
      </c>
      <c r="CE14" s="184">
        <f>CD14/CC14*100</f>
        <v>72.5052372643231</v>
      </c>
      <c r="CF14" s="184">
        <f>Але!C40</f>
        <v>746.60500000000002</v>
      </c>
      <c r="CG14" s="184">
        <f>Але!D40</f>
        <v>585</v>
      </c>
      <c r="CH14" s="184">
        <f>CG14/CF14*100</f>
        <v>78.354685543225671</v>
      </c>
      <c r="CI14" s="184">
        <f>Але!C41</f>
        <v>512.58699999999999</v>
      </c>
      <c r="CJ14" s="184">
        <f>Але!D41</f>
        <v>432.38</v>
      </c>
      <c r="CK14" s="184">
        <f t="shared" ref="CK14:CK29" si="7">CJ14/CI14*100</f>
        <v>84.352509915389973</v>
      </c>
      <c r="CL14" s="184">
        <f>Але!C42</f>
        <v>72.975999999999999</v>
      </c>
      <c r="CM14" s="184">
        <f>Але!D42</f>
        <v>59.305999999999997</v>
      </c>
      <c r="CN14" s="184">
        <f t="shared" ref="CN14:CN31" si="8">CM14/CL14*100</f>
        <v>81.267814075860556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3288.7475400000003</v>
      </c>
      <c r="DH14" s="186">
        <f>DK14+DZ14+EC14+EF14+EI14+EL14+EO14+ER14+EU14</f>
        <v>2378.64464</v>
      </c>
      <c r="DI14" s="184">
        <f>DH14/DG14*100</f>
        <v>72.326763032713657</v>
      </c>
      <c r="DJ14" s="186">
        <f>DM14+DP14+DS14+DV14</f>
        <v>1072.2360000000001</v>
      </c>
      <c r="DK14" s="186">
        <f>DN14+DQ14+DT14+DW14</f>
        <v>685.08637999999996</v>
      </c>
      <c r="DL14" s="184">
        <f>DK14/DJ14*100</f>
        <v>63.893245516845163</v>
      </c>
      <c r="DM14" s="184">
        <f>Але!C54</f>
        <v>1064.854</v>
      </c>
      <c r="DN14" s="184">
        <f>Але!D54</f>
        <v>682.70488</v>
      </c>
      <c r="DO14" s="184">
        <f>DN14/DM14*100</f>
        <v>64.112533737019348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70.596000000000004</v>
      </c>
      <c r="DZ14" s="184">
        <f>Але!D61</f>
        <v>48.521500000000003</v>
      </c>
      <c r="EA14" s="184">
        <f>DZ14/DY14*100</f>
        <v>68.73123123123122</v>
      </c>
      <c r="EB14" s="184">
        <f>Але!C62</f>
        <v>3.9</v>
      </c>
      <c r="EC14" s="184">
        <f>Але!D62</f>
        <v>2.80287</v>
      </c>
      <c r="ED14" s="184">
        <f>EC14/EB14*100</f>
        <v>71.868461538461531</v>
      </c>
      <c r="EE14" s="186">
        <f>Але!C67</f>
        <v>1015.40454</v>
      </c>
      <c r="EF14" s="186">
        <f>Але!D67</f>
        <v>720.63467000000003</v>
      </c>
      <c r="EG14" s="184">
        <f>EF14/EE14*100</f>
        <v>70.9702036589279</v>
      </c>
      <c r="EH14" s="186">
        <f>Але!C72</f>
        <v>256.11099999999999</v>
      </c>
      <c r="EI14" s="186">
        <f>Але!D72</f>
        <v>172.11322000000001</v>
      </c>
      <c r="EJ14" s="184">
        <f>EI14/EH14*100</f>
        <v>67.202587940385229</v>
      </c>
      <c r="EK14" s="186">
        <f>Але!C76</f>
        <v>865.5</v>
      </c>
      <c r="EL14" s="190">
        <f>Але!D76</f>
        <v>749.48599999999999</v>
      </c>
      <c r="EM14" s="184">
        <f t="shared" ref="EM14:EM29" si="10">EL14/EK14*100</f>
        <v>86.595725014442522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0</v>
      </c>
      <c r="ES14" s="184">
        <f>ER14/EQ14*100</f>
        <v>0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41.785640000000058</v>
      </c>
      <c r="EY14" s="184">
        <f>EX14/EW14*100%</f>
        <v>-1.7679156050591469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10063.875</v>
      </c>
      <c r="D15" s="287">
        <f>G15+CA15+CY15</f>
        <v>6567.1087000000007</v>
      </c>
      <c r="E15" s="187">
        <f t="shared" si="1"/>
        <v>65.254275316416397</v>
      </c>
      <c r="F15" s="185">
        <f t="shared" si="2"/>
        <v>3711.2200000000003</v>
      </c>
      <c r="G15" s="185">
        <f>J15+Y15+AB15+AE15+AH15+AN15+AT15+BF15+AK15+BR15+BO15+AZ15+M15+S15+P15+V15+AQ15</f>
        <v>2059.4077300000004</v>
      </c>
      <c r="H15" s="187">
        <f t="shared" ref="H15:H29" si="15">G15/F15*100</f>
        <v>55.49139447405436</v>
      </c>
      <c r="I15" s="195">
        <f>Сун!C6</f>
        <v>482.9</v>
      </c>
      <c r="J15" s="195">
        <f>Сун!D6</f>
        <v>267.31795</v>
      </c>
      <c r="K15" s="187">
        <f t="shared" ref="K15:K29" si="16">J15/I15*100</f>
        <v>55.356792296541727</v>
      </c>
      <c r="L15" s="187">
        <f>Сун!C8</f>
        <v>208.63</v>
      </c>
      <c r="M15" s="187">
        <f>Сун!D8</f>
        <v>165.02858000000001</v>
      </c>
      <c r="N15" s="184">
        <f t="shared" ref="N15:N29" si="17">M15/L15*100</f>
        <v>79.101078464266877</v>
      </c>
      <c r="O15" s="184">
        <f>Сун!C9</f>
        <v>2.2000000000000002</v>
      </c>
      <c r="P15" s="184">
        <f>Сун!D9</f>
        <v>1.41401</v>
      </c>
      <c r="Q15" s="184">
        <f t="shared" ref="Q15:Q29" si="18">P15/O15*100</f>
        <v>64.273181818181811</v>
      </c>
      <c r="R15" s="184">
        <f>Сун!C10</f>
        <v>348.49</v>
      </c>
      <c r="S15" s="184">
        <f>Сун!D10</f>
        <v>250.17977999999999</v>
      </c>
      <c r="T15" s="184">
        <f t="shared" ref="T15:T29" si="19">S15/R15*100</f>
        <v>71.789658239834708</v>
      </c>
      <c r="U15" s="184">
        <f>Сун!C11</f>
        <v>0</v>
      </c>
      <c r="V15" s="184">
        <f>Сун!D11</f>
        <v>-38.473559999999999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23.733000000000001</v>
      </c>
      <c r="Z15" s="187">
        <f t="shared" ref="Z15:Z29" si="21">Y15/X15*100</f>
        <v>59.332499999999996</v>
      </c>
      <c r="AA15" s="195">
        <f>Сун!C15</f>
        <v>295</v>
      </c>
      <c r="AB15" s="195">
        <f>Сун!D15</f>
        <v>103.58687999999999</v>
      </c>
      <c r="AC15" s="187">
        <f t="shared" ref="AC15:AC29" si="22">AB15/AA15*100</f>
        <v>35.114196610169493</v>
      </c>
      <c r="AD15" s="195">
        <f>Сун!C16</f>
        <v>1250</v>
      </c>
      <c r="AE15" s="195">
        <f>Сун!D16</f>
        <v>493.83875999999998</v>
      </c>
      <c r="AF15" s="187">
        <f t="shared" si="4"/>
        <v>39.507100800000003</v>
      </c>
      <c r="AG15" s="187">
        <f>Сун!C18</f>
        <v>12</v>
      </c>
      <c r="AH15" s="187">
        <f>Сун!D18</f>
        <v>9.0749999999999993</v>
      </c>
      <c r="AI15" s="187">
        <f t="shared" ref="AI15:AI31" si="23">AH15/AG15*100</f>
        <v>75.625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195">
        <f>Сун!D29</f>
        <v>10.115</v>
      </c>
      <c r="AU15" s="187">
        <f t="shared" ref="AU15:AU29" si="25">AT15/AS15*100</f>
        <v>11.761627906976745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153.99233000000001</v>
      </c>
      <c r="BA15" s="187">
        <f t="shared" ref="BA15:BA31" si="27">AZ15/AY15*100</f>
        <v>76.996165000000005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61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6352.6549999999997</v>
      </c>
      <c r="CA15" s="186">
        <f t="shared" ref="CA15:CA29" si="35">CD15+CG15+CJ15+CM15+CS15+CP15+CV15</f>
        <v>4507.7009699999999</v>
      </c>
      <c r="CB15" s="187">
        <f>CA15/BZ15*100</f>
        <v>70.957748689327531</v>
      </c>
      <c r="CC15" s="187">
        <f>Сун!C42</f>
        <v>3556.511</v>
      </c>
      <c r="CD15" s="187">
        <f>Сун!D42</f>
        <v>2661.2429999999999</v>
      </c>
      <c r="CE15" s="187">
        <f t="shared" ref="CE15:CE29" si="36">CD15/CC15*100</f>
        <v>74.82735186254169</v>
      </c>
      <c r="CF15" s="187">
        <f>Сун!C43</f>
        <v>0</v>
      </c>
      <c r="CG15" s="187">
        <f>Сун!D43</f>
        <v>0</v>
      </c>
      <c r="CH15" s="187" t="e">
        <f t="shared" ref="CH15:CH29" si="37">CG15/CF15*100</f>
        <v>#DIV/0!</v>
      </c>
      <c r="CI15" s="238">
        <f>Сун!C44</f>
        <v>2232.3000000000002</v>
      </c>
      <c r="CJ15" s="187">
        <f>Сун!D44</f>
        <v>1311.752</v>
      </c>
      <c r="CK15" s="187">
        <f t="shared" si="7"/>
        <v>58.762352730367773</v>
      </c>
      <c r="CL15" s="187">
        <f>Сун!C46</f>
        <v>154.24100000000001</v>
      </c>
      <c r="CM15" s="187">
        <f>Сун!D46</f>
        <v>125.105</v>
      </c>
      <c r="CN15" s="187">
        <f t="shared" si="8"/>
        <v>81.110080977172089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10165.44555</v>
      </c>
      <c r="DH15" s="195">
        <f t="shared" ref="DG15:DH29" si="39">DK15+DZ15+EC15+EF15+EI15+EL15+EO15+ER15+EU15</f>
        <v>6500.8447200000001</v>
      </c>
      <c r="DI15" s="187">
        <f t="shared" ref="DI15:DI29" si="40">DH15/DG15*100</f>
        <v>63.950416024804738</v>
      </c>
      <c r="DJ15" s="195">
        <f>DM15+DP15+DS15+DV15</f>
        <v>1851.9180000000001</v>
      </c>
      <c r="DK15" s="195">
        <f t="shared" ref="DJ15:DK29" si="41">DN15+DQ15+DT15+DW15</f>
        <v>1051.3605399999999</v>
      </c>
      <c r="DL15" s="187">
        <f t="shared" ref="DL15:DL29" si="42">DK15/DJ15*100</f>
        <v>56.771441284117316</v>
      </c>
      <c r="DM15" s="187">
        <f>Сун!C59</f>
        <v>1840.8510000000001</v>
      </c>
      <c r="DN15" s="187">
        <f>Сун!D59</f>
        <v>1045.2935399999999</v>
      </c>
      <c r="DO15" s="187">
        <f t="shared" ref="DO15:DO29" si="43">DN15/DM15*100</f>
        <v>56.783169305935118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150.881</v>
      </c>
      <c r="DZ15" s="187">
        <f>Сун!D66</f>
        <v>95.171859999999995</v>
      </c>
      <c r="EA15" s="187">
        <f t="shared" ref="EA15:EA31" si="47">DZ15/DY15*100</f>
        <v>63.077431883404799</v>
      </c>
      <c r="EB15" s="187">
        <f>Сун!C67</f>
        <v>4</v>
      </c>
      <c r="EC15" s="187">
        <f>Сун!D67</f>
        <v>2</v>
      </c>
      <c r="ED15" s="187">
        <f t="shared" ref="ED15:ED31" si="48">EC15/EB15*100</f>
        <v>50</v>
      </c>
      <c r="EE15" s="195">
        <f>Сун!C72</f>
        <v>3322.8085499999997</v>
      </c>
      <c r="EF15" s="195">
        <f>Сун!D72</f>
        <v>2901.1199099999999</v>
      </c>
      <c r="EG15" s="187">
        <f t="shared" ref="EG15:EG29" si="49">EF15/EE15*100</f>
        <v>87.309270646965203</v>
      </c>
      <c r="EH15" s="195">
        <f>Сун!C77</f>
        <v>1148.07</v>
      </c>
      <c r="EI15" s="195">
        <f>Сун!D77</f>
        <v>400.05903999999998</v>
      </c>
      <c r="EJ15" s="187">
        <f t="shared" ref="EJ15:EJ29" si="50">EI15/EH15*100</f>
        <v>34.846223662320241</v>
      </c>
      <c r="EK15" s="195">
        <f>Сун!C82</f>
        <v>3662.768</v>
      </c>
      <c r="EL15" s="197">
        <f>Сун!D82</f>
        <v>2033.7083700000001</v>
      </c>
      <c r="EM15" s="187">
        <f t="shared" si="10"/>
        <v>55.523810680883969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12.425000000000001</v>
      </c>
      <c r="ES15" s="187">
        <f t="shared" ref="ES15:ES29" si="51">ER15/EQ15*100</f>
        <v>62.125000000000007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66.263980000000629</v>
      </c>
      <c r="EY15" s="184">
        <f>EX15/EW15*100%</f>
        <v>-0.65239363181552512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287">
        <f t="shared" si="14"/>
        <v>11333.779390000002</v>
      </c>
      <c r="D16" s="287">
        <f t="shared" si="0"/>
        <v>2695.0534400000001</v>
      </c>
      <c r="E16" s="187">
        <f t="shared" si="1"/>
        <v>23.778947403704493</v>
      </c>
      <c r="F16" s="185">
        <f t="shared" si="2"/>
        <v>1783.25</v>
      </c>
      <c r="G16" s="185">
        <f t="shared" si="3"/>
        <v>869.46644000000003</v>
      </c>
      <c r="H16" s="187">
        <f t="shared" si="15"/>
        <v>48.757405860086919</v>
      </c>
      <c r="I16" s="294">
        <f>Иль!C6</f>
        <v>82.1</v>
      </c>
      <c r="J16" s="294">
        <f>Иль!D6</f>
        <v>60.379530000000003</v>
      </c>
      <c r="K16" s="187">
        <f t="shared" si="16"/>
        <v>73.543885505481128</v>
      </c>
      <c r="L16" s="187">
        <f>Иль!C8</f>
        <v>222.96</v>
      </c>
      <c r="M16" s="187">
        <f>Иль!D8</f>
        <v>176.36641</v>
      </c>
      <c r="N16" s="184">
        <f t="shared" si="17"/>
        <v>79.102264980265517</v>
      </c>
      <c r="O16" s="184">
        <f>Иль!C9</f>
        <v>2.4</v>
      </c>
      <c r="P16" s="184">
        <f>Иль!D9</f>
        <v>1.5111699999999999</v>
      </c>
      <c r="Q16" s="184">
        <f t="shared" si="18"/>
        <v>62.965416666666663</v>
      </c>
      <c r="R16" s="184">
        <f>Иль!C10</f>
        <v>372.39</v>
      </c>
      <c r="S16" s="184">
        <f>Иль!D10</f>
        <v>267.36774000000003</v>
      </c>
      <c r="T16" s="184">
        <f t="shared" si="19"/>
        <v>71.797776524611294</v>
      </c>
      <c r="U16" s="184">
        <f>Иль!C11</f>
        <v>0</v>
      </c>
      <c r="V16" s="184">
        <f>Иль!D11</f>
        <v>-41.116779999999999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183.4</v>
      </c>
      <c r="AB16" s="195">
        <f>Иль!D15</f>
        <v>62.471710000000002</v>
      </c>
      <c r="AC16" s="187">
        <f t="shared" si="22"/>
        <v>34.063091603053437</v>
      </c>
      <c r="AD16" s="195">
        <f>Иль!C16</f>
        <v>785</v>
      </c>
      <c r="AE16" s="195">
        <f>Иль!D16</f>
        <v>306.84429999999998</v>
      </c>
      <c r="AF16" s="187">
        <f t="shared" si="4"/>
        <v>39.088445859872607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12.19796</v>
      </c>
      <c r="AR16" s="187">
        <f t="shared" si="24"/>
        <v>12.19796</v>
      </c>
      <c r="AS16" s="188">
        <f>Иль!C29</f>
        <v>20</v>
      </c>
      <c r="AT16" s="195">
        <f>Иль!D29</f>
        <v>20.401199999999999</v>
      </c>
      <c r="AU16" s="187">
        <f t="shared" si="25"/>
        <v>102.006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61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9550.5293900000015</v>
      </c>
      <c r="CA16" s="186">
        <f t="shared" si="35"/>
        <v>1825.5870000000002</v>
      </c>
      <c r="CB16" s="187">
        <f>CA16/BZ16*100</f>
        <v>19.115034627415557</v>
      </c>
      <c r="CC16" s="187">
        <f>Иль!C42</f>
        <v>1972.912</v>
      </c>
      <c r="CD16" s="187">
        <f>Иль!D42</f>
        <v>1464.9580000000001</v>
      </c>
      <c r="CE16" s="187">
        <f t="shared" si="36"/>
        <v>74.253590631513219</v>
      </c>
      <c r="CF16" s="187">
        <f>Иль!C43</f>
        <v>320</v>
      </c>
      <c r="CG16" s="187">
        <f>Иль!D43</f>
        <v>50</v>
      </c>
      <c r="CH16" s="187">
        <f t="shared" si="37"/>
        <v>15.625</v>
      </c>
      <c r="CI16" s="184">
        <f>Иль!C44</f>
        <v>6990.0543900000002</v>
      </c>
      <c r="CJ16" s="187">
        <f>Иль!D44</f>
        <v>72.200999999999993</v>
      </c>
      <c r="CK16" s="187">
        <f t="shared" si="7"/>
        <v>1.0329104177399682</v>
      </c>
      <c r="CL16" s="187">
        <f>Иль!C46</f>
        <v>154.24</v>
      </c>
      <c r="CM16" s="187">
        <f>Иль!D46</f>
        <v>125.105</v>
      </c>
      <c r="CN16" s="187">
        <f t="shared" si="8"/>
        <v>81.110606846473033</v>
      </c>
      <c r="CO16" s="187">
        <f>Иль!C47</f>
        <v>0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113.32299999999999</v>
      </c>
      <c r="CT16" s="187">
        <f t="shared" si="9"/>
        <v>100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11444.59801</v>
      </c>
      <c r="DH16" s="195">
        <f t="shared" si="39"/>
        <v>2338.69425</v>
      </c>
      <c r="DI16" s="187">
        <f t="shared" si="40"/>
        <v>20.434918272852471</v>
      </c>
      <c r="DJ16" s="195">
        <f t="shared" si="41"/>
        <v>1298.712</v>
      </c>
      <c r="DK16" s="195">
        <f t="shared" si="41"/>
        <v>855.32187999999996</v>
      </c>
      <c r="DL16" s="187">
        <f t="shared" si="42"/>
        <v>65.859242079845259</v>
      </c>
      <c r="DM16" s="187">
        <f>Иль!C59</f>
        <v>1265.029</v>
      </c>
      <c r="DN16" s="187">
        <f>Иль!D59</f>
        <v>830.29337999999996</v>
      </c>
      <c r="DO16" s="187">
        <f t="shared" si="43"/>
        <v>65.634335655546238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25.028500000000001</v>
      </c>
      <c r="DX16" s="187">
        <f t="shared" si="46"/>
        <v>87.25900359097723</v>
      </c>
      <c r="DY16" s="187">
        <f>Иль!C66</f>
        <v>150.881</v>
      </c>
      <c r="DZ16" s="187">
        <f>Иль!D66</f>
        <v>96.731999999999999</v>
      </c>
      <c r="EA16" s="187">
        <f t="shared" si="47"/>
        <v>64.111452071500054</v>
      </c>
      <c r="EB16" s="187">
        <f>Иль!C67</f>
        <v>7.6</v>
      </c>
      <c r="EC16" s="187">
        <f>Иль!D67</f>
        <v>2.4700000000000002</v>
      </c>
      <c r="ED16" s="187">
        <f t="shared" si="48"/>
        <v>32.500000000000007</v>
      </c>
      <c r="EE16" s="195">
        <f>Иль!C72</f>
        <v>1935.0906200000002</v>
      </c>
      <c r="EF16" s="195">
        <f>Иль!D72</f>
        <v>352.3</v>
      </c>
      <c r="EG16" s="187">
        <f t="shared" si="49"/>
        <v>18.205865728396738</v>
      </c>
      <c r="EH16" s="195">
        <f>Иль!C79</f>
        <v>6684.9143899999999</v>
      </c>
      <c r="EI16" s="195">
        <f>Иль!D79</f>
        <v>135.43883</v>
      </c>
      <c r="EJ16" s="187">
        <f t="shared" si="50"/>
        <v>2.026036865970994</v>
      </c>
      <c r="EK16" s="195">
        <f>Иль!C83</f>
        <v>1357.4</v>
      </c>
      <c r="EL16" s="197">
        <f>Иль!D83</f>
        <v>894.90153999999995</v>
      </c>
      <c r="EM16" s="187">
        <f t="shared" si="10"/>
        <v>65.927621924266973</v>
      </c>
      <c r="EN16" s="187">
        <f>Иль!C85</f>
        <v>0</v>
      </c>
      <c r="EO16" s="187">
        <f>Иль!D85</f>
        <v>0</v>
      </c>
      <c r="EP16" s="187" t="e">
        <f t="shared" si="11"/>
        <v>#DIV/0!</v>
      </c>
      <c r="EQ16" s="198">
        <f>Иль!C90</f>
        <v>10</v>
      </c>
      <c r="ER16" s="198">
        <f>Иль!D90</f>
        <v>1.53</v>
      </c>
      <c r="ES16" s="187">
        <f t="shared" si="51"/>
        <v>15.299999999999999</v>
      </c>
      <c r="ET16" s="187">
        <f>Иль!C96</f>
        <v>0</v>
      </c>
      <c r="EU16" s="187">
        <f>Иль!D96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356.35919000000013</v>
      </c>
      <c r="EY16" s="184">
        <f>EX16/EW16*100</f>
        <v>-321.56977771425591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287">
        <f t="shared" si="14"/>
        <v>6935.6126400000012</v>
      </c>
      <c r="D17" s="287">
        <f t="shared" si="0"/>
        <v>3031.6531100000002</v>
      </c>
      <c r="E17" s="187">
        <f t="shared" si="1"/>
        <v>43.711396056282631</v>
      </c>
      <c r="F17" s="185">
        <f t="shared" si="2"/>
        <v>4232.3300000000008</v>
      </c>
      <c r="G17" s="185">
        <f t="shared" si="3"/>
        <v>1800.7020100000002</v>
      </c>
      <c r="H17" s="187">
        <f t="shared" si="15"/>
        <v>42.546351773136784</v>
      </c>
      <c r="I17" s="195">
        <f>Кад!C6</f>
        <v>456.3</v>
      </c>
      <c r="J17" s="195">
        <f>Кад!D6</f>
        <v>272.32997</v>
      </c>
      <c r="K17" s="187">
        <f t="shared" si="16"/>
        <v>59.682220030681563</v>
      </c>
      <c r="L17" s="187">
        <f>Кад!C8</f>
        <v>265.95999999999998</v>
      </c>
      <c r="M17" s="187">
        <f>Кад!D8</f>
        <v>210.37995000000001</v>
      </c>
      <c r="N17" s="184">
        <f t="shared" si="17"/>
        <v>79.102101819822536</v>
      </c>
      <c r="O17" s="184">
        <f>Кад!C9</f>
        <v>2.85</v>
      </c>
      <c r="P17" s="184">
        <f>Кад!D9</f>
        <v>1.8025800000000001</v>
      </c>
      <c r="Q17" s="184">
        <f t="shared" si="18"/>
        <v>63.248421052631578</v>
      </c>
      <c r="R17" s="184">
        <f>Кад!C10</f>
        <v>444.22</v>
      </c>
      <c r="S17" s="184">
        <f>Кад!D10</f>
        <v>318.93153000000001</v>
      </c>
      <c r="T17" s="184">
        <f t="shared" si="19"/>
        <v>71.795851154833187</v>
      </c>
      <c r="U17" s="184">
        <f>Кад!C11</f>
        <v>0</v>
      </c>
      <c r="V17" s="184">
        <f>Кад!D11</f>
        <v>-49.046460000000003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68.353359999999995</v>
      </c>
      <c r="AC17" s="187">
        <f t="shared" si="22"/>
        <v>26.805239215686271</v>
      </c>
      <c r="AD17" s="195">
        <f>Кад!C16</f>
        <v>2661</v>
      </c>
      <c r="AE17" s="195">
        <f>Кад!D16</f>
        <v>1199.6814099999999</v>
      </c>
      <c r="AF17" s="187">
        <f t="shared" si="4"/>
        <v>45.083856069146933</v>
      </c>
      <c r="AG17" s="187">
        <f>Кад!C18</f>
        <v>25</v>
      </c>
      <c r="AH17" s="187">
        <f>Кад!D18</f>
        <v>19.899999999999999</v>
      </c>
      <c r="AI17" s="187">
        <f t="shared" si="23"/>
        <v>79.599999999999994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-286.74849999999998</v>
      </c>
      <c r="AR17" s="187">
        <f t="shared" si="24"/>
        <v>-409.64071428571424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17.34844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61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2703.2826400000004</v>
      </c>
      <c r="CA17" s="186">
        <f t="shared" si="35"/>
        <v>1230.9511</v>
      </c>
      <c r="CB17" s="187">
        <f>CA17/BZ17*100</f>
        <v>45.535419855320782</v>
      </c>
      <c r="CC17" s="187">
        <f>Кад!C41</f>
        <v>1128.914</v>
      </c>
      <c r="CD17" s="187">
        <f>Кад!D41</f>
        <v>795.84199999999998</v>
      </c>
      <c r="CE17" s="187">
        <f t="shared" si="36"/>
        <v>70.496246835454244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1190.44364</v>
      </c>
      <c r="CJ17" s="187">
        <f>Кад!D43</f>
        <v>85.141999999999996</v>
      </c>
      <c r="CK17" s="187">
        <f t="shared" si="7"/>
        <v>7.152123556223124</v>
      </c>
      <c r="CL17" s="187">
        <f>Кад!C45</f>
        <v>157.59899999999999</v>
      </c>
      <c r="CM17" s="187">
        <f>Кад!D45</f>
        <v>126.14109999999999</v>
      </c>
      <c r="CN17" s="187">
        <f t="shared" si="8"/>
        <v>80.039276898965099</v>
      </c>
      <c r="CO17" s="187"/>
      <c r="CP17" s="187"/>
      <c r="CQ17" s="187"/>
      <c r="CR17" s="187">
        <f>Кад!C47</f>
        <v>226.32599999999999</v>
      </c>
      <c r="CS17" s="187">
        <f>Кад!D47</f>
        <v>223.82599999999999</v>
      </c>
      <c r="CT17" s="187">
        <f t="shared" si="9"/>
        <v>98.895398672711039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7412.4303399999999</v>
      </c>
      <c r="DH17" s="195">
        <f t="shared" si="39"/>
        <v>3495.6030200000005</v>
      </c>
      <c r="DI17" s="187">
        <f t="shared" si="40"/>
        <v>47.158662674191156</v>
      </c>
      <c r="DJ17" s="195">
        <f t="shared" si="41"/>
        <v>1604.3</v>
      </c>
      <c r="DK17" s="195">
        <f t="shared" si="41"/>
        <v>981.82691</v>
      </c>
      <c r="DL17" s="187">
        <f t="shared" si="42"/>
        <v>61.199707660661971</v>
      </c>
      <c r="DM17" s="187">
        <f>Кад!C57</f>
        <v>1593.7139999999999</v>
      </c>
      <c r="DN17" s="187">
        <f>Кад!D57</f>
        <v>976.71991000000003</v>
      </c>
      <c r="DO17" s="187">
        <f t="shared" si="43"/>
        <v>61.285770847216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5.1070000000000002</v>
      </c>
      <c r="DX17" s="187">
        <f t="shared" si="46"/>
        <v>91.424991049051201</v>
      </c>
      <c r="DY17" s="187">
        <f>Кад!C64</f>
        <v>150.881</v>
      </c>
      <c r="DZ17" s="187">
        <f>Кад!D64</f>
        <v>83.220470000000006</v>
      </c>
      <c r="EA17" s="187">
        <f t="shared" si="47"/>
        <v>55.156361635991281</v>
      </c>
      <c r="EB17" s="187">
        <f>Кад!C65</f>
        <v>4.4000000000000004</v>
      </c>
      <c r="EC17" s="187">
        <f>Кад!D65</f>
        <v>1.2</v>
      </c>
      <c r="ED17" s="187">
        <f t="shared" si="48"/>
        <v>27.27272727272727</v>
      </c>
      <c r="EE17" s="195">
        <f>Кад!C70</f>
        <v>2688.43534</v>
      </c>
      <c r="EF17" s="195">
        <f>Кад!D70</f>
        <v>896.20919000000004</v>
      </c>
      <c r="EG17" s="187">
        <f t="shared" si="49"/>
        <v>33.335716751885876</v>
      </c>
      <c r="EH17" s="195">
        <f>Кад!C75</f>
        <v>929.71400000000006</v>
      </c>
      <c r="EI17" s="195">
        <f>Кад!D75</f>
        <v>591.44645000000003</v>
      </c>
      <c r="EJ17" s="187">
        <f t="shared" si="50"/>
        <v>63.615956089722218</v>
      </c>
      <c r="EK17" s="195">
        <f>Кад!C79</f>
        <v>2033.7</v>
      </c>
      <c r="EL17" s="197">
        <f>Кад!D79</f>
        <v>941.7</v>
      </c>
      <c r="EM17" s="187">
        <f t="shared" si="10"/>
        <v>46.304764714559674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-476.81769999999869</v>
      </c>
      <c r="EX17" s="191">
        <f t="shared" si="13"/>
        <v>-463.94991000000027</v>
      </c>
      <c r="EY17" s="184">
        <f>EX17/EW17*100</f>
        <v>97.301318722019232</v>
      </c>
      <c r="EZ17" s="192"/>
      <c r="FA17" s="193"/>
      <c r="FC17" s="193"/>
    </row>
    <row r="18" spans="1:170" s="235" customFormat="1" ht="15" customHeight="1">
      <c r="A18" s="226">
        <v>5</v>
      </c>
      <c r="B18" s="227" t="s">
        <v>308</v>
      </c>
      <c r="C18" s="288">
        <f t="shared" si="14"/>
        <v>9502.3249999999989</v>
      </c>
      <c r="D18" s="288">
        <f t="shared" si="0"/>
        <v>6022.3836699999993</v>
      </c>
      <c r="E18" s="228">
        <f t="shared" si="1"/>
        <v>63.37800138387184</v>
      </c>
      <c r="F18" s="229">
        <f t="shared" si="2"/>
        <v>4271.0099999999993</v>
      </c>
      <c r="G18" s="229">
        <f t="shared" si="3"/>
        <v>2339.6621800000003</v>
      </c>
      <c r="H18" s="228">
        <f t="shared" si="15"/>
        <v>54.780067946457642</v>
      </c>
      <c r="I18" s="295">
        <f>Мор!C6</f>
        <v>1624.2</v>
      </c>
      <c r="J18" s="295">
        <f>Мор!D6</f>
        <v>1057.81862</v>
      </c>
      <c r="K18" s="228">
        <f t="shared" si="16"/>
        <v>65.12859376924024</v>
      </c>
      <c r="L18" s="228">
        <f>Мор!C8</f>
        <v>130.59</v>
      </c>
      <c r="M18" s="228">
        <f>Мор!D8</f>
        <v>103.30033</v>
      </c>
      <c r="N18" s="228">
        <f t="shared" si="17"/>
        <v>79.102787349720501</v>
      </c>
      <c r="O18" s="228">
        <f>Мор!C9</f>
        <v>1.4</v>
      </c>
      <c r="P18" s="228">
        <f>Мор!D9</f>
        <v>0.88510999999999995</v>
      </c>
      <c r="Q18" s="228">
        <f t="shared" si="18"/>
        <v>63.222142857142863</v>
      </c>
      <c r="R18" s="228">
        <f>Мор!C10</f>
        <v>218.12</v>
      </c>
      <c r="S18" s="228">
        <f>Мор!D10</f>
        <v>156.60111000000001</v>
      </c>
      <c r="T18" s="228">
        <f t="shared" si="19"/>
        <v>71.795850907757199</v>
      </c>
      <c r="U18" s="228">
        <f>Мор!C11</f>
        <v>0</v>
      </c>
      <c r="V18" s="228">
        <f>Мор!D11</f>
        <v>-24.082630000000002</v>
      </c>
      <c r="W18" s="228" t="e">
        <f t="shared" si="20"/>
        <v>#DIV/0!</v>
      </c>
      <c r="X18" s="188">
        <f>Мор!C13</f>
        <v>50</v>
      </c>
      <c r="Y18" s="188">
        <f>Мор!D13</f>
        <v>75.141949999999994</v>
      </c>
      <c r="Z18" s="228">
        <f t="shared" si="21"/>
        <v>150.28389999999999</v>
      </c>
      <c r="AA18" s="188">
        <f>Мор!C15</f>
        <v>550</v>
      </c>
      <c r="AB18" s="188">
        <f>Мор!D15</f>
        <v>161.27687</v>
      </c>
      <c r="AC18" s="228">
        <f t="shared" si="22"/>
        <v>29.323067272727272</v>
      </c>
      <c r="AD18" s="188">
        <f>Мор!C16</f>
        <v>1676.7</v>
      </c>
      <c r="AE18" s="188">
        <f>Мор!D16</f>
        <v>811.87428</v>
      </c>
      <c r="AF18" s="228">
        <f t="shared" si="4"/>
        <v>48.42096260511719</v>
      </c>
      <c r="AG18" s="228">
        <f>Мор!C18</f>
        <v>0</v>
      </c>
      <c r="AH18" s="228">
        <f>Мор!D18</f>
        <v>0</v>
      </c>
      <c r="AI18" s="228" t="e">
        <f t="shared" si="23"/>
        <v>#DIV/0!</v>
      </c>
      <c r="AJ18" s="228">
        <f>Мор!C22</f>
        <v>0</v>
      </c>
      <c r="AK18" s="228">
        <f>Мор!D22</f>
        <v>0</v>
      </c>
      <c r="AL18" s="228" t="e">
        <f t="shared" si="5"/>
        <v>#DIV/0!</v>
      </c>
      <c r="AM18" s="188">
        <v>0</v>
      </c>
      <c r="AN18" s="188">
        <f>Мор!D27</f>
        <v>0</v>
      </c>
      <c r="AO18" s="228" t="e">
        <f t="shared" si="6"/>
        <v>#DIV/0!</v>
      </c>
      <c r="AP18" s="188">
        <f>Мор!C27</f>
        <v>0</v>
      </c>
      <c r="AQ18" s="195">
        <f>Мор!D27</f>
        <v>0</v>
      </c>
      <c r="AR18" s="228" t="e">
        <f t="shared" si="24"/>
        <v>#DIV/0!</v>
      </c>
      <c r="AS18" s="188">
        <f>Мор!C28</f>
        <v>10</v>
      </c>
      <c r="AT18" s="188">
        <f>Мор!D26</f>
        <v>0</v>
      </c>
      <c r="AU18" s="228">
        <f t="shared" si="25"/>
        <v>0</v>
      </c>
      <c r="AV18" s="188"/>
      <c r="AW18" s="188"/>
      <c r="AX18" s="228" t="e">
        <f t="shared" si="26"/>
        <v>#DIV/0!</v>
      </c>
      <c r="AY18" s="228">
        <f>Мор!C29</f>
        <v>10</v>
      </c>
      <c r="AZ18" s="228">
        <f>Мор!D29</f>
        <v>8.3664100000000001</v>
      </c>
      <c r="BA18" s="228">
        <f t="shared" si="27"/>
        <v>83.664099999999991</v>
      </c>
      <c r="BB18" s="228"/>
      <c r="BC18" s="228"/>
      <c r="BD18" s="228"/>
      <c r="BE18" s="228">
        <f>Мор!C33</f>
        <v>0</v>
      </c>
      <c r="BF18" s="228">
        <f>Мор!D33</f>
        <v>0</v>
      </c>
      <c r="BG18" s="228" t="e">
        <f>Мор!E33</f>
        <v>#DIV/0!</v>
      </c>
      <c r="BH18" s="228">
        <f>Мор!F33</f>
        <v>0</v>
      </c>
      <c r="BI18" s="228">
        <f>Мор!G33</f>
        <v>0</v>
      </c>
      <c r="BJ18" s="228">
        <f>Мор!H33</f>
        <v>0</v>
      </c>
      <c r="BK18" s="228">
        <f>Мор!I33</f>
        <v>0</v>
      </c>
      <c r="BL18" s="228">
        <f>Мор!J33</f>
        <v>0</v>
      </c>
      <c r="BM18" s="228">
        <f>Мор!K33</f>
        <v>0</v>
      </c>
      <c r="BN18" s="228">
        <f>Мор!C35</f>
        <v>0</v>
      </c>
      <c r="BO18" s="362">
        <f>Мор!D34</f>
        <v>0</v>
      </c>
      <c r="BP18" s="228" t="e">
        <f t="shared" si="30"/>
        <v>#DIV/0!</v>
      </c>
      <c r="BQ18" s="228">
        <f>Мор!C36</f>
        <v>0</v>
      </c>
      <c r="BR18" s="228">
        <f>Мор!D36</f>
        <v>-11.519869999999999</v>
      </c>
      <c r="BS18" s="228" t="e">
        <f t="shared" si="31"/>
        <v>#DIV/0!</v>
      </c>
      <c r="BT18" s="228"/>
      <c r="BU18" s="228"/>
      <c r="BV18" s="230" t="e">
        <f t="shared" si="32"/>
        <v>#DIV/0!</v>
      </c>
      <c r="BW18" s="230"/>
      <c r="BX18" s="230"/>
      <c r="BY18" s="230" t="e">
        <f t="shared" si="33"/>
        <v>#DIV/0!</v>
      </c>
      <c r="BZ18" s="188">
        <f t="shared" si="34"/>
        <v>5231.3149999999996</v>
      </c>
      <c r="CA18" s="186">
        <f t="shared" si="35"/>
        <v>3682.7214899999994</v>
      </c>
      <c r="CB18" s="228">
        <f t="shared" ref="CB18:CB31" si="53">CA18/BZ18*100</f>
        <v>70.397624497855688</v>
      </c>
      <c r="CC18" s="228">
        <f>Мор!C41</f>
        <v>4512.616</v>
      </c>
      <c r="CD18" s="228">
        <f>Мор!D41</f>
        <v>3387.6559999999999</v>
      </c>
      <c r="CE18" s="228">
        <f t="shared" si="36"/>
        <v>75.070779343954825</v>
      </c>
      <c r="CF18" s="228">
        <f>Мор!C42</f>
        <v>0</v>
      </c>
      <c r="CG18" s="228">
        <f>Мор!D42</f>
        <v>0</v>
      </c>
      <c r="CH18" s="228" t="e">
        <f t="shared" si="37"/>
        <v>#DIV/0!</v>
      </c>
      <c r="CI18" s="228">
        <f>Мор!C43</f>
        <v>583.00300000000004</v>
      </c>
      <c r="CJ18" s="228">
        <f>Мор!D43</f>
        <v>171.66</v>
      </c>
      <c r="CK18" s="228">
        <f t="shared" si="7"/>
        <v>29.444102345957052</v>
      </c>
      <c r="CL18" s="228">
        <f>Мор!C45</f>
        <v>15.396000000000001</v>
      </c>
      <c r="CM18" s="228">
        <f>Мор!D45</f>
        <v>1.3828</v>
      </c>
      <c r="CN18" s="228">
        <f t="shared" si="8"/>
        <v>8.9815536502987783</v>
      </c>
      <c r="CO18" s="228">
        <f>Мор!C46</f>
        <v>0</v>
      </c>
      <c r="CP18" s="228">
        <f>Мор!D46</f>
        <v>0</v>
      </c>
      <c r="CQ18" s="228" t="e">
        <f>CP18/CO18*100</f>
        <v>#DIV/0!</v>
      </c>
      <c r="CR18" s="228">
        <f>Мор!C48</f>
        <v>120.3</v>
      </c>
      <c r="CS18" s="228">
        <f>Мор!D48</f>
        <v>122.02269</v>
      </c>
      <c r="CT18" s="228">
        <f t="shared" si="9"/>
        <v>101.43199501246882</v>
      </c>
      <c r="CU18" s="228"/>
      <c r="CV18" s="228"/>
      <c r="CW18" s="228"/>
      <c r="CX18" s="188"/>
      <c r="CY18" s="188"/>
      <c r="CZ18" s="228" t="e">
        <f t="shared" si="38"/>
        <v>#DIV/0!</v>
      </c>
      <c r="DA18" s="228"/>
      <c r="DB18" s="228"/>
      <c r="DC18" s="228"/>
      <c r="DD18" s="228"/>
      <c r="DE18" s="228"/>
      <c r="DF18" s="228"/>
      <c r="DG18" s="188">
        <f t="shared" si="39"/>
        <v>9552.8371699999989</v>
      </c>
      <c r="DH18" s="188">
        <f t="shared" si="39"/>
        <v>5045.1648500000001</v>
      </c>
      <c r="DI18" s="228">
        <f t="shared" si="40"/>
        <v>52.813261235562351</v>
      </c>
      <c r="DJ18" s="188">
        <f t="shared" si="41"/>
        <v>1809.6569999999999</v>
      </c>
      <c r="DK18" s="188">
        <f t="shared" si="41"/>
        <v>1034.1724400000001</v>
      </c>
      <c r="DL18" s="228">
        <f t="shared" si="42"/>
        <v>57.147428490592425</v>
      </c>
      <c r="DM18" s="228">
        <f>Мор!C58</f>
        <v>1709.9159999999999</v>
      </c>
      <c r="DN18" s="228">
        <f>Мор!D58</f>
        <v>1022.4704400000001</v>
      </c>
      <c r="DO18" s="228">
        <f t="shared" si="43"/>
        <v>59.796530355877131</v>
      </c>
      <c r="DP18" s="228">
        <f>Мор!C61</f>
        <v>68.039000000000001</v>
      </c>
      <c r="DQ18" s="228">
        <f>Мор!D61</f>
        <v>0</v>
      </c>
      <c r="DR18" s="228">
        <f t="shared" si="44"/>
        <v>0</v>
      </c>
      <c r="DS18" s="228">
        <f>Мор!C62</f>
        <v>20</v>
      </c>
      <c r="DT18" s="228">
        <f>Мор!D62</f>
        <v>0</v>
      </c>
      <c r="DU18" s="228">
        <f t="shared" si="45"/>
        <v>0</v>
      </c>
      <c r="DV18" s="228">
        <f>Мор!C63</f>
        <v>11.702</v>
      </c>
      <c r="DW18" s="228">
        <f>Мор!D63</f>
        <v>11.702</v>
      </c>
      <c r="DX18" s="228">
        <f t="shared" si="46"/>
        <v>100</v>
      </c>
      <c r="DY18" s="228">
        <f>Мор!C64</f>
        <v>0</v>
      </c>
      <c r="DZ18" s="228">
        <f>Мор!D64</f>
        <v>0</v>
      </c>
      <c r="EA18" s="228" t="e">
        <f t="shared" si="47"/>
        <v>#DIV/0!</v>
      </c>
      <c r="EB18" s="228">
        <f>Мор!C66</f>
        <v>30</v>
      </c>
      <c r="EC18" s="228">
        <f>Мор!D66</f>
        <v>0</v>
      </c>
      <c r="ED18" s="228">
        <f t="shared" si="48"/>
        <v>0</v>
      </c>
      <c r="EE18" s="188">
        <f>Мор!C71</f>
        <v>1647.6301699999999</v>
      </c>
      <c r="EF18" s="188">
        <f>Мор!D71</f>
        <v>508.53228000000001</v>
      </c>
      <c r="EG18" s="228">
        <f t="shared" si="49"/>
        <v>30.864467600760193</v>
      </c>
      <c r="EH18" s="188">
        <f>Мор!C76</f>
        <v>3666.25</v>
      </c>
      <c r="EI18" s="188">
        <f>Мор!D76</f>
        <v>1720.4601299999999</v>
      </c>
      <c r="EJ18" s="228">
        <f t="shared" si="50"/>
        <v>46.926972519604497</v>
      </c>
      <c r="EK18" s="188">
        <f>Мор!C80</f>
        <v>2374.3000000000002</v>
      </c>
      <c r="EL18" s="231">
        <f>Мор!D80</f>
        <v>1782</v>
      </c>
      <c r="EM18" s="228">
        <f t="shared" si="10"/>
        <v>75.053700037905898</v>
      </c>
      <c r="EN18" s="228">
        <f>Мор!C83</f>
        <v>0</v>
      </c>
      <c r="EO18" s="228">
        <f>Мор!D83</f>
        <v>0</v>
      </c>
      <c r="EP18" s="228" t="e">
        <f t="shared" si="11"/>
        <v>#DIV/0!</v>
      </c>
      <c r="EQ18" s="229">
        <f>Мор!C88</f>
        <v>25</v>
      </c>
      <c r="ER18" s="229">
        <f>Мор!D88</f>
        <v>0</v>
      </c>
      <c r="ES18" s="228">
        <f t="shared" si="51"/>
        <v>0</v>
      </c>
      <c r="ET18" s="228">
        <f>Мор!C94</f>
        <v>0</v>
      </c>
      <c r="EU18" s="228">
        <f>Мор!D94</f>
        <v>0</v>
      </c>
      <c r="EV18" s="228" t="e">
        <f t="shared" si="52"/>
        <v>#DIV/0!</v>
      </c>
      <c r="EW18" s="232">
        <f t="shared" si="12"/>
        <v>-50.512169999999969</v>
      </c>
      <c r="EX18" s="232">
        <f t="shared" si="13"/>
        <v>977.21881999999914</v>
      </c>
      <c r="EY18" s="228">
        <f t="shared" ref="EY18:EY30" si="54">EX18/EW18*100</f>
        <v>-1934.620547879847</v>
      </c>
      <c r="EZ18" s="233"/>
      <c r="FA18" s="234"/>
      <c r="FC18" s="234"/>
    </row>
    <row r="19" spans="1:170" s="169" customFormat="1" ht="15" customHeight="1">
      <c r="A19" s="181">
        <v>6</v>
      </c>
      <c r="B19" s="194" t="s">
        <v>309</v>
      </c>
      <c r="C19" s="183">
        <f t="shared" si="14"/>
        <v>6535.12</v>
      </c>
      <c r="D19" s="287">
        <f t="shared" si="0"/>
        <v>3624.1457699999996</v>
      </c>
      <c r="E19" s="187">
        <f t="shared" si="1"/>
        <v>55.456453286244169</v>
      </c>
      <c r="F19" s="185">
        <f t="shared" si="2"/>
        <v>4633.7</v>
      </c>
      <c r="G19" s="185">
        <f t="shared" si="3"/>
        <v>2895.6918999999998</v>
      </c>
      <c r="H19" s="187">
        <f t="shared" si="15"/>
        <v>62.492002071778487</v>
      </c>
      <c r="I19" s="195">
        <f>Мос!C6</f>
        <v>1309.9000000000001</v>
      </c>
      <c r="J19" s="195">
        <f>Мос!D6</f>
        <v>779.73883999999998</v>
      </c>
      <c r="K19" s="187">
        <f t="shared" si="16"/>
        <v>59.526592869684706</v>
      </c>
      <c r="L19" s="187">
        <f>Мос!C8</f>
        <v>246.85</v>
      </c>
      <c r="M19" s="187">
        <f>Мос!D8</f>
        <v>195.26283000000001</v>
      </c>
      <c r="N19" s="184">
        <f t="shared" si="17"/>
        <v>79.101814867328343</v>
      </c>
      <c r="O19" s="184">
        <f>Мос!C9</f>
        <v>2.65</v>
      </c>
      <c r="P19" s="184">
        <f>Мос!D9</f>
        <v>1.67303</v>
      </c>
      <c r="Q19" s="184">
        <f t="shared" si="18"/>
        <v>63.13320754716981</v>
      </c>
      <c r="R19" s="184">
        <f>Мос!C10</f>
        <v>412.3</v>
      </c>
      <c r="S19" s="184">
        <f>Мос!D10</f>
        <v>296.01429000000002</v>
      </c>
      <c r="T19" s="184">
        <f t="shared" si="19"/>
        <v>71.795850109143828</v>
      </c>
      <c r="U19" s="184">
        <f>Мос!C11</f>
        <v>0</v>
      </c>
      <c r="V19" s="184">
        <f>Мос!D11</f>
        <v>-45.522100000000002</v>
      </c>
      <c r="W19" s="184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47.214689999999997</v>
      </c>
      <c r="AC19" s="187">
        <f t="shared" si="22"/>
        <v>24.849836842105262</v>
      </c>
      <c r="AD19" s="195">
        <f>Мос!C16</f>
        <v>2450</v>
      </c>
      <c r="AE19" s="195">
        <f>Мос!D16</f>
        <v>1586.6713099999999</v>
      </c>
      <c r="AF19" s="187">
        <f t="shared" si="4"/>
        <v>64.762094285714284</v>
      </c>
      <c r="AG19" s="187">
        <f>Мос!C18</f>
        <v>10</v>
      </c>
      <c r="AH19" s="187">
        <f>Мос!D18</f>
        <v>6.45</v>
      </c>
      <c r="AI19" s="187">
        <f t="shared" si="23"/>
        <v>64.5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88">
        <f>Мос!C26</f>
        <v>2</v>
      </c>
      <c r="AT19" s="188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61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86">
        <f t="shared" si="34"/>
        <v>1901.42</v>
      </c>
      <c r="CA19" s="186">
        <f t="shared" si="35"/>
        <v>728.45386999999994</v>
      </c>
      <c r="CB19" s="187">
        <f t="shared" si="53"/>
        <v>38.311044903282806</v>
      </c>
      <c r="CC19" s="187">
        <f>Мос!C41</f>
        <v>35.76</v>
      </c>
      <c r="CD19" s="187">
        <f>Мос!D41</f>
        <v>5.202</v>
      </c>
      <c r="CE19" s="187">
        <f>CD19/CC19*100</f>
        <v>14.546979865771814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4">
        <f>Мос!C43</f>
        <v>1436.52</v>
      </c>
      <c r="CJ19" s="187">
        <f>Мос!D43</f>
        <v>323.24786999999998</v>
      </c>
      <c r="CK19" s="187">
        <f t="shared" si="7"/>
        <v>22.50214894327959</v>
      </c>
      <c r="CL19" s="187">
        <f>Мос!C45</f>
        <v>154.24</v>
      </c>
      <c r="CM19" s="187">
        <f>Мос!D45</f>
        <v>125.104</v>
      </c>
      <c r="CN19" s="187">
        <f t="shared" si="8"/>
        <v>81.109958506224061</v>
      </c>
      <c r="CO19" s="187">
        <f>Мос!C46</f>
        <v>0</v>
      </c>
      <c r="CP19" s="187">
        <f>Мос!D46</f>
        <v>0</v>
      </c>
      <c r="CQ19" s="187" t="e">
        <f>CP19/CO19*100</f>
        <v>#DIV/0!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6863.3660099999997</v>
      </c>
      <c r="DH19" s="195">
        <f t="shared" si="39"/>
        <v>3088.4971100000002</v>
      </c>
      <c r="DI19" s="187">
        <f t="shared" si="40"/>
        <v>44.999743646193807</v>
      </c>
      <c r="DJ19" s="195">
        <f t="shared" si="41"/>
        <v>1791.758</v>
      </c>
      <c r="DK19" s="195">
        <f t="shared" si="41"/>
        <v>1140.25423</v>
      </c>
      <c r="DL19" s="187">
        <f t="shared" si="42"/>
        <v>63.638852456637565</v>
      </c>
      <c r="DM19" s="187">
        <f>Мос!C58</f>
        <v>1764.577</v>
      </c>
      <c r="DN19" s="187">
        <f>Мос!D58</f>
        <v>1135.45577</v>
      </c>
      <c r="DO19" s="187">
        <f t="shared" si="43"/>
        <v>64.347193123337775</v>
      </c>
      <c r="DP19" s="187">
        <f>Мос!C61</f>
        <v>16.698</v>
      </c>
      <c r="DQ19" s="187">
        <f>Мос!D61</f>
        <v>0</v>
      </c>
      <c r="DR19" s="187">
        <f t="shared" si="44"/>
        <v>0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4.7984600000000004</v>
      </c>
      <c r="DX19" s="187">
        <f t="shared" si="46"/>
        <v>87.515228889294193</v>
      </c>
      <c r="DY19" s="187">
        <f>Мос!C65</f>
        <v>150.881</v>
      </c>
      <c r="DZ19" s="187">
        <f>Мос!D65</f>
        <v>101.55576000000001</v>
      </c>
      <c r="EA19" s="187">
        <f t="shared" si="47"/>
        <v>67.308514657246448</v>
      </c>
      <c r="EB19" s="187">
        <f>Мос!C66</f>
        <v>15</v>
      </c>
      <c r="EC19" s="187">
        <f>Мос!D66</f>
        <v>1.8</v>
      </c>
      <c r="ED19" s="187">
        <f t="shared" si="48"/>
        <v>12.000000000000002</v>
      </c>
      <c r="EE19" s="195">
        <f>Мос!C71</f>
        <v>2830.6750099999999</v>
      </c>
      <c r="EF19" s="195">
        <f>Мос!D71</f>
        <v>825.37594999999999</v>
      </c>
      <c r="EG19" s="187">
        <f t="shared" si="49"/>
        <v>29.158273100379688</v>
      </c>
      <c r="EH19" s="195">
        <f>Мос!C76</f>
        <v>944.15</v>
      </c>
      <c r="EI19" s="195">
        <f>Мос!D76</f>
        <v>453.01116999999999</v>
      </c>
      <c r="EJ19" s="187">
        <f t="shared" si="50"/>
        <v>47.980847322988936</v>
      </c>
      <c r="EK19" s="195">
        <f>Мос!C81</f>
        <v>1107.5999999999999</v>
      </c>
      <c r="EL19" s="197">
        <f>Мос!D81</f>
        <v>556.5</v>
      </c>
      <c r="EM19" s="187">
        <f t="shared" si="10"/>
        <v>50.243770314192851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23.302</v>
      </c>
      <c r="ER19" s="198">
        <f>Мос!D91</f>
        <v>10</v>
      </c>
      <c r="ES19" s="187">
        <f t="shared" si="51"/>
        <v>42.914771264269163</v>
      </c>
      <c r="ET19" s="187">
        <f>Мос!C97</f>
        <v>0</v>
      </c>
      <c r="EU19" s="187">
        <f>Мос!D97</f>
        <v>0</v>
      </c>
      <c r="EV19" s="184" t="e">
        <f t="shared" si="52"/>
        <v>#DIV/0!</v>
      </c>
      <c r="EW19" s="191">
        <f t="shared" si="12"/>
        <v>-328.24600999999984</v>
      </c>
      <c r="EX19" s="191">
        <f t="shared" si="13"/>
        <v>535.64865999999938</v>
      </c>
      <c r="EY19" s="184">
        <f t="shared" si="54"/>
        <v>-163.18512447417095</v>
      </c>
      <c r="EZ19" s="192"/>
      <c r="FA19" s="193"/>
      <c r="FC19" s="193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5892.91</v>
      </c>
      <c r="D20" s="287">
        <f t="shared" si="0"/>
        <v>3603.3527000000004</v>
      </c>
      <c r="E20" s="187">
        <f t="shared" si="1"/>
        <v>61.147254921592229</v>
      </c>
      <c r="F20" s="185">
        <f t="shared" si="2"/>
        <v>2702.3</v>
      </c>
      <c r="G20" s="185">
        <f t="shared" si="3"/>
        <v>1107.4183500000001</v>
      </c>
      <c r="H20" s="187">
        <f t="shared" si="15"/>
        <v>40.980585057173528</v>
      </c>
      <c r="I20" s="294">
        <f>Ори!C6</f>
        <v>262.3</v>
      </c>
      <c r="J20" s="294">
        <f>Ори!D6</f>
        <v>147.04988</v>
      </c>
      <c r="K20" s="187">
        <f t="shared" si="16"/>
        <v>56.061715592832627</v>
      </c>
      <c r="L20" s="187">
        <f>Ори!C8</f>
        <v>157.66999999999999</v>
      </c>
      <c r="M20" s="187">
        <f>Ори!D8</f>
        <v>124.71626000000001</v>
      </c>
      <c r="N20" s="184">
        <f t="shared" si="17"/>
        <v>79.099549692395527</v>
      </c>
      <c r="O20" s="184">
        <f>Ори!C9</f>
        <v>1.7</v>
      </c>
      <c r="P20" s="184">
        <f>Ори!D9</f>
        <v>1.06863</v>
      </c>
      <c r="Q20" s="184">
        <f t="shared" si="18"/>
        <v>62.860588235294109</v>
      </c>
      <c r="R20" s="184">
        <f>Ори!C10</f>
        <v>263.33</v>
      </c>
      <c r="S20" s="184">
        <f>Ори!D10</f>
        <v>189.06715</v>
      </c>
      <c r="T20" s="184">
        <f t="shared" si="19"/>
        <v>71.79856074127521</v>
      </c>
      <c r="U20" s="184">
        <f>Ори!C11</f>
        <v>0</v>
      </c>
      <c r="V20" s="184">
        <f>Ори!D11</f>
        <v>-29.07545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54.549169999999997</v>
      </c>
      <c r="AC20" s="187">
        <f t="shared" si="22"/>
        <v>34.093231250000002</v>
      </c>
      <c r="AD20" s="195">
        <f>Ори!C16</f>
        <v>1620</v>
      </c>
      <c r="AE20" s="195">
        <f>Ори!D16</f>
        <v>515.42993000000001</v>
      </c>
      <c r="AF20" s="187">
        <f t="shared" si="4"/>
        <v>31.816662345679013</v>
      </c>
      <c r="AG20" s="187">
        <f>Ори!C18</f>
        <v>10</v>
      </c>
      <c r="AH20" s="187">
        <f>Ори!D18</f>
        <v>4.01</v>
      </c>
      <c r="AI20" s="187">
        <f t="shared" si="23"/>
        <v>40.099999999999994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28.988520000000001</v>
      </c>
      <c r="AR20" s="187">
        <f t="shared" si="24"/>
        <v>27.016328052190126</v>
      </c>
      <c r="AS20" s="188">
        <f>Ори!C28</f>
        <v>30</v>
      </c>
      <c r="AT20" s="195">
        <f>Ори!D28</f>
        <v>36</v>
      </c>
      <c r="AU20" s="187">
        <f t="shared" si="25"/>
        <v>120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0</v>
      </c>
      <c r="BA20" s="187">
        <f t="shared" si="27"/>
        <v>0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61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-0.10178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3190.6099999999997</v>
      </c>
      <c r="CA20" s="186">
        <f t="shared" si="35"/>
        <v>2495.93435</v>
      </c>
      <c r="CB20" s="187">
        <f t="shared" si="53"/>
        <v>78.227497249742214</v>
      </c>
      <c r="CC20" s="187">
        <f>Ори!C41</f>
        <v>1357.7539999999999</v>
      </c>
      <c r="CD20" s="187">
        <f>Ори!D41</f>
        <v>988.90200000000004</v>
      </c>
      <c r="CE20" s="187">
        <f t="shared" si="36"/>
        <v>72.833665008536158</v>
      </c>
      <c r="CF20" s="187">
        <f>Ори!C42</f>
        <v>320</v>
      </c>
      <c r="CG20" s="187">
        <f>Ори!D42</f>
        <v>160</v>
      </c>
      <c r="CH20" s="187">
        <f t="shared" si="37"/>
        <v>50</v>
      </c>
      <c r="CI20" s="187">
        <f>Ори!C43</f>
        <v>1047.7360000000001</v>
      </c>
      <c r="CJ20" s="187">
        <f>Ори!D43</f>
        <v>912.74599999999998</v>
      </c>
      <c r="CK20" s="187">
        <f t="shared" si="7"/>
        <v>87.116029228737005</v>
      </c>
      <c r="CL20" s="187">
        <f>Ори!C45</f>
        <v>155.91999999999999</v>
      </c>
      <c r="CM20" s="187">
        <f>Ори!D45</f>
        <v>125.104</v>
      </c>
      <c r="CN20" s="187">
        <f t="shared" si="8"/>
        <v>80.23601847101078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6004.6435099999999</v>
      </c>
      <c r="DH20" s="195">
        <f t="shared" si="39"/>
        <v>3670.6233199999997</v>
      </c>
      <c r="DI20" s="187">
        <f t="shared" si="40"/>
        <v>61.129745902267551</v>
      </c>
      <c r="DJ20" s="195">
        <f t="shared" si="41"/>
        <v>1322.2574999999999</v>
      </c>
      <c r="DK20" s="195">
        <f t="shared" si="41"/>
        <v>757.93014000000005</v>
      </c>
      <c r="DL20" s="187">
        <f t="shared" si="42"/>
        <v>57.320918202392498</v>
      </c>
      <c r="DM20" s="187">
        <f>Ори!C58</f>
        <v>1313.154</v>
      </c>
      <c r="DN20" s="187">
        <f>Ори!D58</f>
        <v>753.82664</v>
      </c>
      <c r="DO20" s="187">
        <f t="shared" si="43"/>
        <v>57.405806173533335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4.1035000000000004</v>
      </c>
      <c r="DW20" s="187">
        <f>Ори!D63</f>
        <v>4.1035000000000004</v>
      </c>
      <c r="DX20" s="187">
        <f t="shared" si="46"/>
        <v>100</v>
      </c>
      <c r="DY20" s="187">
        <f>Ори!C65</f>
        <v>150.881</v>
      </c>
      <c r="DZ20" s="187">
        <f>Ори!D65</f>
        <v>85.169780000000003</v>
      </c>
      <c r="EA20" s="187">
        <f t="shared" si="47"/>
        <v>56.448313571622663</v>
      </c>
      <c r="EB20" s="187">
        <f>Ори!C66</f>
        <v>8.6155000000000008</v>
      </c>
      <c r="EC20" s="187">
        <f>Ори!D66</f>
        <v>6.9649999999999999</v>
      </c>
      <c r="ED20" s="187">
        <f t="shared" si="48"/>
        <v>80.842667285705986</v>
      </c>
      <c r="EE20" s="195">
        <f>Ори!C71</f>
        <v>2156.7305099999999</v>
      </c>
      <c r="EF20" s="195">
        <f>Ори!D71</f>
        <v>1579.8311999999999</v>
      </c>
      <c r="EG20" s="187">
        <f t="shared" si="49"/>
        <v>73.251210231175335</v>
      </c>
      <c r="EH20" s="195">
        <f>Ори!C76</f>
        <v>830.15899999999999</v>
      </c>
      <c r="EI20" s="195">
        <f>Ори!D76</f>
        <v>738.38620000000003</v>
      </c>
      <c r="EJ20" s="187">
        <f t="shared" si="50"/>
        <v>88.945153880160305</v>
      </c>
      <c r="EK20" s="195">
        <f>Ори!C81</f>
        <v>1534</v>
      </c>
      <c r="EL20" s="197">
        <f>Ори!D81</f>
        <v>502.34100000000001</v>
      </c>
      <c r="EM20" s="187">
        <f t="shared" si="10"/>
        <v>32.747131681877448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-67.270619999999326</v>
      </c>
      <c r="EY20" s="184">
        <f t="shared" si="54"/>
        <v>60.206306953034328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6439.1309999999994</v>
      </c>
      <c r="D21" s="287">
        <f t="shared" si="0"/>
        <v>3525.5749900000001</v>
      </c>
      <c r="E21" s="187">
        <f t="shared" si="1"/>
        <v>54.752341426195564</v>
      </c>
      <c r="F21" s="185">
        <f t="shared" si="2"/>
        <v>1904.9999999999998</v>
      </c>
      <c r="G21" s="185">
        <f t="shared" si="3"/>
        <v>930.9858200000001</v>
      </c>
      <c r="H21" s="187">
        <f t="shared" si="15"/>
        <v>48.870646719160113</v>
      </c>
      <c r="I21" s="195">
        <f>Сят!C6</f>
        <v>108.1</v>
      </c>
      <c r="J21" s="195">
        <f>Сят!D6</f>
        <v>67.200050000000005</v>
      </c>
      <c r="K21" s="187">
        <f t="shared" si="16"/>
        <v>62.164708603145243</v>
      </c>
      <c r="L21" s="187">
        <f>Сят!C8</f>
        <v>194.3</v>
      </c>
      <c r="M21" s="187">
        <f>Сят!D8</f>
        <v>153.69073</v>
      </c>
      <c r="N21" s="184">
        <f t="shared" si="17"/>
        <v>79.0997066392177</v>
      </c>
      <c r="O21" s="184">
        <f>Сят!C9</f>
        <v>2.1</v>
      </c>
      <c r="P21" s="184">
        <f>Сят!D9</f>
        <v>1.3168500000000001</v>
      </c>
      <c r="Q21" s="184">
        <f t="shared" si="18"/>
        <v>62.707142857142863</v>
      </c>
      <c r="R21" s="184">
        <f>Сят!C10</f>
        <v>324.5</v>
      </c>
      <c r="S21" s="184">
        <f>Сят!D10</f>
        <v>232.99185</v>
      </c>
      <c r="T21" s="184">
        <f t="shared" si="19"/>
        <v>71.800261941448383</v>
      </c>
      <c r="U21" s="184">
        <f>Сят!C11</f>
        <v>0</v>
      </c>
      <c r="V21" s="184">
        <f>Сят!D11</f>
        <v>-35.830280000000002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45.403060000000004</v>
      </c>
      <c r="AC21" s="187">
        <f t="shared" si="22"/>
        <v>34.925430769230772</v>
      </c>
      <c r="AD21" s="195">
        <f>Сят!C16</f>
        <v>930</v>
      </c>
      <c r="AE21" s="195">
        <f>Сят!D16</f>
        <v>510.47098999999997</v>
      </c>
      <c r="AF21" s="187">
        <f t="shared" si="4"/>
        <v>54.889353763440866</v>
      </c>
      <c r="AG21" s="187">
        <f>Сят!C18</f>
        <v>10</v>
      </c>
      <c r="AH21" s="187">
        <f>Сят!D18</f>
        <v>2.375</v>
      </c>
      <c r="AI21" s="187">
        <f t="shared" si="23"/>
        <v>23.75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0</v>
      </c>
      <c r="AR21" s="187">
        <f t="shared" si="24"/>
        <v>0</v>
      </c>
      <c r="AS21" s="188">
        <f>Сят!C28</f>
        <v>6</v>
      </c>
      <c r="AT21" s="195">
        <f>Сят!D28</f>
        <v>4.5158399999999999</v>
      </c>
      <c r="AU21" s="187">
        <f t="shared" si="25"/>
        <v>75.263999999999996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0.84928999999999999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361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4534.1309999999994</v>
      </c>
      <c r="CA21" s="186">
        <f t="shared" si="35"/>
        <v>2594.5891700000002</v>
      </c>
      <c r="CB21" s="187">
        <f t="shared" si="53"/>
        <v>57.223515818135837</v>
      </c>
      <c r="CC21" s="187">
        <f>Сят!C41</f>
        <v>2768.8539999999998</v>
      </c>
      <c r="CD21" s="187">
        <f>Сят!D41</f>
        <v>1992.46</v>
      </c>
      <c r="CE21" s="187">
        <f t="shared" si="36"/>
        <v>71.959734966162898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1320.674</v>
      </c>
      <c r="CJ21" s="187">
        <f>Сят!D43</f>
        <v>268.69499999999999</v>
      </c>
      <c r="CK21" s="187">
        <f t="shared" si="7"/>
        <v>20.34529338807306</v>
      </c>
      <c r="CL21" s="187">
        <f>Сят!C44</f>
        <v>157.59899999999999</v>
      </c>
      <c r="CM21" s="187">
        <f>Сят!D44</f>
        <v>126.14109999999999</v>
      </c>
      <c r="CN21" s="187">
        <f t="shared" si="8"/>
        <v>80.039276898965099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6888.6530199999997</v>
      </c>
      <c r="DH21" s="195">
        <f t="shared" si="39"/>
        <v>3568.7220200000002</v>
      </c>
      <c r="DI21" s="187">
        <f t="shared" si="40"/>
        <v>51.805803103144257</v>
      </c>
      <c r="DJ21" s="195">
        <f t="shared" si="41"/>
        <v>1462.2629999999999</v>
      </c>
      <c r="DK21" s="195">
        <f>Сят!D56</f>
        <v>878.14450000000011</v>
      </c>
      <c r="DL21" s="187">
        <f t="shared" si="42"/>
        <v>60.053800171378214</v>
      </c>
      <c r="DM21" s="187">
        <f>Сят!C58</f>
        <v>1410.7539999999999</v>
      </c>
      <c r="DN21" s="187">
        <f>Сят!D58</f>
        <v>866.28150000000005</v>
      </c>
      <c r="DO21" s="187">
        <f t="shared" si="43"/>
        <v>61.405567519213136</v>
      </c>
      <c r="DP21" s="187">
        <f>Сят!C61</f>
        <v>19.635999999999999</v>
      </c>
      <c r="DQ21" s="187">
        <f>Сят!D61</f>
        <v>0</v>
      </c>
      <c r="DR21" s="187">
        <f t="shared" si="44"/>
        <v>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11.863</v>
      </c>
      <c r="DW21" s="187">
        <f>Сят!D63</f>
        <v>11.863</v>
      </c>
      <c r="DX21" s="187">
        <f t="shared" si="46"/>
        <v>100</v>
      </c>
      <c r="DY21" s="187">
        <f>Сят!C65</f>
        <v>150.881</v>
      </c>
      <c r="DZ21" s="187">
        <f>Сят!D65</f>
        <v>104.54644</v>
      </c>
      <c r="EA21" s="187">
        <f t="shared" si="47"/>
        <v>69.290659526381731</v>
      </c>
      <c r="EB21" s="187">
        <f>Сят!C66</f>
        <v>10</v>
      </c>
      <c r="EC21" s="187">
        <f>Сят!D66</f>
        <v>0</v>
      </c>
      <c r="ED21" s="187">
        <f t="shared" si="48"/>
        <v>0</v>
      </c>
      <c r="EE21" s="195">
        <f>Сят!C71</f>
        <v>2319.4480199999998</v>
      </c>
      <c r="EF21" s="195">
        <f>Сят!D71</f>
        <v>508.60867999999999</v>
      </c>
      <c r="EG21" s="187">
        <f t="shared" si="49"/>
        <v>21.928005094936339</v>
      </c>
      <c r="EH21" s="195">
        <f>Сят!C76</f>
        <v>809.21100000000001</v>
      </c>
      <c r="EI21" s="195">
        <f>Сят!D76</f>
        <v>475.56948</v>
      </c>
      <c r="EJ21" s="187">
        <f t="shared" si="50"/>
        <v>58.769527354423012</v>
      </c>
      <c r="EK21" s="195">
        <f>Сят!C80</f>
        <v>2099.85</v>
      </c>
      <c r="EL21" s="197">
        <f>Сят!D80</f>
        <v>1577.9379200000001</v>
      </c>
      <c r="EM21" s="187">
        <f t="shared" si="10"/>
        <v>75.1452684715575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23.914999999999999</v>
      </c>
      <c r="ES21" s="187">
        <f t="shared" si="51"/>
        <v>64.63513513513513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-449.52202000000034</v>
      </c>
      <c r="EX21" s="191">
        <f t="shared" si="13"/>
        <v>-43.147030000000086</v>
      </c>
      <c r="EY21" s="184">
        <f t="shared" si="54"/>
        <v>9.5984241216926485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5" customFormat="1" ht="15" customHeight="1">
      <c r="A22" s="226">
        <v>9</v>
      </c>
      <c r="B22" s="227" t="s">
        <v>312</v>
      </c>
      <c r="C22" s="288">
        <f>F22+BZ22</f>
        <v>4808.7370000000001</v>
      </c>
      <c r="D22" s="288">
        <f t="shared" si="0"/>
        <v>2860.8002900000001</v>
      </c>
      <c r="E22" s="228">
        <f t="shared" si="1"/>
        <v>59.491718719489128</v>
      </c>
      <c r="F22" s="229">
        <f>I22+X22+AA22+AD22+AG22+AM22+AS22+BE22+BQ22+BN22+AJ22+AY22+L22+R22+O22+U22+AP22</f>
        <v>1863.5</v>
      </c>
      <c r="G22" s="229">
        <f t="shared" si="3"/>
        <v>1229.1916899999999</v>
      </c>
      <c r="H22" s="228">
        <f t="shared" si="15"/>
        <v>65.961453716125561</v>
      </c>
      <c r="I22" s="188">
        <f>Тор!C6</f>
        <v>104.8</v>
      </c>
      <c r="J22" s="188">
        <f>Тор!D6</f>
        <v>63.301630000000003</v>
      </c>
      <c r="K22" s="228">
        <f t="shared" si="16"/>
        <v>60.402318702290081</v>
      </c>
      <c r="L22" s="228">
        <f>Тор!C8</f>
        <v>269.94</v>
      </c>
      <c r="M22" s="228">
        <f>Тор!D8</f>
        <v>213.52934999999999</v>
      </c>
      <c r="N22" s="228">
        <f t="shared" si="17"/>
        <v>79.102522782840637</v>
      </c>
      <c r="O22" s="228">
        <f>Тор!C9</f>
        <v>2.9</v>
      </c>
      <c r="P22" s="228">
        <f>Тор!D9</f>
        <v>1.8295300000000001</v>
      </c>
      <c r="Q22" s="228">
        <f t="shared" si="18"/>
        <v>63.087241379310356</v>
      </c>
      <c r="R22" s="228">
        <f>Тор!C10</f>
        <v>450.86</v>
      </c>
      <c r="S22" s="228">
        <f>Тор!D10</f>
        <v>323.70591000000002</v>
      </c>
      <c r="T22" s="228">
        <f t="shared" si="19"/>
        <v>71.797433793195225</v>
      </c>
      <c r="U22" s="228">
        <f>Тор!C11</f>
        <v>0</v>
      </c>
      <c r="V22" s="228">
        <f>Тор!D11</f>
        <v>-49.7806</v>
      </c>
      <c r="W22" s="228" t="e">
        <f t="shared" si="20"/>
        <v>#DIV/0!</v>
      </c>
      <c r="X22" s="188">
        <f>Тор!C13</f>
        <v>15</v>
      </c>
      <c r="Y22" s="188">
        <f>Тор!D13</f>
        <v>26.019300000000001</v>
      </c>
      <c r="Z22" s="228">
        <f t="shared" si="21"/>
        <v>173.46200000000002</v>
      </c>
      <c r="AA22" s="188">
        <f>Тор!C15</f>
        <v>160</v>
      </c>
      <c r="AB22" s="188">
        <f>Тор!D15</f>
        <v>33.919730000000001</v>
      </c>
      <c r="AC22" s="228">
        <f t="shared" si="22"/>
        <v>21.199831250000003</v>
      </c>
      <c r="AD22" s="188">
        <f>Тор!C16</f>
        <v>470</v>
      </c>
      <c r="AE22" s="188">
        <f>Тор!D16</f>
        <v>235.4803</v>
      </c>
      <c r="AF22" s="228">
        <f t="shared" si="4"/>
        <v>50.102191489361701</v>
      </c>
      <c r="AG22" s="228">
        <f>Тор!C18</f>
        <v>10</v>
      </c>
      <c r="AH22" s="228">
        <f>Тор!D18</f>
        <v>4.5999999999999996</v>
      </c>
      <c r="AI22" s="228">
        <f t="shared" si="23"/>
        <v>46</v>
      </c>
      <c r="AJ22" s="228"/>
      <c r="AK22" s="228">
        <f>Тор!D20</f>
        <v>0</v>
      </c>
      <c r="AL22" s="228" t="e">
        <f t="shared" si="5"/>
        <v>#DIV/0!</v>
      </c>
      <c r="AM22" s="188">
        <v>0</v>
      </c>
      <c r="AN22" s="188">
        <v>0</v>
      </c>
      <c r="AO22" s="228" t="e">
        <f t="shared" si="6"/>
        <v>#DIV/0!</v>
      </c>
      <c r="AP22" s="188">
        <f>Тор!C27</f>
        <v>300</v>
      </c>
      <c r="AQ22" s="188">
        <f>Тор!D27</f>
        <v>305.50894</v>
      </c>
      <c r="AR22" s="228">
        <f t="shared" si="24"/>
        <v>101.83631333333334</v>
      </c>
      <c r="AS22" s="188">
        <f>Тор!C28</f>
        <v>30</v>
      </c>
      <c r="AT22" s="188">
        <f>Тор!D28</f>
        <v>39.60622</v>
      </c>
      <c r="AU22" s="228">
        <f t="shared" si="25"/>
        <v>132.02073333333334</v>
      </c>
      <c r="AV22" s="188"/>
      <c r="AW22" s="188"/>
      <c r="AX22" s="228" t="e">
        <f t="shared" si="26"/>
        <v>#DIV/0!</v>
      </c>
      <c r="AY22" s="228">
        <f>Тор!C29</f>
        <v>50</v>
      </c>
      <c r="AZ22" s="228">
        <f>Тор!D29</f>
        <v>31.729009999999999</v>
      </c>
      <c r="BA22" s="228">
        <f t="shared" si="27"/>
        <v>63.458019999999991</v>
      </c>
      <c r="BB22" s="228"/>
      <c r="BC22" s="228"/>
      <c r="BD22" s="228"/>
      <c r="BE22" s="228">
        <f>Тор!C34+Тор!C33</f>
        <v>0</v>
      </c>
      <c r="BF22" s="228">
        <f>Тор!D32</f>
        <v>0</v>
      </c>
      <c r="BG22" s="228" t="e">
        <f t="shared" si="28"/>
        <v>#DIV/0!</v>
      </c>
      <c r="BH22" s="228"/>
      <c r="BI22" s="228"/>
      <c r="BJ22" s="228" t="e">
        <f t="shared" si="29"/>
        <v>#DIV/0!</v>
      </c>
      <c r="BK22" s="228"/>
      <c r="BL22" s="228"/>
      <c r="BM22" s="228"/>
      <c r="BN22" s="228"/>
      <c r="BO22" s="362">
        <f>Тор!D35</f>
        <v>0</v>
      </c>
      <c r="BP22" s="228" t="e">
        <f t="shared" si="30"/>
        <v>#DIV/0!</v>
      </c>
      <c r="BQ22" s="228">
        <f>Тор!C37</f>
        <v>0</v>
      </c>
      <c r="BR22" s="228">
        <f>Тор!D37</f>
        <v>-0.25763000000000003</v>
      </c>
      <c r="BS22" s="228" t="e">
        <f t="shared" si="31"/>
        <v>#DIV/0!</v>
      </c>
      <c r="BT22" s="228"/>
      <c r="BU22" s="228"/>
      <c r="BV22" s="230" t="e">
        <f t="shared" si="32"/>
        <v>#DIV/0!</v>
      </c>
      <c r="BW22" s="230"/>
      <c r="BX22" s="230"/>
      <c r="BY22" s="230" t="e">
        <f t="shared" si="33"/>
        <v>#DIV/0!</v>
      </c>
      <c r="BZ22" s="188">
        <f t="shared" si="34"/>
        <v>2945.2370000000001</v>
      </c>
      <c r="CA22" s="186">
        <f t="shared" si="35"/>
        <v>1631.6086</v>
      </c>
      <c r="CB22" s="228">
        <f t="shared" si="53"/>
        <v>55.398210738219035</v>
      </c>
      <c r="CC22" s="228">
        <f>Тор!C42</f>
        <v>1351.8630000000001</v>
      </c>
      <c r="CD22" s="228">
        <f>Тор!D42</f>
        <v>1012.1950000000001</v>
      </c>
      <c r="CE22" s="228">
        <f t="shared" si="36"/>
        <v>74.874081175385371</v>
      </c>
      <c r="CF22" s="228">
        <f>Тор!C43</f>
        <v>584</v>
      </c>
      <c r="CG22" s="228">
        <f>Тор!D43</f>
        <v>227</v>
      </c>
      <c r="CH22" s="228">
        <f t="shared" si="37"/>
        <v>38.869863013698627</v>
      </c>
      <c r="CI22" s="228">
        <f>Тор!C44</f>
        <v>802.53499999999997</v>
      </c>
      <c r="CJ22" s="228">
        <f>Тор!D44</f>
        <v>237.059</v>
      </c>
      <c r="CK22" s="228">
        <f t="shared" si="7"/>
        <v>29.538774009856265</v>
      </c>
      <c r="CL22" s="228">
        <f>Тор!C45</f>
        <v>154.239</v>
      </c>
      <c r="CM22" s="228">
        <f>Тор!D45</f>
        <v>125.104</v>
      </c>
      <c r="CN22" s="228">
        <f t="shared" si="8"/>
        <v>81.110484378140413</v>
      </c>
      <c r="CO22" s="228">
        <f>Тор!C46</f>
        <v>0</v>
      </c>
      <c r="CP22" s="228">
        <f>Тор!D46</f>
        <v>0</v>
      </c>
      <c r="CQ22" s="228"/>
      <c r="CR22" s="228">
        <f>Тор!C48</f>
        <v>52.6</v>
      </c>
      <c r="CS22" s="228">
        <f>Тор!D48</f>
        <v>52.6</v>
      </c>
      <c r="CT22" s="228">
        <f t="shared" si="9"/>
        <v>100</v>
      </c>
      <c r="CU22" s="228"/>
      <c r="CV22" s="228">
        <f>Тор!D49</f>
        <v>-22.349399999999999</v>
      </c>
      <c r="CW22" s="228"/>
      <c r="CX22" s="188"/>
      <c r="CY22" s="188"/>
      <c r="CZ22" s="228" t="e">
        <f t="shared" si="38"/>
        <v>#DIV/0!</v>
      </c>
      <c r="DA22" s="228"/>
      <c r="DB22" s="228"/>
      <c r="DC22" s="228"/>
      <c r="DD22" s="228"/>
      <c r="DE22" s="228"/>
      <c r="DF22" s="228"/>
      <c r="DG22" s="188">
        <f t="shared" si="39"/>
        <v>5115.77423</v>
      </c>
      <c r="DH22" s="188">
        <f t="shared" si="39"/>
        <v>2675.7913200000003</v>
      </c>
      <c r="DI22" s="228">
        <f t="shared" si="40"/>
        <v>52.304718693576916</v>
      </c>
      <c r="DJ22" s="188">
        <f t="shared" si="41"/>
        <v>1122.472</v>
      </c>
      <c r="DK22" s="188">
        <f t="shared" si="41"/>
        <v>643.11628999999994</v>
      </c>
      <c r="DL22" s="228">
        <f t="shared" si="42"/>
        <v>57.294639866295107</v>
      </c>
      <c r="DM22" s="228">
        <f>Тор!C58</f>
        <v>1096.463</v>
      </c>
      <c r="DN22" s="228">
        <f>Тор!D58</f>
        <v>639.62028999999995</v>
      </c>
      <c r="DO22" s="228">
        <f t="shared" si="43"/>
        <v>58.334872220950452</v>
      </c>
      <c r="DP22" s="228">
        <f>Тор!C61</f>
        <v>16.561</v>
      </c>
      <c r="DQ22" s="228">
        <f>Тор!D61</f>
        <v>0</v>
      </c>
      <c r="DR22" s="228">
        <f t="shared" si="44"/>
        <v>0</v>
      </c>
      <c r="DS22" s="228">
        <f>Тор!C62</f>
        <v>5</v>
      </c>
      <c r="DT22" s="228">
        <f>Тор!D62</f>
        <v>0</v>
      </c>
      <c r="DU22" s="228">
        <f t="shared" si="45"/>
        <v>0</v>
      </c>
      <c r="DV22" s="228">
        <f>Тор!C63</f>
        <v>4.4480000000000004</v>
      </c>
      <c r="DW22" s="228">
        <f>Тор!D63</f>
        <v>3.496</v>
      </c>
      <c r="DX22" s="228">
        <f t="shared" si="46"/>
        <v>78.597122302158269</v>
      </c>
      <c r="DY22" s="228">
        <f>Тор!C65</f>
        <v>150.88</v>
      </c>
      <c r="DZ22" s="228">
        <f>+Тор!D64</f>
        <v>96.332329999999999</v>
      </c>
      <c r="EA22" s="228">
        <f t="shared" si="47"/>
        <v>63.846984358430547</v>
      </c>
      <c r="EB22" s="228">
        <f>Тор!C66</f>
        <v>7</v>
      </c>
      <c r="EC22" s="228">
        <f>Тор!D66</f>
        <v>0</v>
      </c>
      <c r="ED22" s="228">
        <f t="shared" si="48"/>
        <v>0</v>
      </c>
      <c r="EE22" s="188">
        <f>Тор!C71</f>
        <v>2259.2312300000003</v>
      </c>
      <c r="EF22" s="188">
        <f>Тор!D71</f>
        <v>927.38732000000005</v>
      </c>
      <c r="EG22" s="228">
        <f t="shared" si="49"/>
        <v>41.048800480683859</v>
      </c>
      <c r="EH22" s="188">
        <f>Тор!C77</f>
        <v>344.59100000000001</v>
      </c>
      <c r="EI22" s="188">
        <f>Тор!D77</f>
        <v>207.49538000000001</v>
      </c>
      <c r="EJ22" s="228">
        <f t="shared" si="50"/>
        <v>60.214973693451078</v>
      </c>
      <c r="EK22" s="188">
        <f>Тор!C81</f>
        <v>1221.5999999999999</v>
      </c>
      <c r="EL22" s="231">
        <f>Тор!D81</f>
        <v>791.46</v>
      </c>
      <c r="EM22" s="228">
        <f t="shared" si="10"/>
        <v>64.788801571709243</v>
      </c>
      <c r="EN22" s="228">
        <f>Тор!C83</f>
        <v>0</v>
      </c>
      <c r="EO22" s="228">
        <f>Тор!D83</f>
        <v>0</v>
      </c>
      <c r="EP22" s="228" t="e">
        <f t="shared" si="11"/>
        <v>#DIV/0!</v>
      </c>
      <c r="EQ22" s="229">
        <f>Тор!C96</f>
        <v>10</v>
      </c>
      <c r="ER22" s="229">
        <f>Тор!D96</f>
        <v>10</v>
      </c>
      <c r="ES22" s="228">
        <f t="shared" si="51"/>
        <v>100</v>
      </c>
      <c r="ET22" s="228">
        <f>Тор!C94</f>
        <v>0</v>
      </c>
      <c r="EU22" s="228">
        <f>Тор!D94</f>
        <v>0</v>
      </c>
      <c r="EV22" s="228" t="e">
        <f t="shared" si="52"/>
        <v>#DIV/0!</v>
      </c>
      <c r="EW22" s="232">
        <f t="shared" si="12"/>
        <v>-307.03722999999991</v>
      </c>
      <c r="EX22" s="232">
        <f t="shared" si="13"/>
        <v>185.00896999999986</v>
      </c>
      <c r="EY22" s="228">
        <f t="shared" si="54"/>
        <v>-60.256200852254928</v>
      </c>
      <c r="EZ22" s="233"/>
      <c r="FA22" s="234"/>
      <c r="FC22" s="234"/>
      <c r="FF22" s="328"/>
      <c r="FG22" s="328"/>
      <c r="FH22" s="328"/>
      <c r="FI22" s="328"/>
      <c r="FJ22" s="328"/>
      <c r="FK22" s="328"/>
      <c r="FL22" s="328"/>
      <c r="FM22" s="328"/>
      <c r="FN22" s="328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3601.5540000000001</v>
      </c>
      <c r="D23" s="287">
        <f t="shared" si="0"/>
        <v>2177.4108100000003</v>
      </c>
      <c r="E23" s="187">
        <f t="shared" si="1"/>
        <v>60.457536108024492</v>
      </c>
      <c r="F23" s="185">
        <f t="shared" si="2"/>
        <v>967.7</v>
      </c>
      <c r="G23" s="185">
        <f t="shared" si="3"/>
        <v>460.11381000000006</v>
      </c>
      <c r="H23" s="187">
        <f t="shared" si="15"/>
        <v>47.547154076676662</v>
      </c>
      <c r="I23" s="195">
        <f>Хор!C6</f>
        <v>85.8</v>
      </c>
      <c r="J23" s="195">
        <f>Хор!D6</f>
        <v>47.846409999999999</v>
      </c>
      <c r="K23" s="187">
        <f t="shared" si="16"/>
        <v>55.765046620046618</v>
      </c>
      <c r="L23" s="187">
        <f>Хор!C8</f>
        <v>123.43</v>
      </c>
      <c r="M23" s="187">
        <f>Хор!D8</f>
        <v>97.631410000000002</v>
      </c>
      <c r="N23" s="184">
        <f t="shared" si="17"/>
        <v>79.098606497609978</v>
      </c>
      <c r="O23" s="184">
        <f>Хор!C9</f>
        <v>1.32</v>
      </c>
      <c r="P23" s="184">
        <f>Хор!D9</f>
        <v>0.83648</v>
      </c>
      <c r="Q23" s="184">
        <f t="shared" si="18"/>
        <v>63.369696969696967</v>
      </c>
      <c r="R23" s="184">
        <f>Хор!C10</f>
        <v>206.15</v>
      </c>
      <c r="S23" s="184">
        <f>Хор!D10</f>
        <v>148.00711999999999</v>
      </c>
      <c r="T23" s="184">
        <f t="shared" si="19"/>
        <v>71.795837982051893</v>
      </c>
      <c r="U23" s="184">
        <f>Хор!C11</f>
        <v>0</v>
      </c>
      <c r="V23" s="184">
        <f>Хор!D11</f>
        <v>-22.761019999999998</v>
      </c>
      <c r="W23" s="184" t="e">
        <f t="shared" si="20"/>
        <v>#DIV/0!</v>
      </c>
      <c r="X23" s="195">
        <f>Хор!C13</f>
        <v>10</v>
      </c>
      <c r="Y23" s="195">
        <f>Хор!D13</f>
        <v>2.532</v>
      </c>
      <c r="Z23" s="187">
        <f t="shared" si="21"/>
        <v>25.319999999999997</v>
      </c>
      <c r="AA23" s="195">
        <f>Хор!C15</f>
        <v>110</v>
      </c>
      <c r="AB23" s="195">
        <f>Хор!D15</f>
        <v>10.967599999999999</v>
      </c>
      <c r="AC23" s="187">
        <f t="shared" si="22"/>
        <v>9.970545454545455</v>
      </c>
      <c r="AD23" s="195">
        <f>Хор!C16</f>
        <v>390</v>
      </c>
      <c r="AE23" s="195">
        <f>Хор!D16</f>
        <v>150.21691000000001</v>
      </c>
      <c r="AF23" s="187">
        <f t="shared" si="4"/>
        <v>38.517156410256412</v>
      </c>
      <c r="AG23" s="187">
        <f>Хор!C18</f>
        <v>8</v>
      </c>
      <c r="AH23" s="187">
        <f>Хор!D18</f>
        <v>19.8</v>
      </c>
      <c r="AI23" s="187">
        <f t="shared" si="23"/>
        <v>247.5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61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2633.8540000000003</v>
      </c>
      <c r="CA23" s="186">
        <f t="shared" si="35"/>
        <v>1717.297</v>
      </c>
      <c r="CB23" s="187">
        <f t="shared" si="53"/>
        <v>65.200918501936698</v>
      </c>
      <c r="CC23" s="187">
        <f>Хор!C39</f>
        <v>1258.9960000000001</v>
      </c>
      <c r="CD23" s="187">
        <f>Хор!D39</f>
        <v>920.82899999999995</v>
      </c>
      <c r="CE23" s="187">
        <f t="shared" si="36"/>
        <v>73.139946433507333</v>
      </c>
      <c r="CF23" s="187">
        <f>Хор!C41</f>
        <v>730</v>
      </c>
      <c r="CG23" s="187">
        <f>Хор!D41</f>
        <v>215</v>
      </c>
      <c r="CH23" s="187">
        <f t="shared" si="37"/>
        <v>29.452054794520549</v>
      </c>
      <c r="CI23" s="187">
        <f>Хор!C42</f>
        <v>480.904</v>
      </c>
      <c r="CJ23" s="187">
        <f>Хор!D42</f>
        <v>435.16199999999998</v>
      </c>
      <c r="CK23" s="187">
        <f t="shared" si="7"/>
        <v>90.48833031124714</v>
      </c>
      <c r="CL23" s="187">
        <f>Хор!C43</f>
        <v>73.953999999999994</v>
      </c>
      <c r="CM23" s="187">
        <f>Хор!D43</f>
        <v>59.305999999999997</v>
      </c>
      <c r="CN23" s="187">
        <f t="shared" si="8"/>
        <v>80.193093003759103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3584.7935600000001</v>
      </c>
      <c r="DH23" s="195">
        <f t="shared" si="39"/>
        <v>2089.1161199999997</v>
      </c>
      <c r="DI23" s="187">
        <f t="shared" si="40"/>
        <v>58.277166733138174</v>
      </c>
      <c r="DJ23" s="195">
        <f t="shared" si="41"/>
        <v>1135.8050000000001</v>
      </c>
      <c r="DK23" s="195">
        <f t="shared" si="41"/>
        <v>578.95999999999992</v>
      </c>
      <c r="DL23" s="187">
        <f t="shared" si="42"/>
        <v>50.973538591571611</v>
      </c>
      <c r="DM23" s="187">
        <f>Хор!C56</f>
        <v>1128.096</v>
      </c>
      <c r="DN23" s="187">
        <f>Хор!D56</f>
        <v>576.25149999999996</v>
      </c>
      <c r="DO23" s="187">
        <f t="shared" si="43"/>
        <v>51.081778501120468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70.594999999999999</v>
      </c>
      <c r="DZ23" s="187">
        <f>Хор!D63</f>
        <v>40.802509999999998</v>
      </c>
      <c r="EA23" s="187">
        <f t="shared" si="47"/>
        <v>57.798016856717894</v>
      </c>
      <c r="EB23" s="187">
        <f>Хор!C64</f>
        <v>4</v>
      </c>
      <c r="EC23" s="187">
        <f>Хор!D64</f>
        <v>2</v>
      </c>
      <c r="ED23" s="187">
        <f t="shared" si="48"/>
        <v>50</v>
      </c>
      <c r="EE23" s="195">
        <f>Хор!C69</f>
        <v>908.89155999999991</v>
      </c>
      <c r="EF23" s="195">
        <f>Хор!D69</f>
        <v>758.28727000000003</v>
      </c>
      <c r="EG23" s="187">
        <f t="shared" si="49"/>
        <v>83.429894540994539</v>
      </c>
      <c r="EH23" s="195">
        <f>Хор!C74</f>
        <v>184.80199999999999</v>
      </c>
      <c r="EI23" s="195">
        <f>Хор!D74</f>
        <v>122.06634</v>
      </c>
      <c r="EJ23" s="187">
        <f t="shared" si="50"/>
        <v>66.05249943182433</v>
      </c>
      <c r="EK23" s="195">
        <f>Хор!C78</f>
        <v>1277.7</v>
      </c>
      <c r="EL23" s="197">
        <f>Хор!D78</f>
        <v>585</v>
      </c>
      <c r="EM23" s="187">
        <f t="shared" si="10"/>
        <v>45.78539563277765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88.294690000000628</v>
      </c>
      <c r="EY23" s="184">
        <f t="shared" si="54"/>
        <v>526.80412924720667</v>
      </c>
      <c r="EZ23" s="192"/>
      <c r="FA23" s="193"/>
      <c r="FC23" s="193"/>
    </row>
    <row r="24" spans="1:170" s="169" customFormat="1" ht="15" customHeight="1">
      <c r="A24" s="181">
        <v>11</v>
      </c>
      <c r="B24" s="194" t="s">
        <v>314</v>
      </c>
      <c r="C24" s="183">
        <f t="shared" si="14"/>
        <v>3658.627</v>
      </c>
      <c r="D24" s="287">
        <f t="shared" si="0"/>
        <v>2283.5044699999999</v>
      </c>
      <c r="E24" s="187">
        <f t="shared" si="1"/>
        <v>62.414246382591067</v>
      </c>
      <c r="F24" s="185">
        <f t="shared" si="2"/>
        <v>1071.1199999999999</v>
      </c>
      <c r="G24" s="185">
        <f t="shared" si="3"/>
        <v>617.63137000000006</v>
      </c>
      <c r="H24" s="187">
        <f t="shared" si="15"/>
        <v>57.662201247292565</v>
      </c>
      <c r="I24" s="195">
        <f>Чум!C6</f>
        <v>95.3</v>
      </c>
      <c r="J24" s="195">
        <f>Чум!D6</f>
        <v>52.120100000000001</v>
      </c>
      <c r="K24" s="187">
        <f t="shared" si="16"/>
        <v>54.690556138509969</v>
      </c>
      <c r="L24" s="187">
        <f>Чум!C8</f>
        <v>117.05</v>
      </c>
      <c r="M24" s="187">
        <f>Чум!D8</f>
        <v>92.592410000000001</v>
      </c>
      <c r="N24" s="184">
        <f t="shared" si="17"/>
        <v>79.105006407518147</v>
      </c>
      <c r="O24" s="184">
        <f>Чум!C9</f>
        <v>1.26</v>
      </c>
      <c r="P24" s="184">
        <f>Чум!D9</f>
        <v>0.79335</v>
      </c>
      <c r="Q24" s="184">
        <f t="shared" si="18"/>
        <v>62.964285714285715</v>
      </c>
      <c r="R24" s="184">
        <f>Чум!C10</f>
        <v>195.51</v>
      </c>
      <c r="S24" s="184">
        <f>Чум!D10</f>
        <v>140.36803</v>
      </c>
      <c r="T24" s="184">
        <f t="shared" si="19"/>
        <v>71.795831415272886</v>
      </c>
      <c r="U24" s="184">
        <f>Чум!C11</f>
        <v>0</v>
      </c>
      <c r="V24" s="184">
        <f>Чум!D11</f>
        <v>-21.586279999999999</v>
      </c>
      <c r="W24" s="184" t="e">
        <f t="shared" si="20"/>
        <v>#DIV/0!</v>
      </c>
      <c r="X24" s="195">
        <f>Чум!C13</f>
        <v>35</v>
      </c>
      <c r="Y24" s="195">
        <f>Чум!D13</f>
        <v>69.827370000000002</v>
      </c>
      <c r="Z24" s="187">
        <f t="shared" si="21"/>
        <v>199.50677142857143</v>
      </c>
      <c r="AA24" s="195">
        <f>Чум!C15</f>
        <v>75</v>
      </c>
      <c r="AB24" s="195">
        <f>Чум!D15</f>
        <v>22.861139999999999</v>
      </c>
      <c r="AC24" s="187">
        <f t="shared" si="22"/>
        <v>30.48152</v>
      </c>
      <c r="AD24" s="195">
        <f>Чум!C16</f>
        <v>460</v>
      </c>
      <c r="AE24" s="195">
        <f>Чум!D16</f>
        <v>214.11055999999999</v>
      </c>
      <c r="AF24" s="187">
        <f t="shared" si="4"/>
        <v>46.545773913043476</v>
      </c>
      <c r="AG24" s="187">
        <f>Чум!C18</f>
        <v>10</v>
      </c>
      <c r="AH24" s="187">
        <f>Чум!D18</f>
        <v>7.5</v>
      </c>
      <c r="AI24" s="187">
        <f t="shared" si="23"/>
        <v>75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13.965</v>
      </c>
      <c r="AR24" s="187">
        <f t="shared" si="24"/>
        <v>17.456250000000001</v>
      </c>
      <c r="AS24" s="188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0</v>
      </c>
      <c r="AZ24" s="187">
        <f>Чум!D30</f>
        <v>25.080850000000002</v>
      </c>
      <c r="BA24" s="187" t="e">
        <f t="shared" si="27"/>
        <v>#DIV/0!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61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86">
        <f t="shared" si="34"/>
        <v>2587.5070000000001</v>
      </c>
      <c r="CA24" s="186">
        <f t="shared" si="35"/>
        <v>1665.8731</v>
      </c>
      <c r="CB24" s="187">
        <f t="shared" si="53"/>
        <v>64.381394910235983</v>
      </c>
      <c r="CC24" s="187">
        <f>Чум!C42</f>
        <v>1906.663</v>
      </c>
      <c r="CD24" s="187">
        <f>Чум!D42</f>
        <v>1430.432</v>
      </c>
      <c r="CE24" s="187">
        <f t="shared" si="36"/>
        <v>75.022801617275832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73.953999999999994</v>
      </c>
      <c r="CM24" s="187">
        <f>Чум!D45</f>
        <v>60.3431</v>
      </c>
      <c r="CN24" s="187">
        <f t="shared" si="8"/>
        <v>81.595451226438058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3732.2935299999999</v>
      </c>
      <c r="DH24" s="195">
        <f t="shared" si="39"/>
        <v>1992.5965399999998</v>
      </c>
      <c r="DI24" s="187">
        <f t="shared" si="40"/>
        <v>53.387991163706786</v>
      </c>
      <c r="DJ24" s="195">
        <f t="shared" si="41"/>
        <v>1291.3660000000002</v>
      </c>
      <c r="DK24" s="195">
        <f t="shared" si="41"/>
        <v>775.43912999999998</v>
      </c>
      <c r="DL24" s="187">
        <f t="shared" si="42"/>
        <v>60.047974780193982</v>
      </c>
      <c r="DM24" s="187">
        <f>Чум!C58</f>
        <v>1274.5630000000001</v>
      </c>
      <c r="DN24" s="187">
        <f>Чум!D58</f>
        <v>764.09163000000001</v>
      </c>
      <c r="DO24" s="187">
        <f t="shared" si="43"/>
        <v>59.949302623722787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11.803000000000001</v>
      </c>
      <c r="DW24" s="187">
        <f>Чум!D63</f>
        <v>11.3475</v>
      </c>
      <c r="DX24" s="187">
        <f t="shared" si="46"/>
        <v>96.140811658053025</v>
      </c>
      <c r="DY24" s="187">
        <f>Чум!C65</f>
        <v>70.594999999999999</v>
      </c>
      <c r="DZ24" s="187">
        <f>Чум!D65</f>
        <v>48.432270000000003</v>
      </c>
      <c r="EA24" s="187">
        <f t="shared" si="47"/>
        <v>68.60580777675473</v>
      </c>
      <c r="EB24" s="187">
        <f>Чум!C66</f>
        <v>9.25</v>
      </c>
      <c r="EC24" s="187">
        <f>Чум!D66</f>
        <v>1.45</v>
      </c>
      <c r="ED24" s="187">
        <f t="shared" si="48"/>
        <v>15.675675675675677</v>
      </c>
      <c r="EE24" s="195">
        <f>Чум!C71</f>
        <v>995.69153000000006</v>
      </c>
      <c r="EF24" s="195">
        <f>Чум!D71</f>
        <v>297.27006</v>
      </c>
      <c r="EG24" s="187">
        <f t="shared" si="49"/>
        <v>29.855638121175943</v>
      </c>
      <c r="EH24" s="195">
        <f>Чум!C76</f>
        <v>490.59100000000001</v>
      </c>
      <c r="EI24" s="195">
        <f>Чум!D76</f>
        <v>287.41807999999997</v>
      </c>
      <c r="EJ24" s="187">
        <f t="shared" si="50"/>
        <v>58.58608902323931</v>
      </c>
      <c r="EK24" s="195">
        <f>Чум!C80</f>
        <v>872.8</v>
      </c>
      <c r="EL24" s="197">
        <f>Чум!D80</f>
        <v>581.87199999999996</v>
      </c>
      <c r="EM24" s="187">
        <f t="shared" si="10"/>
        <v>66.667277726856085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4" t="e">
        <f t="shared" si="52"/>
        <v>#DIV/0!</v>
      </c>
      <c r="EW24" s="191">
        <f t="shared" si="12"/>
        <v>-73.666529999999966</v>
      </c>
      <c r="EX24" s="191">
        <f t="shared" si="13"/>
        <v>290.90793000000008</v>
      </c>
      <c r="EY24" s="184">
        <f t="shared" si="54"/>
        <v>-394.89837515083201</v>
      </c>
      <c r="EZ24" s="192"/>
      <c r="FA24" s="193"/>
      <c r="FC24" s="193"/>
    </row>
    <row r="25" spans="1:170" s="235" customFormat="1" ht="15" customHeight="1">
      <c r="A25" s="226">
        <v>12</v>
      </c>
      <c r="B25" s="227" t="s">
        <v>315</v>
      </c>
      <c r="C25" s="288">
        <f t="shared" si="14"/>
        <v>3448.951</v>
      </c>
      <c r="D25" s="288">
        <f t="shared" si="0"/>
        <v>2067.3579399999999</v>
      </c>
      <c r="E25" s="228">
        <f t="shared" si="1"/>
        <v>59.941644285465344</v>
      </c>
      <c r="F25" s="229">
        <f t="shared" si="2"/>
        <v>909.76</v>
      </c>
      <c r="G25" s="229">
        <f t="shared" si="3"/>
        <v>424.41284000000002</v>
      </c>
      <c r="H25" s="228">
        <f t="shared" si="15"/>
        <v>46.651077207175526</v>
      </c>
      <c r="I25" s="188">
        <f>Шать!C6</f>
        <v>33.4</v>
      </c>
      <c r="J25" s="188">
        <f>Шать!D6</f>
        <v>22.319800000000001</v>
      </c>
      <c r="K25" s="228">
        <f t="shared" si="16"/>
        <v>66.825748502994017</v>
      </c>
      <c r="L25" s="228">
        <f>Шать!C8</f>
        <v>120.24</v>
      </c>
      <c r="M25" s="228">
        <f>Шать!D8</f>
        <v>95.111879999999999</v>
      </c>
      <c r="N25" s="228">
        <f t="shared" si="17"/>
        <v>79.101696606786433</v>
      </c>
      <c r="O25" s="228">
        <f>Шать!C9</f>
        <v>1.29</v>
      </c>
      <c r="P25" s="228">
        <f>Шать!D9</f>
        <v>0.81491000000000002</v>
      </c>
      <c r="Q25" s="228">
        <f t="shared" si="18"/>
        <v>63.171317829457365</v>
      </c>
      <c r="R25" s="228">
        <f>Шать!C10</f>
        <v>200.83</v>
      </c>
      <c r="S25" s="228">
        <f>Шать!D10</f>
        <v>144.18756999999999</v>
      </c>
      <c r="T25" s="228">
        <f t="shared" si="19"/>
        <v>71.795832295971707</v>
      </c>
      <c r="U25" s="228">
        <f>Шать!C11</f>
        <v>0</v>
      </c>
      <c r="V25" s="228">
        <f>Шать!D11</f>
        <v>-22.17361</v>
      </c>
      <c r="W25" s="228" t="e">
        <f t="shared" si="20"/>
        <v>#DIV/0!</v>
      </c>
      <c r="X25" s="188">
        <f>Шать!C13</f>
        <v>10</v>
      </c>
      <c r="Y25" s="188">
        <f>Шать!D13</f>
        <v>8.5609699999999993</v>
      </c>
      <c r="Z25" s="228">
        <f t="shared" si="21"/>
        <v>85.609699999999989</v>
      </c>
      <c r="AA25" s="188">
        <f>Шать!C15</f>
        <v>40</v>
      </c>
      <c r="AB25" s="188">
        <f>Шать!D15</f>
        <v>13.47983</v>
      </c>
      <c r="AC25" s="228">
        <f t="shared" si="22"/>
        <v>33.699574999999996</v>
      </c>
      <c r="AD25" s="188">
        <f>Шать!C16</f>
        <v>315</v>
      </c>
      <c r="AE25" s="188">
        <f>Шать!D16</f>
        <v>116.18959</v>
      </c>
      <c r="AF25" s="228">
        <f t="shared" si="4"/>
        <v>36.885584126984128</v>
      </c>
      <c r="AG25" s="228">
        <f>Шать!C18</f>
        <v>7</v>
      </c>
      <c r="AH25" s="228">
        <f>Шать!D18</f>
        <v>0.8</v>
      </c>
      <c r="AI25" s="228">
        <f t="shared" si="23"/>
        <v>11.428571428571429</v>
      </c>
      <c r="AJ25" s="228"/>
      <c r="AK25" s="228"/>
      <c r="AL25" s="228" t="e">
        <f>AJ25/AK25*100</f>
        <v>#DIV/0!</v>
      </c>
      <c r="AM25" s="188">
        <v>0</v>
      </c>
      <c r="AN25" s="188">
        <f>0</f>
        <v>0</v>
      </c>
      <c r="AO25" s="228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8">
        <f t="shared" si="24"/>
        <v>5.6643478260869564</v>
      </c>
      <c r="AS25" s="188">
        <f>Шать!C28</f>
        <v>17</v>
      </c>
      <c r="AT25" s="188">
        <f>Шать!D28</f>
        <v>17.340800000000002</v>
      </c>
      <c r="AU25" s="228">
        <f t="shared" si="25"/>
        <v>102.00470588235295</v>
      </c>
      <c r="AV25" s="188"/>
      <c r="AW25" s="188"/>
      <c r="AX25" s="228" t="e">
        <f t="shared" si="26"/>
        <v>#DIV/0!</v>
      </c>
      <c r="AY25" s="228">
        <f>Шать!C29</f>
        <v>50</v>
      </c>
      <c r="AZ25" s="228">
        <f>Шать!D29</f>
        <v>21.386410000000001</v>
      </c>
      <c r="BA25" s="228">
        <f t="shared" si="27"/>
        <v>42.772820000000003</v>
      </c>
      <c r="BB25" s="228"/>
      <c r="BC25" s="228"/>
      <c r="BD25" s="228"/>
      <c r="BE25" s="228">
        <f>Шать!C33</f>
        <v>0</v>
      </c>
      <c r="BF25" s="228">
        <f>Шать!D33</f>
        <v>0</v>
      </c>
      <c r="BG25" s="228" t="e">
        <f t="shared" si="28"/>
        <v>#DIV/0!</v>
      </c>
      <c r="BH25" s="228"/>
      <c r="BI25" s="228"/>
      <c r="BJ25" s="228" t="e">
        <f t="shared" si="29"/>
        <v>#DIV/0!</v>
      </c>
      <c r="BK25" s="228"/>
      <c r="BL25" s="228"/>
      <c r="BM25" s="228"/>
      <c r="BN25" s="228">
        <f>Шать!C34</f>
        <v>0</v>
      </c>
      <c r="BO25" s="362">
        <f>Шать!D34</f>
        <v>8.7899999999999992E-3</v>
      </c>
      <c r="BP25" s="228" t="e">
        <f t="shared" si="30"/>
        <v>#DIV/0!</v>
      </c>
      <c r="BQ25" s="228">
        <f>Шать!C37</f>
        <v>0</v>
      </c>
      <c r="BR25" s="228">
        <f>Шать!D39</f>
        <v>-0.12809999999999999</v>
      </c>
      <c r="BS25" s="228" t="e">
        <f t="shared" si="31"/>
        <v>#DIV/0!</v>
      </c>
      <c r="BT25" s="228"/>
      <c r="BU25" s="228"/>
      <c r="BV25" s="230" t="e">
        <f t="shared" si="32"/>
        <v>#DIV/0!</v>
      </c>
      <c r="BW25" s="230"/>
      <c r="BX25" s="230"/>
      <c r="BY25" s="230" t="e">
        <f t="shared" si="33"/>
        <v>#DIV/0!</v>
      </c>
      <c r="BZ25" s="188">
        <f t="shared" si="34"/>
        <v>2539.1910000000003</v>
      </c>
      <c r="CA25" s="186">
        <f t="shared" si="35"/>
        <v>1642.9450999999999</v>
      </c>
      <c r="CB25" s="228">
        <f t="shared" si="53"/>
        <v>64.703486267870346</v>
      </c>
      <c r="CC25" s="228">
        <f>Шать!C42</f>
        <v>1243.7660000000001</v>
      </c>
      <c r="CD25" s="228">
        <f>Шать!D42</f>
        <v>911.779</v>
      </c>
      <c r="CE25" s="228">
        <f t="shared" si="36"/>
        <v>73.30792126493246</v>
      </c>
      <c r="CF25" s="228">
        <f>Шать!C43</f>
        <v>400</v>
      </c>
      <c r="CG25" s="228">
        <f>Шать!D43</f>
        <v>200</v>
      </c>
      <c r="CH25" s="228">
        <f t="shared" si="37"/>
        <v>50</v>
      </c>
      <c r="CI25" s="228">
        <f>Шать!C44</f>
        <v>725.07</v>
      </c>
      <c r="CJ25" s="228">
        <f>Шать!D44</f>
        <v>373.72300000000001</v>
      </c>
      <c r="CK25" s="228">
        <f t="shared" si="7"/>
        <v>51.543023432220338</v>
      </c>
      <c r="CL25" s="228">
        <f>Шать!C45</f>
        <v>73.254999999999995</v>
      </c>
      <c r="CM25" s="228">
        <f>Шать!D45</f>
        <v>60.3431</v>
      </c>
      <c r="CN25" s="228">
        <f t="shared" si="8"/>
        <v>82.374035901986218</v>
      </c>
      <c r="CO25" s="228">
        <f>Шать!C46</f>
        <v>0</v>
      </c>
      <c r="CP25" s="228">
        <f>Шать!D46</f>
        <v>0</v>
      </c>
      <c r="CQ25" s="228"/>
      <c r="CR25" s="228">
        <f>Шать!C50</f>
        <v>97.1</v>
      </c>
      <c r="CS25" s="228">
        <f>Шать!D50</f>
        <v>97.1</v>
      </c>
      <c r="CT25" s="228">
        <f t="shared" si="9"/>
        <v>100</v>
      </c>
      <c r="CU25" s="228"/>
      <c r="CV25" s="228"/>
      <c r="CW25" s="228"/>
      <c r="CX25" s="188"/>
      <c r="CY25" s="188"/>
      <c r="CZ25" s="228" t="e">
        <f t="shared" si="38"/>
        <v>#DIV/0!</v>
      </c>
      <c r="DA25" s="228"/>
      <c r="DB25" s="228"/>
      <c r="DC25" s="228"/>
      <c r="DD25" s="228"/>
      <c r="DE25" s="228"/>
      <c r="DF25" s="228"/>
      <c r="DG25" s="188">
        <f t="shared" si="39"/>
        <v>3395.55753</v>
      </c>
      <c r="DH25" s="188">
        <f t="shared" si="39"/>
        <v>1983.4863500000001</v>
      </c>
      <c r="DI25" s="228">
        <f>DH25/DG25*100</f>
        <v>58.414158278154694</v>
      </c>
      <c r="DJ25" s="188">
        <f t="shared" si="41"/>
        <v>1139.7604999999999</v>
      </c>
      <c r="DK25" s="188">
        <f t="shared" si="41"/>
        <v>681.70507000000009</v>
      </c>
      <c r="DL25" s="228">
        <f t="shared" si="42"/>
        <v>59.811255961230472</v>
      </c>
      <c r="DM25" s="228">
        <f>Шать!C58</f>
        <v>1100.9659999999999</v>
      </c>
      <c r="DN25" s="228">
        <f>Шать!D58</f>
        <v>676.06257000000005</v>
      </c>
      <c r="DO25" s="228">
        <f t="shared" si="43"/>
        <v>61.406307733390506</v>
      </c>
      <c r="DP25" s="228">
        <f>Шать!C61</f>
        <v>32.152000000000001</v>
      </c>
      <c r="DQ25" s="228">
        <f>Шать!D61</f>
        <v>0</v>
      </c>
      <c r="DR25" s="228">
        <f t="shared" si="44"/>
        <v>0</v>
      </c>
      <c r="DS25" s="228">
        <f>Шать!C62</f>
        <v>1</v>
      </c>
      <c r="DT25" s="228">
        <f>Шать!D62</f>
        <v>0</v>
      </c>
      <c r="DU25" s="228">
        <f t="shared" si="45"/>
        <v>0</v>
      </c>
      <c r="DV25" s="228">
        <f>Шать!C63</f>
        <v>5.6425000000000001</v>
      </c>
      <c r="DW25" s="228">
        <f>Шать!D63</f>
        <v>5.6425000000000001</v>
      </c>
      <c r="DX25" s="228">
        <f t="shared" si="46"/>
        <v>100</v>
      </c>
      <c r="DY25" s="228">
        <f>Шать!C65</f>
        <v>70.596000000000004</v>
      </c>
      <c r="DZ25" s="228">
        <f>Шать!D65</f>
        <v>48.679569999999998</v>
      </c>
      <c r="EA25" s="228">
        <f t="shared" si="47"/>
        <v>68.955139101365518</v>
      </c>
      <c r="EB25" s="228">
        <f>Шать!C66</f>
        <v>4</v>
      </c>
      <c r="EC25" s="228">
        <f>Шать!D66</f>
        <v>0</v>
      </c>
      <c r="ED25" s="228">
        <f t="shared" si="48"/>
        <v>0</v>
      </c>
      <c r="EE25" s="188">
        <f>Шать!C71</f>
        <v>1271.0955300000001</v>
      </c>
      <c r="EF25" s="188">
        <f>Шать!D71</f>
        <v>708.40427</v>
      </c>
      <c r="EG25" s="228">
        <f t="shared" si="49"/>
        <v>55.731788310198837</v>
      </c>
      <c r="EH25" s="188">
        <f>Шать!C76</f>
        <v>211.602</v>
      </c>
      <c r="EI25" s="188">
        <f>Шать!D76</f>
        <v>85.996440000000007</v>
      </c>
      <c r="EJ25" s="228">
        <f t="shared" si="50"/>
        <v>40.640655570363229</v>
      </c>
      <c r="EK25" s="188">
        <f>Шать!C80</f>
        <v>689.50350000000003</v>
      </c>
      <c r="EL25" s="231">
        <f>Шать!D80</f>
        <v>449.70299999999997</v>
      </c>
      <c r="EM25" s="228">
        <f t="shared" si="10"/>
        <v>65.221278789737823</v>
      </c>
      <c r="EN25" s="228">
        <f>Шать!C82</f>
        <v>5</v>
      </c>
      <c r="EO25" s="228">
        <f>Шать!D82</f>
        <v>5</v>
      </c>
      <c r="EP25" s="228">
        <f t="shared" si="11"/>
        <v>100</v>
      </c>
      <c r="EQ25" s="229">
        <f>Шать!C87</f>
        <v>4</v>
      </c>
      <c r="ER25" s="229">
        <f>Шать!D87</f>
        <v>3.9980000000000002</v>
      </c>
      <c r="ES25" s="228">
        <f t="shared" si="51"/>
        <v>99.95</v>
      </c>
      <c r="ET25" s="228">
        <f>Шать!C93</f>
        <v>0</v>
      </c>
      <c r="EU25" s="228">
        <f>Шать!D93</f>
        <v>0</v>
      </c>
      <c r="EV25" s="228" t="e">
        <f t="shared" si="52"/>
        <v>#DIV/0!</v>
      </c>
      <c r="EW25" s="232">
        <f t="shared" si="12"/>
        <v>53.393469999999979</v>
      </c>
      <c r="EX25" s="232">
        <f t="shared" si="13"/>
        <v>83.871589999999742</v>
      </c>
      <c r="EY25" s="228">
        <f t="shared" si="54"/>
        <v>157.08211135181844</v>
      </c>
      <c r="EZ25" s="233"/>
      <c r="FA25" s="234"/>
      <c r="FC25" s="234"/>
    </row>
    <row r="26" spans="1:170" s="169" customFormat="1" ht="15" customHeight="1">
      <c r="A26" s="201">
        <v>13</v>
      </c>
      <c r="B26" s="194" t="s">
        <v>316</v>
      </c>
      <c r="C26" s="183">
        <f t="shared" si="14"/>
        <v>4798.3999999999996</v>
      </c>
      <c r="D26" s="287">
        <f t="shared" si="0"/>
        <v>2330.10617</v>
      </c>
      <c r="E26" s="187">
        <f t="shared" si="1"/>
        <v>48.560065230076702</v>
      </c>
      <c r="F26" s="185">
        <f t="shared" si="2"/>
        <v>2650.4100000000003</v>
      </c>
      <c r="G26" s="185">
        <f t="shared" si="3"/>
        <v>1435.2159200000001</v>
      </c>
      <c r="H26" s="187">
        <f t="shared" si="15"/>
        <v>54.150713285868981</v>
      </c>
      <c r="I26" s="195">
        <f>Юнг!C6</f>
        <v>114.5</v>
      </c>
      <c r="J26" s="195">
        <f>Юнг!D6</f>
        <v>78.698989999999995</v>
      </c>
      <c r="K26" s="187">
        <f t="shared" si="16"/>
        <v>68.732742358078596</v>
      </c>
      <c r="L26" s="187">
        <f>Юнг!C8</f>
        <v>185.53</v>
      </c>
      <c r="M26" s="187">
        <f>Юнг!D8</f>
        <v>146.7621</v>
      </c>
      <c r="N26" s="184">
        <f t="shared" si="17"/>
        <v>79.104241901579258</v>
      </c>
      <c r="O26" s="184">
        <f>Юнг!C9</f>
        <v>2</v>
      </c>
      <c r="P26" s="184">
        <f>Юнг!D9</f>
        <v>1.25745</v>
      </c>
      <c r="Q26" s="184">
        <f t="shared" si="18"/>
        <v>62.872499999999995</v>
      </c>
      <c r="R26" s="184">
        <f>Юнг!C10</f>
        <v>309.88</v>
      </c>
      <c r="S26" s="184">
        <f>Юнг!D10</f>
        <v>222.48813000000001</v>
      </c>
      <c r="T26" s="184">
        <f t="shared" si="19"/>
        <v>71.798157351232732</v>
      </c>
      <c r="U26" s="184">
        <f>Юнг!C11</f>
        <v>0</v>
      </c>
      <c r="V26" s="184">
        <f>Юнг!D11</f>
        <v>-34.214979999999997</v>
      </c>
      <c r="W26" s="184" t="e">
        <f t="shared" si="20"/>
        <v>#DIV/0!</v>
      </c>
      <c r="X26" s="195">
        <f>Юнг!C13</f>
        <v>15</v>
      </c>
      <c r="Y26" s="195">
        <f>Юнг!D13</f>
        <v>42.170999999999999</v>
      </c>
      <c r="Z26" s="187">
        <f t="shared" si="21"/>
        <v>281.14</v>
      </c>
      <c r="AA26" s="195">
        <f>Юнг!C15</f>
        <v>150</v>
      </c>
      <c r="AB26" s="195">
        <f>Юнг!D15</f>
        <v>90.049270000000007</v>
      </c>
      <c r="AC26" s="187">
        <f t="shared" si="22"/>
        <v>60.032846666666671</v>
      </c>
      <c r="AD26" s="195">
        <f>Юнг!C16</f>
        <v>1611.5</v>
      </c>
      <c r="AE26" s="195">
        <f>Юнг!D16</f>
        <v>766.45132000000001</v>
      </c>
      <c r="AF26" s="187">
        <f t="shared" si="4"/>
        <v>47.561360223394352</v>
      </c>
      <c r="AG26" s="187">
        <f>Юнг!C18</f>
        <v>12</v>
      </c>
      <c r="AH26" s="187">
        <f>Юнг!D18</f>
        <v>6.95</v>
      </c>
      <c r="AI26" s="187">
        <f t="shared" si="23"/>
        <v>57.916666666666671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40.216999999999999</v>
      </c>
      <c r="AR26" s="187">
        <f t="shared" si="24"/>
        <v>18.280454545454543</v>
      </c>
      <c r="AS26" s="188">
        <f>Юнг!C28</f>
        <v>30</v>
      </c>
      <c r="AT26" s="195">
        <f>Юнг!D28</f>
        <v>24.978000000000002</v>
      </c>
      <c r="AU26" s="187">
        <f t="shared" si="25"/>
        <v>83.26</v>
      </c>
      <c r="AV26" s="195"/>
      <c r="AW26" s="195"/>
      <c r="AX26" s="187" t="e">
        <f t="shared" si="26"/>
        <v>#DIV/0!</v>
      </c>
      <c r="AY26" s="187">
        <f>Юнг!C30</f>
        <v>0</v>
      </c>
      <c r="AZ26" s="187">
        <f>Юнг!D30</f>
        <v>48.231670000000001</v>
      </c>
      <c r="BA26" s="187" t="e">
        <f t="shared" si="27"/>
        <v>#DIV/0!</v>
      </c>
      <c r="BB26" s="187"/>
      <c r="BC26" s="187"/>
      <c r="BD26" s="187"/>
      <c r="BE26" s="187">
        <f>Юнг!C33</f>
        <v>0</v>
      </c>
      <c r="BF26" s="187">
        <f>Юнг!D33</f>
        <v>0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61">
        <f>Юнг!D34</f>
        <v>1.17597</v>
      </c>
      <c r="BP26" s="187" t="e">
        <f t="shared" si="30"/>
        <v>#DIV/0!</v>
      </c>
      <c r="BQ26" s="187">
        <f>Юнг!C36</f>
        <v>0</v>
      </c>
      <c r="BR26" s="187">
        <f>Юнг!D36</f>
        <v>0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86">
        <f t="shared" si="34"/>
        <v>2147.9899999999998</v>
      </c>
      <c r="CA26" s="186">
        <f t="shared" si="35"/>
        <v>894.89025000000015</v>
      </c>
      <c r="CB26" s="187">
        <f t="shared" si="53"/>
        <v>41.661751218581102</v>
      </c>
      <c r="CC26" s="187">
        <f>Юнг!C41</f>
        <v>859.154</v>
      </c>
      <c r="CD26" s="187">
        <f>Юнг!D41</f>
        <v>722.63099999999997</v>
      </c>
      <c r="CE26" s="187">
        <f t="shared" si="36"/>
        <v>84.10960083989599</v>
      </c>
      <c r="CF26" s="187">
        <f>Юнг!C42</f>
        <v>600</v>
      </c>
      <c r="CG26" s="187">
        <f>Юнг!D42</f>
        <v>0</v>
      </c>
      <c r="CH26" s="187">
        <f t="shared" si="37"/>
        <v>0</v>
      </c>
      <c r="CI26" s="187">
        <f>Юнг!C43</f>
        <v>457.16199999999998</v>
      </c>
      <c r="CJ26" s="187">
        <f>Юнг!D43</f>
        <v>335.63900000000001</v>
      </c>
      <c r="CK26" s="187">
        <f t="shared" si="7"/>
        <v>73.417956873055942</v>
      </c>
      <c r="CL26" s="187">
        <f>Юнг!C44</f>
        <v>71.573999999999998</v>
      </c>
      <c r="CM26" s="187">
        <f>Юнг!D44</f>
        <v>59.305999999999997</v>
      </c>
      <c r="CN26" s="187">
        <f t="shared" si="8"/>
        <v>82.859697655573257</v>
      </c>
      <c r="CO26" s="187">
        <f>Юнг!C45</f>
        <v>120</v>
      </c>
      <c r="CP26" s="187">
        <f>Юнг!D45</f>
        <v>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5445.0489200000002</v>
      </c>
      <c r="DH26" s="195">
        <f t="shared" si="39"/>
        <v>2437.0479</v>
      </c>
      <c r="DI26" s="187">
        <f t="shared" si="40"/>
        <v>44.75713507455503</v>
      </c>
      <c r="DJ26" s="195">
        <f t="shared" si="41"/>
        <v>1438.34</v>
      </c>
      <c r="DK26" s="195">
        <f t="shared" si="41"/>
        <v>881.19901000000004</v>
      </c>
      <c r="DL26" s="187">
        <f t="shared" si="42"/>
        <v>61.265000625721321</v>
      </c>
      <c r="DM26" s="187">
        <f>Юнг!C57</f>
        <v>1429.154</v>
      </c>
      <c r="DN26" s="187">
        <f>Юнг!D57</f>
        <v>877.44051000000002</v>
      </c>
      <c r="DO26" s="187">
        <f t="shared" si="43"/>
        <v>61.3957984933744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4.1859999999999999</v>
      </c>
      <c r="DW26" s="187">
        <f>Юнг!D62</f>
        <v>3.7585000000000002</v>
      </c>
      <c r="DX26" s="187">
        <f t="shared" si="46"/>
        <v>89.787386526516968</v>
      </c>
      <c r="DY26" s="187">
        <f>Юнг!C64</f>
        <v>70.594999999999999</v>
      </c>
      <c r="DZ26" s="187">
        <f>Юнг!D64</f>
        <v>45.599620000000002</v>
      </c>
      <c r="EA26" s="187">
        <f t="shared" si="47"/>
        <v>64.593271478150015</v>
      </c>
      <c r="EB26" s="187">
        <f>Юнг!C65</f>
        <v>25.3</v>
      </c>
      <c r="EC26" s="187">
        <f>Юнг!D65</f>
        <v>12.650740000000001</v>
      </c>
      <c r="ED26" s="187">
        <f t="shared" si="48"/>
        <v>50.002924901185771</v>
      </c>
      <c r="EE26" s="195">
        <f>Юнг!C70</f>
        <v>2233.5359200000003</v>
      </c>
      <c r="EF26" s="195">
        <f>Юнг!D70</f>
        <v>914.48603000000003</v>
      </c>
      <c r="EG26" s="187">
        <f t="shared" si="49"/>
        <v>40.943421675528725</v>
      </c>
      <c r="EH26" s="195">
        <f>Юнг!C75</f>
        <v>707.07799999999997</v>
      </c>
      <c r="EI26" s="195">
        <f>Юнг!D75</f>
        <v>201.23052999999999</v>
      </c>
      <c r="EJ26" s="187">
        <f t="shared" si="50"/>
        <v>28.459452846786348</v>
      </c>
      <c r="EK26" s="195">
        <f>Юнг!C79</f>
        <v>950.2</v>
      </c>
      <c r="EL26" s="197">
        <f>Юнг!D79</f>
        <v>379.68196999999998</v>
      </c>
      <c r="EM26" s="187">
        <f t="shared" si="10"/>
        <v>39.95811092401599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20</v>
      </c>
      <c r="ER26" s="198">
        <f>Юнг!D86</f>
        <v>2.2000000000000002</v>
      </c>
      <c r="ES26" s="187">
        <f t="shared" si="51"/>
        <v>11.000000000000002</v>
      </c>
      <c r="ET26" s="187">
        <f>Юнг!C92</f>
        <v>0</v>
      </c>
      <c r="EU26" s="187">
        <f>Юнг!D92</f>
        <v>0</v>
      </c>
      <c r="EV26" s="184" t="e">
        <f t="shared" si="52"/>
        <v>#DIV/0!</v>
      </c>
      <c r="EW26" s="191">
        <f t="shared" si="12"/>
        <v>-646.64892000000054</v>
      </c>
      <c r="EX26" s="191">
        <f t="shared" si="13"/>
        <v>-106.94173000000001</v>
      </c>
      <c r="EY26" s="184">
        <f t="shared" si="54"/>
        <v>16.537834780579221</v>
      </c>
      <c r="EZ26" s="192"/>
      <c r="FA26" s="193"/>
      <c r="FC26" s="193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7205.1420000000007</v>
      </c>
      <c r="D27" s="287">
        <f t="shared" si="0"/>
        <v>3976.1426999999999</v>
      </c>
      <c r="E27" s="187">
        <f t="shared" si="1"/>
        <v>55.184793026979897</v>
      </c>
      <c r="F27" s="185">
        <f>I27+X27+AA27+AD27+AG27+AM27+AS27+BE27+BQ27+BN27+AJ27+AY27+L27+R27+O27+U27+AP27</f>
        <v>1598.5400000000002</v>
      </c>
      <c r="G27" s="185">
        <f t="shared" si="3"/>
        <v>1055.7062000000001</v>
      </c>
      <c r="H27" s="187">
        <f t="shared" si="15"/>
        <v>66.041900734420153</v>
      </c>
      <c r="I27" s="195">
        <f>Юсь!C6</f>
        <v>105.2</v>
      </c>
      <c r="J27" s="195">
        <f>Юсь!D6</f>
        <v>81.604619999999997</v>
      </c>
      <c r="K27" s="187">
        <f t="shared" si="16"/>
        <v>77.570931558935357</v>
      </c>
      <c r="L27" s="187">
        <f>Юсь!C8</f>
        <v>250.04</v>
      </c>
      <c r="M27" s="187">
        <f>Юсь!D8</f>
        <v>197.78236000000001</v>
      </c>
      <c r="N27" s="184">
        <f t="shared" si="17"/>
        <v>79.100287953927378</v>
      </c>
      <c r="O27" s="184">
        <f>Юсь!C9</f>
        <v>2.68</v>
      </c>
      <c r="P27" s="184">
        <f>Юсь!D9</f>
        <v>1.69462</v>
      </c>
      <c r="Q27" s="184">
        <f t="shared" si="18"/>
        <v>63.232089552238804</v>
      </c>
      <c r="R27" s="184">
        <f>Юсь!C10</f>
        <v>417.62</v>
      </c>
      <c r="S27" s="184">
        <f>Юсь!D10</f>
        <v>299.83377000000002</v>
      </c>
      <c r="T27" s="184">
        <f t="shared" si="19"/>
        <v>71.795835927398116</v>
      </c>
      <c r="U27" s="184">
        <f>Юсь!C11</f>
        <v>0</v>
      </c>
      <c r="V27" s="184">
        <f>Юсь!D11</f>
        <v>-46.109520000000003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46.545529999999999</v>
      </c>
      <c r="AC27" s="187">
        <f t="shared" si="22"/>
        <v>44.329076190476194</v>
      </c>
      <c r="AD27" s="195">
        <f>Юсь!C16</f>
        <v>420</v>
      </c>
      <c r="AE27" s="195">
        <f>Юсь!D16</f>
        <v>147.04281</v>
      </c>
      <c r="AF27" s="187">
        <f t="shared" si="4"/>
        <v>35.010192857142854</v>
      </c>
      <c r="AG27" s="187">
        <f>Юсь!C18</f>
        <v>8</v>
      </c>
      <c r="AH27" s="187">
        <f>Юсь!D18</f>
        <v>3.65</v>
      </c>
      <c r="AI27" s="187">
        <f t="shared" si="23"/>
        <v>45.625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22</v>
      </c>
      <c r="AU27" s="187">
        <f t="shared" si="25"/>
        <v>36.666666666666664</v>
      </c>
      <c r="AV27" s="195"/>
      <c r="AW27" s="195"/>
      <c r="AX27" s="187" t="e">
        <f t="shared" si="26"/>
        <v>#DIV/0!</v>
      </c>
      <c r="AY27" s="187">
        <f>Юсь!C30</f>
        <v>200</v>
      </c>
      <c r="AZ27" s="187">
        <f>Юсь!D30</f>
        <v>300.24479000000002</v>
      </c>
      <c r="BA27" s="187">
        <f t="shared" si="27"/>
        <v>150.12239500000001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61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5606.6020000000008</v>
      </c>
      <c r="CA27" s="186">
        <f t="shared" si="35"/>
        <v>2920.4364999999998</v>
      </c>
      <c r="CB27" s="187">
        <f t="shared" si="53"/>
        <v>52.089242289714868</v>
      </c>
      <c r="CC27" s="187">
        <f>Юсь!C39</f>
        <v>2768.5630000000001</v>
      </c>
      <c r="CD27" s="187">
        <f>Юсь!D39</f>
        <v>2080.174</v>
      </c>
      <c r="CE27" s="187">
        <f t="shared" si="36"/>
        <v>75.135512538454066</v>
      </c>
      <c r="CF27" s="187">
        <f>Юсь!C41</f>
        <v>624.97</v>
      </c>
      <c r="CG27" s="187">
        <f>Юсь!D41</f>
        <v>0</v>
      </c>
      <c r="CH27" s="187">
        <f t="shared" si="37"/>
        <v>0</v>
      </c>
      <c r="CI27" s="187">
        <f>Юсь!C42</f>
        <v>1977.37</v>
      </c>
      <c r="CJ27" s="187">
        <f>Юсь!D42</f>
        <v>635.33000000000004</v>
      </c>
      <c r="CK27" s="187">
        <f t="shared" si="7"/>
        <v>32.130051533096996</v>
      </c>
      <c r="CL27" s="187">
        <f>Юсь!C43</f>
        <v>157.59899999999999</v>
      </c>
      <c r="CM27" s="187">
        <f>Юсь!D43</f>
        <v>126.8325</v>
      </c>
      <c r="CN27" s="187">
        <f t="shared" si="8"/>
        <v>80.477985266403977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7904.95838</v>
      </c>
      <c r="DH27" s="195">
        <f t="shared" si="39"/>
        <v>3979.2942000000003</v>
      </c>
      <c r="DI27" s="187">
        <f t="shared" si="40"/>
        <v>50.339217598764897</v>
      </c>
      <c r="DJ27" s="195">
        <f t="shared" si="41"/>
        <v>1272.5335</v>
      </c>
      <c r="DK27" s="195">
        <f t="shared" si="41"/>
        <v>872.31263000000001</v>
      </c>
      <c r="DL27" s="187">
        <f t="shared" si="42"/>
        <v>68.549286128813108</v>
      </c>
      <c r="DM27" s="187">
        <f>Юсь!C59</f>
        <v>1247.5630000000001</v>
      </c>
      <c r="DN27" s="187">
        <f>Юсь!D59</f>
        <v>868.05613000000005</v>
      </c>
      <c r="DO27" s="187">
        <f t="shared" si="43"/>
        <v>69.580143848446923</v>
      </c>
      <c r="DP27" s="187">
        <f>Юсь!C62</f>
        <v>15.714</v>
      </c>
      <c r="DQ27" s="187">
        <f>Юсь!D62</f>
        <v>0</v>
      </c>
      <c r="DR27" s="187">
        <f t="shared" si="44"/>
        <v>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150.881</v>
      </c>
      <c r="DZ27" s="187">
        <f>Юсь!D66</f>
        <v>101.3372</v>
      </c>
      <c r="EA27" s="187">
        <f t="shared" si="47"/>
        <v>67.163658777447125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1527.69938</v>
      </c>
      <c r="EF27" s="195">
        <f>Юсь!D72</f>
        <v>1273.8193799999999</v>
      </c>
      <c r="EG27" s="187">
        <f t="shared" si="49"/>
        <v>83.381547225606639</v>
      </c>
      <c r="EH27" s="195">
        <f>Юсь!C77</f>
        <v>635.83500000000004</v>
      </c>
      <c r="EI27" s="195">
        <f>Юсь!D77</f>
        <v>546.24532999999997</v>
      </c>
      <c r="EJ27" s="187">
        <f t="shared" si="50"/>
        <v>85.909918453686871</v>
      </c>
      <c r="EK27" s="195">
        <f>Юсь!C81</f>
        <v>4311.0095000000001</v>
      </c>
      <c r="EL27" s="197">
        <f>Юсь!D81</f>
        <v>1185.5796600000001</v>
      </c>
      <c r="EM27" s="187">
        <f t="shared" si="10"/>
        <v>27.50120731582707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-699.8163799999993</v>
      </c>
      <c r="EX27" s="191">
        <f t="shared" si="13"/>
        <v>-3.1515000000003965</v>
      </c>
      <c r="EY27" s="184">
        <f t="shared" si="54"/>
        <v>0.45033241433994436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287">
        <f t="shared" si="14"/>
        <v>8542.2053599999999</v>
      </c>
      <c r="D28" s="287">
        <f>G28+CA28+CY28</f>
        <v>5388.1205499999996</v>
      </c>
      <c r="E28" s="187">
        <f>D28/C28*100</f>
        <v>63.076457693590257</v>
      </c>
      <c r="F28" s="185">
        <f t="shared" si="2"/>
        <v>2490.75</v>
      </c>
      <c r="G28" s="185">
        <f>J28+Y28+AB28+AE28+AH28+AN28+AT28+BF28+AK28+BR28+BO28+AZ28+M28+S28+P28+V28+AQ28</f>
        <v>1198.3117500000001</v>
      </c>
      <c r="H28" s="187">
        <f>G28/F28*100</f>
        <v>48.110478771454382</v>
      </c>
      <c r="I28" s="195">
        <f>Яра!C6</f>
        <v>91.5</v>
      </c>
      <c r="J28" s="195">
        <f>Яра!D6</f>
        <v>82.744500000000002</v>
      </c>
      <c r="K28" s="187">
        <f t="shared" si="16"/>
        <v>90.431147540983616</v>
      </c>
      <c r="L28" s="187">
        <f>Яра!C8</f>
        <v>273.13</v>
      </c>
      <c r="M28" s="187">
        <f>Яра!D8</f>
        <v>216.04886999999999</v>
      </c>
      <c r="N28" s="184">
        <f t="shared" si="17"/>
        <v>79.101113023102556</v>
      </c>
      <c r="O28" s="184">
        <f>Яра!C9</f>
        <v>2.93</v>
      </c>
      <c r="P28" s="184">
        <f>Яра!D9</f>
        <v>1.8511299999999999</v>
      </c>
      <c r="Q28" s="184">
        <f t="shared" si="18"/>
        <v>63.178498293515354</v>
      </c>
      <c r="R28" s="184">
        <f>Яра!C10</f>
        <v>456.19</v>
      </c>
      <c r="S28" s="184">
        <f>Яра!D10</f>
        <v>327.52542</v>
      </c>
      <c r="T28" s="184">
        <f t="shared" si="19"/>
        <v>71.795835068721374</v>
      </c>
      <c r="U28" s="184">
        <f>Яра!C11</f>
        <v>0</v>
      </c>
      <c r="V28" s="184">
        <f>Яра!D11</f>
        <v>-50.367959999999997</v>
      </c>
      <c r="W28" s="184" t="e">
        <f t="shared" si="20"/>
        <v>#DIV/0!</v>
      </c>
      <c r="X28" s="195">
        <f>Яра!C13</f>
        <v>15</v>
      </c>
      <c r="Y28" s="195">
        <f>Яра!D13</f>
        <v>21.4968</v>
      </c>
      <c r="Z28" s="187">
        <f t="shared" si="21"/>
        <v>143.31199999999998</v>
      </c>
      <c r="AA28" s="195">
        <f>Яра!C15</f>
        <v>155</v>
      </c>
      <c r="AB28" s="195">
        <f>Яра!D15</f>
        <v>44.308610000000002</v>
      </c>
      <c r="AC28" s="187">
        <f t="shared" si="22"/>
        <v>28.586200000000002</v>
      </c>
      <c r="AD28" s="195">
        <f>Яра!C16</f>
        <v>1450</v>
      </c>
      <c r="AE28" s="195">
        <f>Яра!D16</f>
        <v>441.88637</v>
      </c>
      <c r="AF28" s="187">
        <f t="shared" si="4"/>
        <v>30.474922068965515</v>
      </c>
      <c r="AG28" s="187">
        <f>Яра!C18</f>
        <v>12</v>
      </c>
      <c r="AH28" s="187">
        <f>Яра!D18</f>
        <v>12.487209999999999</v>
      </c>
      <c r="AI28" s="187">
        <f t="shared" si="23"/>
        <v>104.06008333333332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8.5763599999999993</v>
      </c>
      <c r="AR28" s="187">
        <f t="shared" si="24"/>
        <v>28.587866666666667</v>
      </c>
      <c r="AS28" s="188">
        <f>Яра!C28</f>
        <v>5</v>
      </c>
      <c r="AT28" s="195">
        <f>Яра!D28</f>
        <v>53.003459999999997</v>
      </c>
      <c r="AU28" s="187">
        <f t="shared" si="25"/>
        <v>1060.0691999999999</v>
      </c>
      <c r="AV28" s="195"/>
      <c r="AW28" s="195"/>
      <c r="AX28" s="187" t="e">
        <f t="shared" si="26"/>
        <v>#DIV/0!</v>
      </c>
      <c r="AY28" s="187">
        <f>Яра!C31</f>
        <v>0</v>
      </c>
      <c r="AZ28" s="187">
        <f>Яра!D31</f>
        <v>25.80283</v>
      </c>
      <c r="BA28" s="187" t="e">
        <f t="shared" si="27"/>
        <v>#DIV/0!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61">
        <f>Яра!D35</f>
        <v>12.99113</v>
      </c>
      <c r="BP28" s="187" t="e">
        <f t="shared" si="30"/>
        <v>#DIV/0!</v>
      </c>
      <c r="BQ28" s="187">
        <f>Яра!C37</f>
        <v>0</v>
      </c>
      <c r="BR28" s="187">
        <f>Яра!D37</f>
        <v>-4.2979999999999997E-2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6051.4553599999999</v>
      </c>
      <c r="CA28" s="186">
        <f t="shared" si="35"/>
        <v>4189.8087999999998</v>
      </c>
      <c r="CB28" s="187">
        <f t="shared" si="53"/>
        <v>69.236382832707534</v>
      </c>
      <c r="CC28" s="187">
        <f>Яра!C42</f>
        <v>1821.173</v>
      </c>
      <c r="CD28" s="187">
        <f>Яра!D42</f>
        <v>1272.0060000000001</v>
      </c>
      <c r="CE28" s="187">
        <f t="shared" si="36"/>
        <v>69.845423801033732</v>
      </c>
      <c r="CF28" s="187">
        <f>Яра!C43</f>
        <v>70</v>
      </c>
      <c r="CG28" s="187">
        <f>Яра!D43</f>
        <v>0</v>
      </c>
      <c r="CH28" s="187">
        <f t="shared" si="37"/>
        <v>0</v>
      </c>
      <c r="CI28" s="187">
        <f>Яра!C44</f>
        <v>3340.6713599999998</v>
      </c>
      <c r="CJ28" s="187">
        <f>Яра!D44</f>
        <v>2127.9686999999999</v>
      </c>
      <c r="CK28" s="187">
        <f t="shared" si="7"/>
        <v>63.698833877511376</v>
      </c>
      <c r="CL28" s="187">
        <f>Яра!C45</f>
        <v>155.91800000000001</v>
      </c>
      <c r="CM28" s="187">
        <f>Яра!D45</f>
        <v>126.14109999999999</v>
      </c>
      <c r="CN28" s="187">
        <f t="shared" si="8"/>
        <v>80.902205005195029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663.69299999999998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10740.79069</v>
      </c>
      <c r="DH28" s="195">
        <f t="shared" si="39"/>
        <v>6870.0062900000012</v>
      </c>
      <c r="DI28" s="187">
        <f t="shared" si="40"/>
        <v>63.961830076403814</v>
      </c>
      <c r="DJ28" s="195">
        <f t="shared" si="41"/>
        <v>1306.498</v>
      </c>
      <c r="DK28" s="195">
        <f t="shared" si="41"/>
        <v>749.23440000000005</v>
      </c>
      <c r="DL28" s="187">
        <f t="shared" si="42"/>
        <v>57.346769761606986</v>
      </c>
      <c r="DM28" s="187">
        <f>Яра!C59</f>
        <v>1283.673</v>
      </c>
      <c r="DN28" s="187">
        <f>Яра!D59</f>
        <v>732.42740000000003</v>
      </c>
      <c r="DO28" s="187">
        <f t="shared" si="43"/>
        <v>57.05716331184032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17.824999999999999</v>
      </c>
      <c r="DW28" s="187">
        <f>Яра!D64</f>
        <v>16.806999999999999</v>
      </c>
      <c r="DX28" s="187">
        <f t="shared" si="46"/>
        <v>94.288920056100977</v>
      </c>
      <c r="DY28" s="187">
        <f>Яра!C66</f>
        <v>150.88</v>
      </c>
      <c r="DZ28" s="187">
        <f>Яра!D65</f>
        <v>108.21825</v>
      </c>
      <c r="EA28" s="187">
        <f t="shared" si="47"/>
        <v>71.72471500530223</v>
      </c>
      <c r="EB28" s="187">
        <f>Яра!C67</f>
        <v>60</v>
      </c>
      <c r="EC28" s="187">
        <f>Яра!D67</f>
        <v>5.7750000000000004</v>
      </c>
      <c r="ED28" s="187">
        <f t="shared" si="48"/>
        <v>9.625</v>
      </c>
      <c r="EE28" s="195">
        <f>Яра!C73</f>
        <v>5706.0226899999998</v>
      </c>
      <c r="EF28" s="195">
        <f>Яра!D73</f>
        <v>3574.04441</v>
      </c>
      <c r="EG28" s="187">
        <f t="shared" si="49"/>
        <v>62.636351170906401</v>
      </c>
      <c r="EH28" s="195">
        <f>Яра!C78</f>
        <v>476.375</v>
      </c>
      <c r="EI28" s="195">
        <f>Яра!D78</f>
        <v>294.73453999999998</v>
      </c>
      <c r="EJ28" s="187">
        <f t="shared" si="50"/>
        <v>61.870278667016535</v>
      </c>
      <c r="EK28" s="195">
        <f>Яра!C82</f>
        <v>2982.0149999999999</v>
      </c>
      <c r="EL28" s="197">
        <f>Яра!D82</f>
        <v>2101.17769</v>
      </c>
      <c r="EM28" s="187">
        <f t="shared" si="10"/>
        <v>70.461674069379271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59</v>
      </c>
      <c r="ER28" s="198">
        <f>Яра!D89</f>
        <v>36.822000000000003</v>
      </c>
      <c r="ES28" s="187">
        <f t="shared" si="51"/>
        <v>62.410169491525423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-1481.8857400000015</v>
      </c>
      <c r="EY28" s="184">
        <f t="shared" si="54"/>
        <v>67.401784219127919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9191.3479999999981</v>
      </c>
      <c r="D29" s="287">
        <f t="shared" si="0"/>
        <v>2549.8456299999998</v>
      </c>
      <c r="E29" s="184">
        <f t="shared" si="1"/>
        <v>27.741802725780811</v>
      </c>
      <c r="F29" s="185">
        <f t="shared" si="2"/>
        <v>1800.1619999999998</v>
      </c>
      <c r="G29" s="185">
        <f t="shared" si="3"/>
        <v>777.66143000000011</v>
      </c>
      <c r="H29" s="184">
        <f t="shared" si="15"/>
        <v>43.199524820543935</v>
      </c>
      <c r="I29" s="186">
        <f>Яро!C6</f>
        <v>91.6</v>
      </c>
      <c r="J29" s="195">
        <f>Яро!D6</f>
        <v>67.891019999999997</v>
      </c>
      <c r="K29" s="184">
        <f t="shared" si="16"/>
        <v>74.116834061135378</v>
      </c>
      <c r="L29" s="184">
        <f>Яро!C8</f>
        <v>156.87</v>
      </c>
      <c r="M29" s="184">
        <f>Яро!D8</f>
        <v>124.08636</v>
      </c>
      <c r="N29" s="184">
        <f t="shared" si="17"/>
        <v>79.101396060432208</v>
      </c>
      <c r="O29" s="184">
        <f>Яро!C9</f>
        <v>1.68</v>
      </c>
      <c r="P29" s="184">
        <f>Яро!D9</f>
        <v>1.0631600000000001</v>
      </c>
      <c r="Q29" s="184">
        <f t="shared" si="18"/>
        <v>63.283333333333346</v>
      </c>
      <c r="R29" s="184">
        <f>Яро!C10</f>
        <v>262.01</v>
      </c>
      <c r="S29" s="184">
        <f>Яро!D10</f>
        <v>188.11229</v>
      </c>
      <c r="T29" s="184">
        <f t="shared" si="19"/>
        <v>71.795843670088928</v>
      </c>
      <c r="U29" s="184">
        <f>Яро!C11</f>
        <v>0</v>
      </c>
      <c r="V29" s="184">
        <f>Яро!D11</f>
        <v>-28.928450000000002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32.503819999999997</v>
      </c>
      <c r="AC29" s="184">
        <f t="shared" si="22"/>
        <v>13.831412765957445</v>
      </c>
      <c r="AD29" s="186">
        <f>Яро!C16</f>
        <v>990</v>
      </c>
      <c r="AE29" s="186">
        <f>Яро!D16</f>
        <v>389.44331</v>
      </c>
      <c r="AF29" s="184">
        <f t="shared" si="4"/>
        <v>39.337708080808085</v>
      </c>
      <c r="AG29" s="184">
        <f>Яро!C18</f>
        <v>8.0020000000000007</v>
      </c>
      <c r="AH29" s="184">
        <f>Яро!D18</f>
        <v>3.1309999999999998</v>
      </c>
      <c r="AI29" s="184">
        <f t="shared" si="23"/>
        <v>39.127718070482373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50</v>
      </c>
      <c r="AQ29" s="186">
        <f>Яро!D27</f>
        <v>0.25512000000000001</v>
      </c>
      <c r="AR29" s="184">
        <f t="shared" si="24"/>
        <v>0.51024000000000003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7391.1859999999988</v>
      </c>
      <c r="CA29" s="186">
        <f t="shared" si="35"/>
        <v>1772.1841999999999</v>
      </c>
      <c r="CB29" s="184">
        <f t="shared" si="53"/>
        <v>23.976993678687023</v>
      </c>
      <c r="CC29" s="187">
        <f>Яро!C39</f>
        <v>975.07100000000003</v>
      </c>
      <c r="CD29" s="187">
        <f>Яро!D39</f>
        <v>708.78899999999999</v>
      </c>
      <c r="CE29" s="184">
        <f t="shared" si="36"/>
        <v>72.691014295369257</v>
      </c>
      <c r="CF29" s="184">
        <f>Яро!C40</f>
        <v>584</v>
      </c>
      <c r="CG29" s="184">
        <f>Яро!D40</f>
        <v>494.5</v>
      </c>
      <c r="CH29" s="184">
        <f t="shared" si="37"/>
        <v>84.674657534246577</v>
      </c>
      <c r="CI29" s="184">
        <f>Яро!C41</f>
        <v>5503.0969999999998</v>
      </c>
      <c r="CJ29" s="184">
        <f>Яро!D41</f>
        <v>259.59699999999998</v>
      </c>
      <c r="CK29" s="184">
        <f t="shared" si="7"/>
        <v>4.7172891918859507</v>
      </c>
      <c r="CL29" s="184">
        <f>Яро!C42</f>
        <v>74.096000000000004</v>
      </c>
      <c r="CM29" s="184">
        <f>Яро!D42</f>
        <v>61.376199999999997</v>
      </c>
      <c r="CN29" s="184">
        <f t="shared" si="8"/>
        <v>82.833351328006898</v>
      </c>
      <c r="CO29" s="184">
        <f>Яро!C44</f>
        <v>0</v>
      </c>
      <c r="CP29" s="184">
        <f>Яро!D44</f>
        <v>0</v>
      </c>
      <c r="CQ29" s="184" t="e">
        <f>Яро!E44</f>
        <v>#DIV/0!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9245.0078700000013</v>
      </c>
      <c r="DH29" s="186">
        <f t="shared" si="39"/>
        <v>2415.9753099999998</v>
      </c>
      <c r="DI29" s="184">
        <f t="shared" si="40"/>
        <v>26.132755579795948</v>
      </c>
      <c r="DJ29" s="186">
        <f t="shared" si="41"/>
        <v>1266.1849999999999</v>
      </c>
      <c r="DK29" s="186">
        <f t="shared" si="41"/>
        <v>804.54273000000001</v>
      </c>
      <c r="DL29" s="184">
        <f t="shared" si="42"/>
        <v>63.540693500554823</v>
      </c>
      <c r="DM29" s="184">
        <f>Яро!C55</f>
        <v>1257.971</v>
      </c>
      <c r="DN29" s="184">
        <f>Яро!D55</f>
        <v>801.32872999999995</v>
      </c>
      <c r="DO29" s="184">
        <f t="shared" si="43"/>
        <v>63.70009563018543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3.214</v>
      </c>
      <c r="DW29" s="184">
        <f>Яро!D60</f>
        <v>3.214</v>
      </c>
      <c r="DX29" s="184">
        <f t="shared" si="46"/>
        <v>100</v>
      </c>
      <c r="DY29" s="184">
        <f>Яро!C61</f>
        <v>70.596000000000004</v>
      </c>
      <c r="DZ29" s="184">
        <f>Яро!D61</f>
        <v>46.185540000000003</v>
      </c>
      <c r="EA29" s="184">
        <f t="shared" si="47"/>
        <v>65.422318544960063</v>
      </c>
      <c r="EB29" s="184">
        <f>Яро!C63</f>
        <v>30.7</v>
      </c>
      <c r="EC29" s="184">
        <f>Яро!D63</f>
        <v>14.436</v>
      </c>
      <c r="ED29" s="184">
        <f t="shared" si="48"/>
        <v>47.022801302931597</v>
      </c>
      <c r="EE29" s="186">
        <f>Яро!C68</f>
        <v>2067.6508700000004</v>
      </c>
      <c r="EF29" s="186">
        <f>Яро!D68</f>
        <v>834.72751999999991</v>
      </c>
      <c r="EG29" s="184">
        <f t="shared" si="49"/>
        <v>40.370815600991662</v>
      </c>
      <c r="EH29" s="186">
        <f>Яро!C73</f>
        <v>460.37599999999998</v>
      </c>
      <c r="EI29" s="186">
        <f>Яро!D73</f>
        <v>278.99752000000001</v>
      </c>
      <c r="EJ29" s="184">
        <f t="shared" si="50"/>
        <v>60.60209915373521</v>
      </c>
      <c r="EK29" s="186">
        <f>Яро!C78</f>
        <v>5344.5</v>
      </c>
      <c r="EL29" s="190">
        <f>Яро!D77</f>
        <v>435.07100000000003</v>
      </c>
      <c r="EM29" s="184">
        <f t="shared" si="10"/>
        <v>8.140537000654879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-53.659870000003139</v>
      </c>
      <c r="EX29" s="191">
        <f t="shared" si="13"/>
        <v>133.87031999999999</v>
      </c>
      <c r="EY29" s="184">
        <f t="shared" si="54"/>
        <v>-249.47939680061126</v>
      </c>
      <c r="EZ29" s="192"/>
      <c r="FA29" s="193"/>
      <c r="FC29" s="193"/>
    </row>
    <row r="30" spans="1:170" s="169" customFormat="1" ht="17.25" customHeight="1">
      <c r="A30" s="202"/>
      <c r="B30" s="203"/>
      <c r="C30" s="183"/>
      <c r="D30" s="289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186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4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3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6" customFormat="1" ht="17.25" customHeight="1">
      <c r="A31" s="432" t="s">
        <v>180</v>
      </c>
      <c r="B31" s="433"/>
      <c r="C31" s="290">
        <f>SUM(C14:C29)</f>
        <v>105222.82939</v>
      </c>
      <c r="D31" s="290">
        <f>SUM(D14:D29)</f>
        <v>55122.991219999996</v>
      </c>
      <c r="E31" s="205">
        <f>D31/C31*100</f>
        <v>52.386912174439857</v>
      </c>
      <c r="F31" s="237">
        <f>SUM(F14:F29)</f>
        <v>37183.641999999993</v>
      </c>
      <c r="G31" s="236">
        <f>SUM(G14:G29)</f>
        <v>19544.389310000002</v>
      </c>
      <c r="H31" s="239">
        <f>G31/F31*100</f>
        <v>52.56179400070603</v>
      </c>
      <c r="I31" s="236">
        <f>SUM(I14:I29)</f>
        <v>5106.9000000000005</v>
      </c>
      <c r="J31" s="236">
        <f>SUM(J14:J29)</f>
        <v>3189.83761</v>
      </c>
      <c r="K31" s="239">
        <f>J31/I31*100</f>
        <v>62.461328986273465</v>
      </c>
      <c r="L31" s="239">
        <f>SUM(L14:L29)</f>
        <v>3005.21</v>
      </c>
      <c r="M31" s="239">
        <f>SUM(M14:M29)</f>
        <v>2377.1674799999996</v>
      </c>
      <c r="N31" s="239">
        <f>M31/L31*100</f>
        <v>79.101542987012536</v>
      </c>
      <c r="O31" s="239">
        <f>SUM(O14:O29)</f>
        <v>32.24</v>
      </c>
      <c r="P31" s="239">
        <f>SUM(P14:P29)</f>
        <v>20.36788</v>
      </c>
      <c r="Q31" s="239">
        <f>P31/O31*100</f>
        <v>63.175806451612893</v>
      </c>
      <c r="R31" s="239">
        <f>SUM(R14:R29)</f>
        <v>5019.3900000000003</v>
      </c>
      <c r="S31" s="239">
        <f>SUM(S14:S29)</f>
        <v>3603.7348300000012</v>
      </c>
      <c r="T31" s="239">
        <f>S31/R31*100</f>
        <v>71.796270662371342</v>
      </c>
      <c r="U31" s="239">
        <f>SUM(U14:U29)</f>
        <v>0</v>
      </c>
      <c r="V31" s="239">
        <f>SUM(V14:V29)</f>
        <v>-554.19476999999995</v>
      </c>
      <c r="W31" s="239" t="e">
        <f>V31/U31*100</f>
        <v>#DIV/0!</v>
      </c>
      <c r="X31" s="236">
        <f>SUM(X14:X29)</f>
        <v>380</v>
      </c>
      <c r="Y31" s="236">
        <f>SUM(Y14:Y29)</f>
        <v>409.61031999999994</v>
      </c>
      <c r="Z31" s="239">
        <f>Y31/X31*100</f>
        <v>107.79218947368419</v>
      </c>
      <c r="AA31" s="236">
        <f>SUM(AA14:AA29)</f>
        <v>2833.4</v>
      </c>
      <c r="AB31" s="236">
        <f>SUM(AB14:AB29)</f>
        <v>850.13383999999985</v>
      </c>
      <c r="AC31" s="239">
        <f>AB31/AA31*100</f>
        <v>30.00401778781675</v>
      </c>
      <c r="AD31" s="236">
        <f>SUM(AD14:AD29)</f>
        <v>17689.2</v>
      </c>
      <c r="AE31" s="236">
        <f>SUM(AE14:AE29)</f>
        <v>7979.81178</v>
      </c>
      <c r="AF31" s="239">
        <f>AE31/AD31*100</f>
        <v>45.111207855640728</v>
      </c>
      <c r="AG31" s="363">
        <f>SUM(AG14:AG29)</f>
        <v>150.00200000000001</v>
      </c>
      <c r="AH31" s="239">
        <f>SUM(AH14:AH29)</f>
        <v>104.42821000000001</v>
      </c>
      <c r="AI31" s="184">
        <f t="shared" si="23"/>
        <v>69.617878428287625</v>
      </c>
      <c r="AJ31" s="236">
        <f>AJ14+AJ15+AJ16+AJ17+AJ18+AJ19+AJ20+AJ21+AJ22+AJ23+AJ24+AJ25+AJ26+AJ27+AJ28+AJ29</f>
        <v>0</v>
      </c>
      <c r="AK31" s="236">
        <f>AK14+AK15+AK16+AK17+AK18+AK19+AK20+AK21+AK22+AK23+AK24+AK25+AK26+AK27+AK28+AK29</f>
        <v>0</v>
      </c>
      <c r="AL31" s="184" t="e">
        <f>AK31/AJ31*100</f>
        <v>#DIV/0!</v>
      </c>
      <c r="AM31" s="236">
        <f>SUM(AM14:AM29)</f>
        <v>0</v>
      </c>
      <c r="AN31" s="236">
        <f>SUM(AN14:AN29)</f>
        <v>0</v>
      </c>
      <c r="AO31" s="239" t="e">
        <f>AN31/AM31*100</f>
        <v>#DIV/0!</v>
      </c>
      <c r="AP31" s="236">
        <f>SUM(AP14:AP29)</f>
        <v>1521.3</v>
      </c>
      <c r="AQ31" s="236">
        <f>SUM(AQ14:AQ29)</f>
        <v>162.91130000000001</v>
      </c>
      <c r="AR31" s="239">
        <f>AQ31/AP31*100</f>
        <v>10.708689936238743</v>
      </c>
      <c r="AS31" s="236">
        <f>SUM(AS14:AS29)</f>
        <v>300</v>
      </c>
      <c r="AT31" s="391">
        <f>SUM(AT14:AT29)</f>
        <v>227.96052</v>
      </c>
      <c r="AU31" s="239">
        <f>AT31/AS31*100</f>
        <v>75.986840000000001</v>
      </c>
      <c r="AV31" s="236">
        <f>SUM(AV14:AV29)</f>
        <v>0</v>
      </c>
      <c r="AW31" s="236">
        <f>SUM(AW14:AW29)</f>
        <v>0</v>
      </c>
      <c r="AX31" s="239" t="e">
        <f>AW31/AV31*100</f>
        <v>#DIV/0!</v>
      </c>
      <c r="AY31" s="239">
        <f>SUM(AY14:AY29)</f>
        <v>560</v>
      </c>
      <c r="AZ31" s="239">
        <f>SUM(AZ14:AZ29)</f>
        <v>633.03202999999996</v>
      </c>
      <c r="BA31" s="184">
        <f t="shared" si="27"/>
        <v>113.04143392857142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7">
        <f>SUM(BE14:BE29)</f>
        <v>586</v>
      </c>
      <c r="BF31" s="236">
        <f>SUM(BF14:BF29)</f>
        <v>591.20000000000005</v>
      </c>
      <c r="BG31" s="236">
        <f t="shared" si="28"/>
        <v>100.88737201365188</v>
      </c>
      <c r="BH31" s="236">
        <f>SUM(BH14:BH29)</f>
        <v>0</v>
      </c>
      <c r="BI31" s="236">
        <f>SUM(BI14:BI29)</f>
        <v>0</v>
      </c>
      <c r="BJ31" s="239" t="e">
        <f>BI31/BH31*100</f>
        <v>#DIV/0!</v>
      </c>
      <c r="BK31" s="239">
        <f>SUM(BK14:BK29)</f>
        <v>0</v>
      </c>
      <c r="BL31" s="239">
        <f>BL15+BL27+BL28+BL19+BL22+BL26+BL18</f>
        <v>0</v>
      </c>
      <c r="BM31" s="239" t="e">
        <f>BL31/BK31*100</f>
        <v>#DIV/0!</v>
      </c>
      <c r="BN31" s="239">
        <f>BN14+BN15+BN16+BN17+BN18+BN19+BN20+BN21+BN22+BN23+BN24+BN25+BN26+BN27+BN28+BN29</f>
        <v>0</v>
      </c>
      <c r="BO31" s="239">
        <f>BO14+BO15+BO16+BO17+BO18+BO19+BO20+BO21+BO22+BO23+BO24+BO25+BO26+BO27+BO28+BO29</f>
        <v>14.175890000000001</v>
      </c>
      <c r="BP31" s="239" t="e">
        <f>BO31/BN31*100</f>
        <v>#DIV/0!</v>
      </c>
      <c r="BQ31" s="236">
        <f>SUM(BQ14:BQ29)</f>
        <v>0</v>
      </c>
      <c r="BR31" s="359">
        <f>SUM(BR14:BR29)</f>
        <v>-65.787610000000001</v>
      </c>
      <c r="BS31" s="239" t="e">
        <f>BR31/BQ31*100</f>
        <v>#DIV/0!</v>
      </c>
      <c r="BT31" s="239">
        <f t="shared" ref="BT31:BY31" si="55">SUM(BT14:BT29)</f>
        <v>0</v>
      </c>
      <c r="BU31" s="239"/>
      <c r="BV31" s="239" t="e">
        <f t="shared" si="55"/>
        <v>#DIV/0!</v>
      </c>
      <c r="BW31" s="239">
        <f t="shared" si="55"/>
        <v>0</v>
      </c>
      <c r="BX31" s="239">
        <f t="shared" si="55"/>
        <v>0</v>
      </c>
      <c r="BY31" s="292" t="e">
        <f t="shared" si="55"/>
        <v>#DIV/0!</v>
      </c>
      <c r="BZ31" s="237">
        <f>SUM(BZ14:BZ29)</f>
        <v>68039.187389999992</v>
      </c>
      <c r="CA31" s="236">
        <f>SUM(CA14:CA29)</f>
        <v>35578.601910000005</v>
      </c>
      <c r="CB31" s="236">
        <f t="shared" si="53"/>
        <v>52.291338675260455</v>
      </c>
      <c r="CC31" s="236">
        <f>SUM(CC14:CC29)</f>
        <v>28718.623999999996</v>
      </c>
      <c r="CD31" s="236">
        <f>SUM(CD14:CD29)</f>
        <v>21225.200000000001</v>
      </c>
      <c r="CE31" s="236">
        <f>CD31/CC31*100</f>
        <v>73.90744069075177</v>
      </c>
      <c r="CF31" s="237">
        <f>SUM(CF14:CF29)</f>
        <v>4979.5749999999998</v>
      </c>
      <c r="CG31" s="236">
        <f>SUM(CG14:CG29)</f>
        <v>1931.5</v>
      </c>
      <c r="CH31" s="236">
        <f>CG31/CF31*100</f>
        <v>38.788450821606261</v>
      </c>
      <c r="CI31" s="236">
        <f>SUM(CI14:CI29)</f>
        <v>29173.917390000002</v>
      </c>
      <c r="CJ31" s="236">
        <f>SUM(CJ14:CJ29)</f>
        <v>8124.3405700000003</v>
      </c>
      <c r="CK31" s="236">
        <f>CJ31/CI31*100</f>
        <v>27.847959056690808</v>
      </c>
      <c r="CL31" s="236">
        <f>SUM(CL14:CL29)</f>
        <v>1856.7999999999997</v>
      </c>
      <c r="CM31" s="236">
        <f>SUM(CM14:CM29)</f>
        <v>1492.1410000000003</v>
      </c>
      <c r="CN31" s="236">
        <f t="shared" si="8"/>
        <v>80.360889702714374</v>
      </c>
      <c r="CO31" s="236">
        <f>SUM(CO14:CO29)</f>
        <v>120</v>
      </c>
      <c r="CP31" s="236">
        <f>SUM(CP14:CP29)</f>
        <v>0</v>
      </c>
      <c r="CQ31" s="236">
        <f>CP31/CO31*100</f>
        <v>0</v>
      </c>
      <c r="CR31" s="236">
        <f>SUM(CR14:CR29)</f>
        <v>3190.2709999999993</v>
      </c>
      <c r="CS31" s="236">
        <f>SUM(CS14:CS29)</f>
        <v>3172.3895799999996</v>
      </c>
      <c r="CT31" s="236">
        <f t="shared" si="9"/>
        <v>99.439501534509148</v>
      </c>
      <c r="CU31" s="236">
        <f>SUM(CU14:CU29)</f>
        <v>0</v>
      </c>
      <c r="CV31" s="236">
        <f>SUM(CV14:CV29)</f>
        <v>-366.96924000000001</v>
      </c>
      <c r="CW31" s="236" t="e">
        <f>CV31/CU31*100</f>
        <v>#DIV/0!</v>
      </c>
      <c r="CX31" s="236">
        <f>SUM(CX14:CX29)</f>
        <v>0</v>
      </c>
      <c r="CY31" s="236">
        <f>SUM(CY14:CY29)</f>
        <v>0</v>
      </c>
      <c r="CZ31" s="239" t="e">
        <f>CY31/CX31*100</f>
        <v>#DIV/0!</v>
      </c>
      <c r="DA31" s="239">
        <f>DA14+DA15+DA16+DA17+DA18+DA19+DA20+DA21+DA22+DA23+DA24+DA25+DA26+DA27+DA28+DA29</f>
        <v>0</v>
      </c>
      <c r="DB31" s="239">
        <f>DB14+DB15+DB16+DB17+DB18+DB19+DB20+DB21+DB22+DB23+DB24+DB25+DB26+DB27+DB28+DB29</f>
        <v>0</v>
      </c>
      <c r="DC31" s="239" t="e">
        <f>DB31/DA31*100</f>
        <v>#DIV/0!</v>
      </c>
      <c r="DD31" s="239">
        <f>DD14+DD15+DD16+DD17+DD18+DD19+DD20+DD21+DD22+DD23+DD24+DD25+DD26+DD27+DD28+DD29</f>
        <v>0</v>
      </c>
      <c r="DE31" s="239">
        <f>DE14+DE15+DE16+DE17+DE18+DE19+DE20+DE21+DE22+DE23+DE24+DE25+DE26+DE27+DE28+DE29</f>
        <v>0</v>
      </c>
      <c r="DF31" s="239">
        <v>0</v>
      </c>
      <c r="DG31" s="237">
        <f>SUM(DG14:DG29)</f>
        <v>110784.94585999999</v>
      </c>
      <c r="DH31" s="237">
        <f>SUM(DH14:DH29)</f>
        <v>54530.107960000001</v>
      </c>
      <c r="DI31" s="239">
        <f>DH31/DG31*100</f>
        <v>49.221586504099776</v>
      </c>
      <c r="DJ31" s="237">
        <f>SUM(DJ14:DJ29)</f>
        <v>22186.061500000003</v>
      </c>
      <c r="DK31" s="237">
        <f>SUM(DK14:DK29)</f>
        <v>13370.60628</v>
      </c>
      <c r="DL31" s="239">
        <f>DK31/DJ31*100</f>
        <v>60.265794719806387</v>
      </c>
      <c r="DM31" s="236">
        <f>SUM(DM14:DM29)</f>
        <v>21781.298000000003</v>
      </c>
      <c r="DN31" s="237">
        <f>SUM(DN14:DN29)</f>
        <v>13248.324820000002</v>
      </c>
      <c r="DO31" s="239">
        <f>DN31/DM31*100</f>
        <v>60.824312765933421</v>
      </c>
      <c r="DP31" s="236">
        <f>SUM(DP14:DP29)</f>
        <v>168.8</v>
      </c>
      <c r="DQ31" s="236">
        <f>SUM(DQ14:DQ29)</f>
        <v>0</v>
      </c>
      <c r="DR31" s="239">
        <f>DQ31/DP31*100</f>
        <v>0</v>
      </c>
      <c r="DS31" s="254">
        <f>SUM(DS14:DS29)</f>
        <v>106.01</v>
      </c>
      <c r="DT31" s="239">
        <f>SUM(DT14:DT29)</f>
        <v>0</v>
      </c>
      <c r="DU31" s="239">
        <f>DT31/DS31*100</f>
        <v>0</v>
      </c>
      <c r="DV31" s="364">
        <f>SUM(DV14:DV29)</f>
        <v>129.95349999999999</v>
      </c>
      <c r="DW31" s="239">
        <f>SUM(DW14:DW29)</f>
        <v>122.28146</v>
      </c>
      <c r="DX31" s="184">
        <f>DW31/DV31*100</f>
        <v>94.096319067974321</v>
      </c>
      <c r="DY31" s="239">
        <f>SUM(DY14:DY29)</f>
        <v>1781.5</v>
      </c>
      <c r="DZ31" s="254">
        <f>SUM(DZ14:DZ29)</f>
        <v>1150.5050999999999</v>
      </c>
      <c r="EA31" s="236">
        <f t="shared" si="47"/>
        <v>64.580696042660662</v>
      </c>
      <c r="EB31" s="254">
        <f>SUM(EB14:EB29)</f>
        <v>226.7655</v>
      </c>
      <c r="EC31" s="254">
        <f>SUM(EC14:EC29)</f>
        <v>53.549610000000001</v>
      </c>
      <c r="ED31" s="184">
        <f t="shared" si="48"/>
        <v>23.614531310979846</v>
      </c>
      <c r="EE31" s="236">
        <f>SUM(EE14:EE29)</f>
        <v>34886.041469999989</v>
      </c>
      <c r="EF31" s="237">
        <f>SUM(EF14:EF29)</f>
        <v>17581.038140000001</v>
      </c>
      <c r="EG31" s="239">
        <f>EF31/EE31*100</f>
        <v>50.395623576606397</v>
      </c>
      <c r="EH31" s="236">
        <f>SUM(EH14:EH29)</f>
        <v>18779.829389999999</v>
      </c>
      <c r="EI31" s="237">
        <f>SUM(EI14:EI29)</f>
        <v>6710.6686800000007</v>
      </c>
      <c r="EJ31" s="239">
        <f>EI31/EH31*100</f>
        <v>35.733384689710441</v>
      </c>
      <c r="EK31" s="237">
        <f>SUM(EK14:EK29)</f>
        <v>32684.446</v>
      </c>
      <c r="EL31" s="237">
        <f>SUM(EL14:EL29)</f>
        <v>15548.120149999999</v>
      </c>
      <c r="EM31" s="239">
        <f>EL31/EK31*100</f>
        <v>47.570395257732066</v>
      </c>
      <c r="EN31" s="237">
        <f>SUM(EN14:EN29)</f>
        <v>10</v>
      </c>
      <c r="EO31" s="237">
        <f>SUM(EO14:EO29)</f>
        <v>10</v>
      </c>
      <c r="EP31" s="239">
        <f>EO31/EN31*100</f>
        <v>100</v>
      </c>
      <c r="EQ31" s="236">
        <f>SUM(EQ14:EQ29)</f>
        <v>230.30199999999999</v>
      </c>
      <c r="ER31" s="236">
        <f>SUM(ER14:ER29)</f>
        <v>105.62</v>
      </c>
      <c r="ES31" s="239">
        <f>ER31/EQ31*100</f>
        <v>45.861520959435879</v>
      </c>
      <c r="ET31" s="239">
        <f>SUM(ET14:ET29)</f>
        <v>0</v>
      </c>
      <c r="EU31" s="291">
        <f>SUM(EU14:EU29)</f>
        <v>0</v>
      </c>
      <c r="EV31" s="184" t="e">
        <f>EU31/ET31*100</f>
        <v>#DIV/0!</v>
      </c>
      <c r="EW31" s="254">
        <f>SUM(EW14:EW29)</f>
        <v>-5562.1164700000008</v>
      </c>
      <c r="EX31" s="239">
        <f>SUM(EX14:EX29)</f>
        <v>592.88325999999779</v>
      </c>
      <c r="EY31" s="184">
        <f>EX31/EW31*100</f>
        <v>-10.659310411743277</v>
      </c>
    </row>
    <row r="32" spans="1:170" ht="0.75" customHeight="1">
      <c r="C32" s="207">
        <v>85422.769</v>
      </c>
      <c r="D32" s="208">
        <v>6971.8725999999997</v>
      </c>
      <c r="F32" s="209">
        <v>29714</v>
      </c>
      <c r="G32" s="210">
        <v>2141.1016</v>
      </c>
      <c r="I32" s="210">
        <v>4023</v>
      </c>
      <c r="J32" s="210">
        <v>517.83318999999995</v>
      </c>
      <c r="L32" s="153">
        <v>2648.3</v>
      </c>
      <c r="M32" s="211">
        <v>275.27994000000001</v>
      </c>
      <c r="O32" s="153">
        <v>72.06</v>
      </c>
      <c r="P32" s="212">
        <v>5.5919400000000001</v>
      </c>
      <c r="R32" s="213">
        <v>5285.44</v>
      </c>
      <c r="S32" s="153">
        <v>437.64443</v>
      </c>
      <c r="V32" s="212">
        <v>-57.366509999999998</v>
      </c>
      <c r="X32" s="210">
        <v>450</v>
      </c>
      <c r="Y32" s="210">
        <v>50.572130000000001</v>
      </c>
      <c r="AA32" s="210">
        <v>1552</v>
      </c>
      <c r="AB32" s="210">
        <v>33.929760000000002</v>
      </c>
      <c r="AD32" s="210">
        <v>14314</v>
      </c>
      <c r="AE32" s="214">
        <v>765.26733999999999</v>
      </c>
      <c r="AG32" s="210">
        <v>264</v>
      </c>
      <c r="AH32" s="210">
        <v>28.45</v>
      </c>
      <c r="AJ32" s="210"/>
      <c r="AK32" s="214">
        <v>4.1130100000000001</v>
      </c>
      <c r="AM32" s="210">
        <v>2902</v>
      </c>
      <c r="AN32" s="210"/>
      <c r="AP32" s="153">
        <v>400</v>
      </c>
      <c r="AQ32" s="153">
        <v>102</v>
      </c>
      <c r="AS32" s="215">
        <v>325.2</v>
      </c>
      <c r="AT32" s="215">
        <v>214</v>
      </c>
      <c r="AY32" s="212"/>
      <c r="AZ32" s="212"/>
      <c r="BC32" s="216"/>
      <c r="BE32" s="217">
        <v>380</v>
      </c>
      <c r="BF32" s="210">
        <v>0</v>
      </c>
      <c r="BH32" s="218"/>
      <c r="BI32" s="210"/>
      <c r="BL32" s="217"/>
      <c r="BN32" s="210"/>
      <c r="BO32" s="210">
        <v>20</v>
      </c>
      <c r="BQ32" s="213"/>
      <c r="BR32" s="215">
        <v>13.81555</v>
      </c>
      <c r="BZ32" s="219">
        <v>55708.769</v>
      </c>
      <c r="CA32" s="210">
        <v>4830.7709999999997</v>
      </c>
      <c r="CC32" s="217">
        <v>26193.4</v>
      </c>
      <c r="CD32" s="217">
        <v>4365.5829999999996</v>
      </c>
      <c r="CE32" s="215"/>
      <c r="CF32" s="219">
        <v>2800</v>
      </c>
      <c r="CG32" s="210">
        <v>0</v>
      </c>
      <c r="CH32" s="215"/>
      <c r="CI32" s="210">
        <v>20988.289000000001</v>
      </c>
      <c r="CJ32" s="210">
        <v>226.78800000000001</v>
      </c>
      <c r="CK32" s="215"/>
      <c r="CL32" s="210">
        <v>5727.08</v>
      </c>
      <c r="CM32" s="210">
        <v>238.4</v>
      </c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DA32" s="213"/>
      <c r="DB32" s="213"/>
      <c r="DD32" s="209"/>
      <c r="DE32" s="219">
        <v>0</v>
      </c>
      <c r="DG32" s="219">
        <v>86467.619000000006</v>
      </c>
      <c r="DH32" s="219">
        <v>8044.3139600000004</v>
      </c>
      <c r="DJ32" s="215">
        <v>18659.286</v>
      </c>
      <c r="DK32" s="209">
        <v>1993.6542099999999</v>
      </c>
      <c r="DM32" s="210">
        <v>18579.286</v>
      </c>
      <c r="DN32" s="210">
        <v>1993.6542099999999</v>
      </c>
      <c r="DP32" s="219"/>
      <c r="DQ32" s="217"/>
      <c r="DS32" s="210">
        <v>80</v>
      </c>
      <c r="DT32" s="210"/>
      <c r="DV32" s="210">
        <v>0</v>
      </c>
      <c r="DW32" s="219">
        <v>0</v>
      </c>
      <c r="DY32" s="209">
        <v>1682.5</v>
      </c>
      <c r="DZ32" s="209">
        <v>141.53659999999999</v>
      </c>
      <c r="EB32" s="210">
        <v>191.3</v>
      </c>
      <c r="EC32" s="219">
        <v>8.5</v>
      </c>
      <c r="EE32" s="215">
        <v>29388.388999999999</v>
      </c>
      <c r="EF32" s="209">
        <v>1077.7133699999999</v>
      </c>
      <c r="EH32" s="209">
        <v>15404.812</v>
      </c>
      <c r="EI32" s="209">
        <v>1328.9402500000001</v>
      </c>
      <c r="EK32" s="209">
        <v>24128.7</v>
      </c>
      <c r="EL32" s="209">
        <v>3489.1705299999999</v>
      </c>
      <c r="EN32" s="210">
        <v>0</v>
      </c>
      <c r="EO32" s="210">
        <v>0</v>
      </c>
      <c r="EQ32" s="210">
        <v>112</v>
      </c>
      <c r="ER32" s="220">
        <v>4.8</v>
      </c>
      <c r="ET32" s="210"/>
      <c r="EU32" s="210"/>
      <c r="EW32" s="215"/>
    </row>
    <row r="33" spans="3:155" ht="27" hidden="1" customHeight="1">
      <c r="C33" s="210">
        <f>C32-C31</f>
        <v>-19800.060389999999</v>
      </c>
      <c r="D33" s="210">
        <f t="shared" ref="D33:BO33" si="56">D32-D31</f>
        <v>-48151.118619999994</v>
      </c>
      <c r="E33" s="210"/>
      <c r="F33" s="210">
        <f t="shared" si="56"/>
        <v>-7469.6419999999925</v>
      </c>
      <c r="G33" s="210">
        <f t="shared" si="56"/>
        <v>-17403.287710000004</v>
      </c>
      <c r="H33" s="210"/>
      <c r="I33" s="210">
        <f t="shared" si="56"/>
        <v>-1083.9000000000005</v>
      </c>
      <c r="J33" s="210">
        <f t="shared" si="56"/>
        <v>-2672.0044200000002</v>
      </c>
      <c r="K33" s="210"/>
      <c r="L33" s="210">
        <f t="shared" si="56"/>
        <v>-356.90999999999985</v>
      </c>
      <c r="M33" s="210">
        <f t="shared" si="56"/>
        <v>-2101.8875399999997</v>
      </c>
      <c r="N33" s="210"/>
      <c r="O33" s="210">
        <f t="shared" si="56"/>
        <v>39.82</v>
      </c>
      <c r="P33" s="210">
        <f t="shared" si="56"/>
        <v>-14.775939999999999</v>
      </c>
      <c r="Q33" s="210"/>
      <c r="R33" s="210">
        <f t="shared" si="56"/>
        <v>266.04999999999927</v>
      </c>
      <c r="S33" s="210">
        <f t="shared" si="56"/>
        <v>-3166.0904000000014</v>
      </c>
      <c r="T33" s="210"/>
      <c r="U33" s="210">
        <f t="shared" si="56"/>
        <v>0</v>
      </c>
      <c r="V33" s="210">
        <f t="shared" si="56"/>
        <v>496.82825999999994</v>
      </c>
      <c r="W33" s="210" t="e">
        <f t="shared" si="56"/>
        <v>#DIV/0!</v>
      </c>
      <c r="X33" s="210">
        <f t="shared" si="56"/>
        <v>70</v>
      </c>
      <c r="Y33" s="210">
        <f t="shared" si="56"/>
        <v>-359.03818999999993</v>
      </c>
      <c r="Z33" s="210"/>
      <c r="AA33" s="210">
        <f t="shared" si="56"/>
        <v>-1281.4000000000001</v>
      </c>
      <c r="AB33" s="210">
        <f t="shared" si="56"/>
        <v>-816.20407999999986</v>
      </c>
      <c r="AC33" s="210"/>
      <c r="AD33" s="210">
        <f t="shared" si="56"/>
        <v>-3375.2000000000007</v>
      </c>
      <c r="AE33" s="210">
        <f t="shared" si="56"/>
        <v>-7214.5444399999997</v>
      </c>
      <c r="AF33" s="210"/>
      <c r="AG33" s="210">
        <f t="shared" si="56"/>
        <v>113.99799999999999</v>
      </c>
      <c r="AH33" s="210">
        <f t="shared" si="56"/>
        <v>-75.978210000000004</v>
      </c>
      <c r="AI33" s="210"/>
      <c r="AJ33" s="210">
        <f t="shared" si="56"/>
        <v>0</v>
      </c>
      <c r="AK33" s="210">
        <f t="shared" si="56"/>
        <v>4.1130100000000001</v>
      </c>
      <c r="AL33" s="210"/>
      <c r="AM33" s="210">
        <f t="shared" si="56"/>
        <v>2902</v>
      </c>
      <c r="AN33" s="210">
        <f t="shared" si="56"/>
        <v>0</v>
      </c>
      <c r="AO33" s="210" t="e">
        <f t="shared" si="56"/>
        <v>#DIV/0!</v>
      </c>
      <c r="AP33" s="210">
        <f t="shared" si="56"/>
        <v>-1121.3</v>
      </c>
      <c r="AQ33" s="210">
        <f t="shared" si="56"/>
        <v>-60.911300000000011</v>
      </c>
      <c r="AR33" s="210"/>
      <c r="AS33" s="210">
        <f t="shared" si="56"/>
        <v>25.199999999999989</v>
      </c>
      <c r="AT33" s="210">
        <f t="shared" si="56"/>
        <v>-13.960520000000002</v>
      </c>
      <c r="AU33" s="210"/>
      <c r="AV33" s="210">
        <f t="shared" si="56"/>
        <v>0</v>
      </c>
      <c r="AW33" s="210">
        <f t="shared" si="56"/>
        <v>0</v>
      </c>
      <c r="AX33" s="210" t="e">
        <f t="shared" si="56"/>
        <v>#DIV/0!</v>
      </c>
      <c r="AY33" s="210">
        <f t="shared" si="56"/>
        <v>-560</v>
      </c>
      <c r="AZ33" s="210">
        <f t="shared" si="56"/>
        <v>-633.03202999999996</v>
      </c>
      <c r="BA33" s="210"/>
      <c r="BB33" s="210">
        <f t="shared" si="56"/>
        <v>0</v>
      </c>
      <c r="BC33" s="210">
        <f t="shared" si="56"/>
        <v>0</v>
      </c>
      <c r="BD33" s="210" t="e">
        <f t="shared" si="56"/>
        <v>#DIV/0!</v>
      </c>
      <c r="BE33" s="210">
        <f t="shared" si="56"/>
        <v>-206</v>
      </c>
      <c r="BF33" s="210">
        <f t="shared" si="56"/>
        <v>-591.20000000000005</v>
      </c>
      <c r="BG33" s="210">
        <f t="shared" si="56"/>
        <v>-100.88737201365188</v>
      </c>
      <c r="BH33" s="210">
        <f t="shared" si="56"/>
        <v>0</v>
      </c>
      <c r="BI33" s="210">
        <f t="shared" si="56"/>
        <v>0</v>
      </c>
      <c r="BJ33" s="210" t="e">
        <f t="shared" si="56"/>
        <v>#DIV/0!</v>
      </c>
      <c r="BK33" s="210">
        <f t="shared" si="56"/>
        <v>0</v>
      </c>
      <c r="BL33" s="210">
        <f t="shared" si="56"/>
        <v>0</v>
      </c>
      <c r="BM33" s="210" t="e">
        <f t="shared" si="56"/>
        <v>#DIV/0!</v>
      </c>
      <c r="BN33" s="210">
        <f t="shared" si="56"/>
        <v>0</v>
      </c>
      <c r="BO33" s="210">
        <f t="shared" si="56"/>
        <v>5.8241099999999992</v>
      </c>
      <c r="BP33" s="210"/>
      <c r="BQ33" s="210">
        <f t="shared" ref="BQ33:DZ33" si="57">BQ32-BQ31</f>
        <v>0</v>
      </c>
      <c r="BR33" s="210">
        <f t="shared" si="57"/>
        <v>79.603160000000003</v>
      </c>
      <c r="BS33" s="210"/>
      <c r="BT33" s="210">
        <f t="shared" si="57"/>
        <v>0</v>
      </c>
      <c r="BU33" s="210">
        <f t="shared" si="57"/>
        <v>0</v>
      </c>
      <c r="BV33" s="210" t="e">
        <f t="shared" si="57"/>
        <v>#DIV/0!</v>
      </c>
      <c r="BW33" s="210">
        <f t="shared" si="57"/>
        <v>0</v>
      </c>
      <c r="BX33" s="210">
        <f t="shared" si="57"/>
        <v>0</v>
      </c>
      <c r="BY33" s="210" t="e">
        <f t="shared" si="57"/>
        <v>#DIV/0!</v>
      </c>
      <c r="BZ33" s="210">
        <f t="shared" si="57"/>
        <v>-12330.418389999992</v>
      </c>
      <c r="CA33" s="210">
        <f t="shared" si="57"/>
        <v>-30747.830910000004</v>
      </c>
      <c r="CB33" s="210"/>
      <c r="CC33" s="210">
        <f t="shared" si="57"/>
        <v>-2525.2239999999947</v>
      </c>
      <c r="CD33" s="210">
        <f t="shared" si="57"/>
        <v>-16859.617000000002</v>
      </c>
      <c r="CE33" s="210"/>
      <c r="CF33" s="210">
        <f t="shared" si="57"/>
        <v>-2179.5749999999998</v>
      </c>
      <c r="CG33" s="210">
        <f t="shared" si="57"/>
        <v>-1931.5</v>
      </c>
      <c r="CH33" s="210"/>
      <c r="CI33" s="210">
        <f t="shared" si="57"/>
        <v>-8185.6283900000017</v>
      </c>
      <c r="CJ33" s="210">
        <f t="shared" si="57"/>
        <v>-7897.5525699999998</v>
      </c>
      <c r="CK33" s="210"/>
      <c r="CL33" s="210">
        <f t="shared" si="57"/>
        <v>3870.28</v>
      </c>
      <c r="CM33" s="210">
        <f t="shared" si="57"/>
        <v>-1253.7410000000002</v>
      </c>
      <c r="CN33" s="210"/>
      <c r="CO33" s="210">
        <f t="shared" si="57"/>
        <v>-120</v>
      </c>
      <c r="CP33" s="210">
        <f t="shared" si="57"/>
        <v>0</v>
      </c>
      <c r="CQ33" s="210"/>
      <c r="CR33" s="210">
        <f t="shared" si="57"/>
        <v>-3190.2709999999993</v>
      </c>
      <c r="CS33" s="210">
        <f t="shared" si="57"/>
        <v>-3172.3895799999996</v>
      </c>
      <c r="CT33" s="210"/>
      <c r="CU33" s="210">
        <f t="shared" si="57"/>
        <v>0</v>
      </c>
      <c r="CV33" s="210">
        <f t="shared" si="57"/>
        <v>366.96924000000001</v>
      </c>
      <c r="CW33" s="210" t="e">
        <f t="shared" si="57"/>
        <v>#DIV/0!</v>
      </c>
      <c r="CX33" s="210">
        <f t="shared" si="57"/>
        <v>0</v>
      </c>
      <c r="CY33" s="210">
        <f t="shared" si="57"/>
        <v>0</v>
      </c>
      <c r="CZ33" s="210" t="e">
        <f t="shared" si="57"/>
        <v>#DIV/0!</v>
      </c>
      <c r="DA33" s="210">
        <f t="shared" si="57"/>
        <v>0</v>
      </c>
      <c r="DB33" s="210">
        <f t="shared" si="57"/>
        <v>0</v>
      </c>
      <c r="DC33" s="210" t="e">
        <f t="shared" si="57"/>
        <v>#DIV/0!</v>
      </c>
      <c r="DD33" s="210">
        <f t="shared" si="57"/>
        <v>0</v>
      </c>
      <c r="DE33" s="210">
        <f t="shared" si="57"/>
        <v>0</v>
      </c>
      <c r="DF33" s="210">
        <f t="shared" si="57"/>
        <v>0</v>
      </c>
      <c r="DG33" s="210">
        <f t="shared" si="57"/>
        <v>-24317.326859999986</v>
      </c>
      <c r="DH33" s="210">
        <f t="shared" si="57"/>
        <v>-46485.794000000002</v>
      </c>
      <c r="DI33" s="210"/>
      <c r="DJ33" s="210">
        <f t="shared" si="57"/>
        <v>-3526.7755000000034</v>
      </c>
      <c r="DK33" s="210">
        <f t="shared" si="57"/>
        <v>-11376.952069999999</v>
      </c>
      <c r="DL33" s="210"/>
      <c r="DM33" s="210">
        <f t="shared" si="57"/>
        <v>-3202.0120000000024</v>
      </c>
      <c r="DN33" s="210">
        <f t="shared" si="57"/>
        <v>-11254.670610000001</v>
      </c>
      <c r="DO33" s="210"/>
      <c r="DP33" s="210">
        <f t="shared" si="57"/>
        <v>-168.8</v>
      </c>
      <c r="DQ33" s="210">
        <f t="shared" si="57"/>
        <v>0</v>
      </c>
      <c r="DR33" s="210">
        <f t="shared" si="57"/>
        <v>0</v>
      </c>
      <c r="DS33" s="210">
        <f t="shared" si="57"/>
        <v>-26.010000000000005</v>
      </c>
      <c r="DT33" s="210">
        <f t="shared" si="57"/>
        <v>0</v>
      </c>
      <c r="DU33" s="210">
        <f t="shared" si="57"/>
        <v>0</v>
      </c>
      <c r="DV33" s="210">
        <f t="shared" si="57"/>
        <v>-129.95349999999999</v>
      </c>
      <c r="DW33" s="210">
        <f t="shared" si="57"/>
        <v>-122.28146</v>
      </c>
      <c r="DX33" s="210"/>
      <c r="DY33" s="210">
        <f t="shared" si="57"/>
        <v>-99</v>
      </c>
      <c r="DZ33" s="210">
        <f t="shared" si="57"/>
        <v>-1008.9684999999998</v>
      </c>
      <c r="EA33" s="210"/>
      <c r="EB33" s="210">
        <f t="shared" ref="EB33:EX33" si="58">EB32-EB31</f>
        <v>-35.465499999999992</v>
      </c>
      <c r="EC33" s="210">
        <f t="shared" si="58"/>
        <v>-45.049610000000001</v>
      </c>
      <c r="ED33" s="210"/>
      <c r="EE33" s="210">
        <f t="shared" si="58"/>
        <v>-5497.65246999999</v>
      </c>
      <c r="EF33" s="210">
        <f t="shared" si="58"/>
        <v>-16503.324769999999</v>
      </c>
      <c r="EG33" s="210"/>
      <c r="EH33" s="210">
        <f t="shared" si="58"/>
        <v>-3375.0173899999991</v>
      </c>
      <c r="EI33" s="210">
        <f t="shared" si="58"/>
        <v>-5381.728430000001</v>
      </c>
      <c r="EJ33" s="210"/>
      <c r="EK33" s="210">
        <f t="shared" si="58"/>
        <v>-8555.7459999999992</v>
      </c>
      <c r="EL33" s="210">
        <f t="shared" si="58"/>
        <v>-12058.949619999999</v>
      </c>
      <c r="EM33" s="210"/>
      <c r="EN33" s="210">
        <f t="shared" si="58"/>
        <v>-10</v>
      </c>
      <c r="EO33" s="210">
        <f t="shared" si="58"/>
        <v>-10</v>
      </c>
      <c r="EP33" s="210"/>
      <c r="EQ33" s="210">
        <f t="shared" si="58"/>
        <v>-118.30199999999999</v>
      </c>
      <c r="ER33" s="210">
        <f t="shared" si="58"/>
        <v>-100.82000000000001</v>
      </c>
      <c r="ES33" s="210"/>
      <c r="ET33" s="210">
        <f t="shared" si="58"/>
        <v>0</v>
      </c>
      <c r="EU33" s="210">
        <f t="shared" si="58"/>
        <v>0</v>
      </c>
      <c r="EV33" s="210"/>
      <c r="EW33" s="210">
        <f t="shared" si="58"/>
        <v>5562.1164700000008</v>
      </c>
      <c r="EX33" s="210">
        <f t="shared" si="58"/>
        <v>-592.88325999999779</v>
      </c>
      <c r="EY33" s="210"/>
    </row>
    <row r="34" spans="3:155" ht="21.75" customHeight="1">
      <c r="C34" s="153">
        <v>105222.82939</v>
      </c>
      <c r="D34" s="224">
        <v>55122.991220000004</v>
      </c>
      <c r="F34" s="153">
        <v>37183.642</v>
      </c>
      <c r="G34" s="153">
        <v>19544.389309999999</v>
      </c>
      <c r="I34" s="213">
        <v>5106.8999999999996</v>
      </c>
      <c r="J34" s="212">
        <v>3189.83761</v>
      </c>
      <c r="L34" s="153">
        <v>3005.21</v>
      </c>
      <c r="M34" s="153">
        <v>2377.1674800000001</v>
      </c>
      <c r="O34" s="153">
        <v>32.24</v>
      </c>
      <c r="P34" s="153">
        <v>20.36788</v>
      </c>
      <c r="R34" s="153">
        <v>5019.3900000000003</v>
      </c>
      <c r="S34" s="153">
        <v>3603.7348299999999</v>
      </c>
      <c r="U34" s="153">
        <v>0</v>
      </c>
      <c r="V34" s="153">
        <v>-554.19476999999995</v>
      </c>
      <c r="X34" s="153">
        <v>380</v>
      </c>
      <c r="Y34" s="210">
        <v>409.61032</v>
      </c>
      <c r="AA34" s="153">
        <v>2833.4</v>
      </c>
      <c r="AB34" s="153">
        <v>850.13383999999996</v>
      </c>
      <c r="AD34" s="153">
        <v>17689.2</v>
      </c>
      <c r="AE34" s="153">
        <v>7979.81178</v>
      </c>
      <c r="AG34" s="153">
        <v>150.00200000000001</v>
      </c>
      <c r="AH34" s="153">
        <v>104.42821000000001</v>
      </c>
      <c r="AK34" s="153">
        <v>0</v>
      </c>
      <c r="AN34" s="210"/>
      <c r="AP34" s="153">
        <v>1521.3</v>
      </c>
      <c r="AQ34" s="153">
        <v>162.91130000000001</v>
      </c>
      <c r="AS34" s="153">
        <v>300</v>
      </c>
      <c r="AT34" s="153">
        <v>174.95706000000001</v>
      </c>
      <c r="AY34" s="153">
        <v>560</v>
      </c>
      <c r="AZ34" s="153">
        <v>633.03202999999996</v>
      </c>
      <c r="BE34" s="153">
        <v>586</v>
      </c>
      <c r="BF34" s="153">
        <v>591.20000000000005</v>
      </c>
      <c r="BN34" s="153">
        <v>0</v>
      </c>
      <c r="BO34" s="153">
        <v>8.7899999999999992E-3</v>
      </c>
      <c r="BR34" s="211">
        <v>-65.787610000000001</v>
      </c>
      <c r="BZ34" s="153">
        <v>68039.187390000006</v>
      </c>
      <c r="CA34" s="153">
        <v>35578.601909999998</v>
      </c>
      <c r="CC34" s="153">
        <v>28718.624</v>
      </c>
      <c r="CD34" s="153">
        <v>21225.200000000001</v>
      </c>
      <c r="CF34" s="153">
        <v>4979.5749999999998</v>
      </c>
      <c r="CG34" s="153">
        <v>1931.5</v>
      </c>
      <c r="CI34" s="211">
        <v>29173.917389999999</v>
      </c>
      <c r="CJ34" s="153">
        <v>8124.3405700000003</v>
      </c>
      <c r="CL34" s="153">
        <v>1856.8</v>
      </c>
      <c r="CM34" s="153">
        <v>1492.1410000000001</v>
      </c>
      <c r="CO34" s="153">
        <v>120</v>
      </c>
      <c r="CP34" s="153">
        <v>0</v>
      </c>
      <c r="CR34" s="153">
        <v>3190.2710000000002</v>
      </c>
      <c r="CS34" s="153">
        <v>3172.38958</v>
      </c>
      <c r="CU34" s="153">
        <v>0</v>
      </c>
      <c r="CV34" s="153">
        <v>-366.96924000000001</v>
      </c>
      <c r="DG34" s="213">
        <v>110784.94586000001</v>
      </c>
      <c r="DH34" s="213">
        <v>54530.107960000001</v>
      </c>
      <c r="DI34" s="213"/>
      <c r="DJ34" s="213">
        <v>22186.0615</v>
      </c>
      <c r="DK34" s="213">
        <v>13370.60628</v>
      </c>
      <c r="DL34" s="213"/>
      <c r="DM34" s="213">
        <v>21781.297999999999</v>
      </c>
      <c r="DN34" s="213">
        <v>13248.32482</v>
      </c>
      <c r="DO34" s="213"/>
      <c r="DP34" s="213">
        <v>168.8</v>
      </c>
      <c r="DQ34" s="213">
        <v>0</v>
      </c>
      <c r="DR34" s="213"/>
      <c r="DS34" s="213">
        <v>106.01</v>
      </c>
      <c r="DT34" s="213">
        <v>0</v>
      </c>
      <c r="DU34" s="213"/>
      <c r="DV34" s="213">
        <v>129.95349999999999</v>
      </c>
      <c r="DW34" s="213">
        <v>122.28146</v>
      </c>
      <c r="DX34" s="213"/>
      <c r="DY34" s="213">
        <v>1781.5</v>
      </c>
      <c r="DZ34" s="213">
        <v>1150.5051000000001</v>
      </c>
      <c r="EA34" s="213"/>
      <c r="EB34" s="213">
        <v>226.7655</v>
      </c>
      <c r="EC34" s="213">
        <v>53.549610000000001</v>
      </c>
      <c r="ED34" s="213"/>
      <c r="EE34" s="213">
        <v>34886.041469999996</v>
      </c>
      <c r="EF34" s="213">
        <v>17581.038140000001</v>
      </c>
      <c r="EG34" s="213"/>
      <c r="EH34" s="213">
        <v>18779.829389999999</v>
      </c>
      <c r="EI34" s="213">
        <v>6710.6686799999998</v>
      </c>
      <c r="EJ34" s="213"/>
      <c r="EK34" s="213">
        <v>32684.446</v>
      </c>
      <c r="EL34" s="213">
        <v>15548.120150000001</v>
      </c>
      <c r="EM34" s="213"/>
      <c r="EN34" s="213">
        <v>10</v>
      </c>
      <c r="EO34" s="213">
        <v>10</v>
      </c>
      <c r="EP34" s="213"/>
      <c r="EQ34" s="213">
        <v>230.30199999999999</v>
      </c>
      <c r="ER34" s="213">
        <v>105.62</v>
      </c>
      <c r="ES34" s="213"/>
      <c r="ET34" s="213">
        <v>0</v>
      </c>
      <c r="EU34" s="213">
        <v>0</v>
      </c>
      <c r="EV34" s="213"/>
      <c r="EW34" s="153">
        <v>-5562.1164699999999</v>
      </c>
      <c r="EX34" s="153">
        <v>592.88325999999995</v>
      </c>
    </row>
    <row r="35" spans="3:155" s="221" customFormat="1" ht="27.75" customHeight="1">
      <c r="C35" s="210">
        <f>C34-C31</f>
        <v>0</v>
      </c>
      <c r="D35" s="210">
        <f>D34-D31</f>
        <v>0</v>
      </c>
      <c r="E35" s="210"/>
      <c r="F35" s="210">
        <f t="shared" ref="F35:BO35" si="59">F34-F31</f>
        <v>0</v>
      </c>
      <c r="G35" s="210">
        <f>G34-G31</f>
        <v>0</v>
      </c>
      <c r="H35" s="210"/>
      <c r="I35" s="210">
        <f t="shared" si="59"/>
        <v>0</v>
      </c>
      <c r="J35" s="210">
        <f>J34-J31</f>
        <v>0</v>
      </c>
      <c r="K35" s="210"/>
      <c r="L35" s="210">
        <f t="shared" si="59"/>
        <v>0</v>
      </c>
      <c r="M35" s="210">
        <f t="shared" si="59"/>
        <v>0</v>
      </c>
      <c r="N35" s="210"/>
      <c r="O35" s="210">
        <f t="shared" si="59"/>
        <v>0</v>
      </c>
      <c r="P35" s="210">
        <f t="shared" si="59"/>
        <v>0</v>
      </c>
      <c r="Q35" s="210"/>
      <c r="R35" s="210">
        <f t="shared" si="59"/>
        <v>0</v>
      </c>
      <c r="S35" s="210">
        <f t="shared" si="59"/>
        <v>0</v>
      </c>
      <c r="T35" s="210"/>
      <c r="U35" s="210">
        <f t="shared" si="59"/>
        <v>0</v>
      </c>
      <c r="V35" s="210">
        <f t="shared" si="59"/>
        <v>0</v>
      </c>
      <c r="W35" s="210"/>
      <c r="X35" s="210">
        <f t="shared" si="59"/>
        <v>0</v>
      </c>
      <c r="Y35" s="210">
        <f t="shared" si="59"/>
        <v>0</v>
      </c>
      <c r="Z35" s="210"/>
      <c r="AA35" s="210">
        <f t="shared" si="59"/>
        <v>0</v>
      </c>
      <c r="AB35" s="210">
        <f t="shared" si="59"/>
        <v>0</v>
      </c>
      <c r="AC35" s="210"/>
      <c r="AD35" s="210">
        <f t="shared" si="59"/>
        <v>0</v>
      </c>
      <c r="AE35" s="210">
        <f t="shared" si="59"/>
        <v>0</v>
      </c>
      <c r="AF35" s="210"/>
      <c r="AG35" s="210">
        <f t="shared" si="59"/>
        <v>0</v>
      </c>
      <c r="AH35" s="210">
        <f t="shared" si="59"/>
        <v>0</v>
      </c>
      <c r="AI35" s="210"/>
      <c r="AJ35" s="210">
        <f t="shared" si="59"/>
        <v>0</v>
      </c>
      <c r="AK35" s="210">
        <f t="shared" si="59"/>
        <v>0</v>
      </c>
      <c r="AL35" s="210"/>
      <c r="AM35" s="210">
        <f t="shared" si="59"/>
        <v>0</v>
      </c>
      <c r="AN35" s="210">
        <f t="shared" si="59"/>
        <v>0</v>
      </c>
      <c r="AO35" s="210"/>
      <c r="AP35" s="210">
        <f t="shared" si="59"/>
        <v>0</v>
      </c>
      <c r="AQ35" s="210">
        <f t="shared" si="59"/>
        <v>0</v>
      </c>
      <c r="AR35" s="210"/>
      <c r="AS35" s="210">
        <f t="shared" si="59"/>
        <v>0</v>
      </c>
      <c r="AT35" s="210">
        <f t="shared" si="59"/>
        <v>-53.00345999999999</v>
      </c>
      <c r="AU35" s="210"/>
      <c r="AV35" s="210">
        <f t="shared" si="59"/>
        <v>0</v>
      </c>
      <c r="AW35" s="210">
        <f t="shared" si="59"/>
        <v>0</v>
      </c>
      <c r="AX35" s="210" t="e">
        <f t="shared" si="59"/>
        <v>#DIV/0!</v>
      </c>
      <c r="AY35" s="210">
        <f t="shared" si="59"/>
        <v>0</v>
      </c>
      <c r="AZ35" s="210">
        <f t="shared" si="59"/>
        <v>0</v>
      </c>
      <c r="BA35" s="210"/>
      <c r="BB35" s="210">
        <f t="shared" si="59"/>
        <v>0</v>
      </c>
      <c r="BC35" s="210">
        <f t="shared" si="59"/>
        <v>0</v>
      </c>
      <c r="BD35" s="210" t="e">
        <f t="shared" si="59"/>
        <v>#DIV/0!</v>
      </c>
      <c r="BE35" s="210">
        <f>BE34-BE31</f>
        <v>0</v>
      </c>
      <c r="BF35" s="210">
        <f t="shared" si="59"/>
        <v>0</v>
      </c>
      <c r="BG35" s="210"/>
      <c r="BH35" s="210">
        <f t="shared" si="59"/>
        <v>0</v>
      </c>
      <c r="BI35" s="210">
        <f t="shared" si="59"/>
        <v>0</v>
      </c>
      <c r="BJ35" s="210" t="e">
        <f t="shared" si="59"/>
        <v>#DIV/0!</v>
      </c>
      <c r="BK35" s="210">
        <f t="shared" si="59"/>
        <v>0</v>
      </c>
      <c r="BL35" s="210">
        <f t="shared" si="59"/>
        <v>0</v>
      </c>
      <c r="BM35" s="210" t="e">
        <f t="shared" si="59"/>
        <v>#DIV/0!</v>
      </c>
      <c r="BN35" s="210">
        <f t="shared" si="59"/>
        <v>0</v>
      </c>
      <c r="BO35" s="210">
        <f t="shared" si="59"/>
        <v>-14.167100000000001</v>
      </c>
      <c r="BP35" s="210"/>
      <c r="BQ35" s="210">
        <f t="shared" ref="BQ35:DZ35" si="60">BQ34-BQ31</f>
        <v>0</v>
      </c>
      <c r="BR35" s="210">
        <f t="shared" si="60"/>
        <v>0</v>
      </c>
      <c r="BS35" s="210"/>
      <c r="BT35" s="210">
        <f t="shared" si="60"/>
        <v>0</v>
      </c>
      <c r="BU35" s="210">
        <f t="shared" si="60"/>
        <v>0</v>
      </c>
      <c r="BV35" s="210" t="e">
        <f t="shared" si="60"/>
        <v>#DIV/0!</v>
      </c>
      <c r="BW35" s="210">
        <f t="shared" si="60"/>
        <v>0</v>
      </c>
      <c r="BX35" s="210">
        <f t="shared" si="60"/>
        <v>0</v>
      </c>
      <c r="BY35" s="210" t="e">
        <f t="shared" si="60"/>
        <v>#DIV/0!</v>
      </c>
      <c r="BZ35" s="210">
        <f t="shared" si="60"/>
        <v>0</v>
      </c>
      <c r="CA35" s="210">
        <f t="shared" si="60"/>
        <v>0</v>
      </c>
      <c r="CB35" s="210"/>
      <c r="CC35" s="210">
        <f>CC34-CC31</f>
        <v>0</v>
      </c>
      <c r="CD35" s="210">
        <f t="shared" si="60"/>
        <v>0</v>
      </c>
      <c r="CE35" s="210"/>
      <c r="CF35" s="210">
        <f t="shared" si="60"/>
        <v>0</v>
      </c>
      <c r="CG35" s="210">
        <f t="shared" si="60"/>
        <v>0</v>
      </c>
      <c r="CH35" s="210"/>
      <c r="CI35" s="210">
        <f t="shared" si="60"/>
        <v>0</v>
      </c>
      <c r="CJ35" s="210">
        <f t="shared" si="60"/>
        <v>0</v>
      </c>
      <c r="CK35" s="210"/>
      <c r="CL35" s="210">
        <f t="shared" si="60"/>
        <v>0</v>
      </c>
      <c r="CM35" s="210">
        <f t="shared" si="60"/>
        <v>0</v>
      </c>
      <c r="CN35" s="210"/>
      <c r="CO35" s="210">
        <f t="shared" si="60"/>
        <v>0</v>
      </c>
      <c r="CP35" s="210">
        <f t="shared" si="60"/>
        <v>0</v>
      </c>
      <c r="CQ35" s="210"/>
      <c r="CR35" s="210">
        <f t="shared" si="60"/>
        <v>0</v>
      </c>
      <c r="CS35" s="210">
        <f t="shared" si="60"/>
        <v>0</v>
      </c>
      <c r="CT35" s="210"/>
      <c r="CU35" s="210">
        <f t="shared" si="60"/>
        <v>0</v>
      </c>
      <c r="CV35" s="210">
        <f>-(CV34-CV31)</f>
        <v>0</v>
      </c>
      <c r="CW35" s="210" t="e">
        <f t="shared" si="60"/>
        <v>#DIV/0!</v>
      </c>
      <c r="CX35" s="210">
        <f t="shared" si="60"/>
        <v>0</v>
      </c>
      <c r="CY35" s="210">
        <f t="shared" si="60"/>
        <v>0</v>
      </c>
      <c r="CZ35" s="210" t="e">
        <f t="shared" si="60"/>
        <v>#DIV/0!</v>
      </c>
      <c r="DA35" s="210">
        <f t="shared" si="60"/>
        <v>0</v>
      </c>
      <c r="DB35" s="210">
        <f t="shared" si="60"/>
        <v>0</v>
      </c>
      <c r="DC35" s="210" t="e">
        <f t="shared" si="60"/>
        <v>#DIV/0!</v>
      </c>
      <c r="DD35" s="210">
        <f t="shared" si="60"/>
        <v>0</v>
      </c>
      <c r="DE35" s="210">
        <f t="shared" si="60"/>
        <v>0</v>
      </c>
      <c r="DF35" s="210"/>
      <c r="DG35" s="210">
        <f t="shared" si="60"/>
        <v>0</v>
      </c>
      <c r="DH35" s="210">
        <f t="shared" si="60"/>
        <v>0</v>
      </c>
      <c r="DI35" s="210"/>
      <c r="DJ35" s="210">
        <f t="shared" si="60"/>
        <v>0</v>
      </c>
      <c r="DK35" s="210">
        <f t="shared" si="60"/>
        <v>0</v>
      </c>
      <c r="DL35" s="210"/>
      <c r="DM35" s="210">
        <f>DM34-DM31</f>
        <v>0</v>
      </c>
      <c r="DN35" s="210">
        <f>DN34-DN31</f>
        <v>0</v>
      </c>
      <c r="DO35" s="210"/>
      <c r="DP35" s="210">
        <f t="shared" si="60"/>
        <v>0</v>
      </c>
      <c r="DQ35" s="210">
        <f t="shared" si="60"/>
        <v>0</v>
      </c>
      <c r="DR35" s="210"/>
      <c r="DS35" s="210">
        <f t="shared" si="60"/>
        <v>0</v>
      </c>
      <c r="DT35" s="210">
        <f t="shared" si="60"/>
        <v>0</v>
      </c>
      <c r="DU35" s="210"/>
      <c r="DV35" s="210">
        <f t="shared" si="60"/>
        <v>0</v>
      </c>
      <c r="DW35" s="210">
        <f t="shared" si="60"/>
        <v>0</v>
      </c>
      <c r="DX35" s="210"/>
      <c r="DY35" s="210">
        <f t="shared" si="60"/>
        <v>0</v>
      </c>
      <c r="DZ35" s="210">
        <f t="shared" si="60"/>
        <v>0</v>
      </c>
      <c r="EA35" s="210"/>
      <c r="EB35" s="210">
        <f>EB34-EB31</f>
        <v>0</v>
      </c>
      <c r="EC35" s="210">
        <f>EC34-EC31</f>
        <v>0</v>
      </c>
      <c r="ED35" s="210"/>
      <c r="EE35" s="210">
        <f>EE34-EE31</f>
        <v>0</v>
      </c>
      <c r="EF35" s="210">
        <f>EF34-EF31</f>
        <v>0</v>
      </c>
      <c r="EG35" s="210"/>
      <c r="EH35" s="210">
        <f>EH34-EH31</f>
        <v>0</v>
      </c>
      <c r="EI35" s="210">
        <f>EI34-EI31</f>
        <v>0</v>
      </c>
      <c r="EJ35" s="210"/>
      <c r="EK35" s="210">
        <f t="shared" ref="EK35:EX35" si="61">EK34-EK31</f>
        <v>0</v>
      </c>
      <c r="EL35" s="210">
        <f t="shared" si="61"/>
        <v>0</v>
      </c>
      <c r="EM35" s="210"/>
      <c r="EN35" s="210">
        <f t="shared" si="61"/>
        <v>0</v>
      </c>
      <c r="EO35" s="210">
        <f t="shared" si="61"/>
        <v>0</v>
      </c>
      <c r="EP35" s="210"/>
      <c r="EQ35" s="210">
        <f>EQ34-EQ31</f>
        <v>0</v>
      </c>
      <c r="ER35" s="210">
        <f t="shared" si="61"/>
        <v>0</v>
      </c>
      <c r="ES35" s="210"/>
      <c r="ET35" s="210">
        <f t="shared" si="61"/>
        <v>0</v>
      </c>
      <c r="EU35" s="210">
        <f t="shared" si="61"/>
        <v>0</v>
      </c>
      <c r="EV35" s="210"/>
      <c r="EW35" s="210">
        <f t="shared" si="61"/>
        <v>0</v>
      </c>
      <c r="EX35" s="210">
        <f t="shared" si="61"/>
        <v>2.1600499167107046E-12</v>
      </c>
    </row>
    <row r="36" spans="3:155"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22"/>
    </row>
  </sheetData>
  <customSheetViews>
    <customSheetView guid="{D9DF2AB9-CCB8-40C7-9C85-E4DDD4810EEF}" scale="75" showPageBreaks="1" printArea="1" hiddenRows="1" hiddenColumns="1" view="pageBreakPreview" topLeftCell="A10">
      <pane xSplit="2" ySplit="4" topLeftCell="C17" activePane="bottomRight" state="frozen"/>
      <selection pane="bottomRight" activeCell="DP15" sqref="DP15:DP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5BFCA170-DEAE-4D2C-98A0-1E68B427AC01}" scale="75" showPageBreaks="1" printArea="1" hiddenRows="1" hiddenColumns="1" view="pageBreakPreview" topLeftCell="A10">
      <pane xSplit="2" ySplit="4" topLeftCell="DV14" activePane="bottomRight" state="frozen"/>
      <selection pane="bottomRight" activeCell="EL31" sqref="EL31"/>
      <colBreaks count="6" manualBreakCount="6">
        <brk id="17" max="31" man="1"/>
        <brk id="35" max="31" man="1"/>
        <brk id="59" max="31" man="1"/>
        <brk id="92" max="31" man="1"/>
        <brk id="116" max="31" man="1"/>
        <brk id="134" max="31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I6" sqref="I6:X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A54C432C-6C68-4B53-A75C-446EB3A61B2B}" scale="75" showPageBreaks="1" printArea="1" hiddenRows="1" hiddenColumns="1" view="pageBreakPreview" topLeftCell="A10">
      <pane xSplit="2" ySplit="4" topLeftCell="C17" activePane="bottomRight" state="frozen"/>
      <selection pane="bottomRight" activeCell="DP15" sqref="DP15:DP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</customSheetViews>
  <mergeCells count="69">
    <mergeCell ref="CO9:CQ11"/>
    <mergeCell ref="CU9:CW11"/>
    <mergeCell ref="DD9:DF11"/>
    <mergeCell ref="EB9:ED11"/>
    <mergeCell ref="DM11:DO11"/>
    <mergeCell ref="DV11:DX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7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364</v>
      </c>
      <c r="AO1" t="s">
        <v>365</v>
      </c>
      <c r="AP1" t="s">
        <v>366</v>
      </c>
      <c r="AS1" t="s">
        <v>367</v>
      </c>
      <c r="AW1">
        <v>187.4</v>
      </c>
      <c r="AX1" t="s">
        <v>368</v>
      </c>
      <c r="AY1" t="s">
        <v>369</v>
      </c>
    </row>
    <row r="2" spans="32:51">
      <c r="AF2" t="s">
        <v>370</v>
      </c>
      <c r="AJ2" t="s">
        <v>371</v>
      </c>
    </row>
    <row r="3" spans="32:51">
      <c r="AF3" t="s">
        <v>373</v>
      </c>
      <c r="AH3" t="s">
        <v>372</v>
      </c>
      <c r="AJ3" t="s">
        <v>373</v>
      </c>
      <c r="AN3" t="s">
        <v>372</v>
      </c>
      <c r="AO3" t="s">
        <v>372</v>
      </c>
      <c r="AP3" t="s">
        <v>372</v>
      </c>
      <c r="AS3" t="s">
        <v>374</v>
      </c>
      <c r="AT3" t="s">
        <v>375</v>
      </c>
      <c r="AU3" t="s">
        <v>376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377</v>
      </c>
      <c r="AU4" t="s">
        <v>378</v>
      </c>
      <c r="AV4" t="s">
        <v>379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380</v>
      </c>
      <c r="AU5" t="s">
        <v>378</v>
      </c>
      <c r="AV5" t="s">
        <v>381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382</v>
      </c>
      <c r="AU6" t="s">
        <v>378</v>
      </c>
      <c r="AV6" t="s">
        <v>381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383</v>
      </c>
      <c r="AU7" t="s">
        <v>378</v>
      </c>
      <c r="AV7" t="s">
        <v>384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385</v>
      </c>
      <c r="AU8" t="s">
        <v>378</v>
      </c>
      <c r="AV8" t="s">
        <v>386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387</v>
      </c>
      <c r="AU9" t="s">
        <v>378</v>
      </c>
      <c r="AV9" t="s">
        <v>388</v>
      </c>
      <c r="AW9" t="s">
        <v>389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390</v>
      </c>
      <c r="AU10" t="s">
        <v>378</v>
      </c>
      <c r="AV10" t="s">
        <v>391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392</v>
      </c>
      <c r="AU11" t="s">
        <v>378</v>
      </c>
      <c r="AV11" t="s">
        <v>393</v>
      </c>
      <c r="AW11" t="s">
        <v>389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394</v>
      </c>
      <c r="AU12" t="s">
        <v>378</v>
      </c>
      <c r="AV12" t="s">
        <v>395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396</v>
      </c>
      <c r="AU13" t="s">
        <v>378</v>
      </c>
      <c r="AV13" t="s">
        <v>397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398</v>
      </c>
      <c r="AU14" t="s">
        <v>378</v>
      </c>
      <c r="AV14" t="s">
        <v>384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399</v>
      </c>
      <c r="AU15" t="s">
        <v>378</v>
      </c>
      <c r="AV15" t="s">
        <v>400</v>
      </c>
      <c r="AW15" t="s">
        <v>401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402</v>
      </c>
      <c r="AU16" t="s">
        <v>378</v>
      </c>
      <c r="AV16" t="s">
        <v>381</v>
      </c>
      <c r="AW16" t="s">
        <v>403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404</v>
      </c>
      <c r="AU17" t="s">
        <v>378</v>
      </c>
      <c r="AV17" t="s">
        <v>405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406</v>
      </c>
      <c r="AU18" t="s">
        <v>378</v>
      </c>
      <c r="AV18" t="s">
        <v>381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407</v>
      </c>
      <c r="AU19" t="s">
        <v>408</v>
      </c>
      <c r="AV19" t="s">
        <v>391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409</v>
      </c>
      <c r="AY20" t="s">
        <v>410</v>
      </c>
    </row>
    <row r="82" hidden="1"/>
    <row r="83" hidden="1"/>
    <row r="84" hidden="1"/>
  </sheetData>
  <customSheetViews>
    <customSheetView guid="{D9DF2AB9-CCB8-40C7-9C85-E4DDD4810EEF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</customSheetViews>
  <pageMargins left="0.7" right="0.7" top="0.75" bottom="0.75" header="0.3" footer="0.3"/>
  <pageSetup paperSize="9" orientation="portrait" verticalDpi="0" r:id="rId5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D9DF2AB9-CCB8-40C7-9C85-E4DDD4810EEF}" state="hidden" topLeftCell="A16">
      <pageMargins left="0.7" right="0.7" top="0.75" bottom="0.75" header="0.3" footer="0.3"/>
    </customSheetView>
    <customSheetView guid="{5BFCA170-DEAE-4D2C-98A0-1E68B427AC01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5"/>
  <sheetViews>
    <sheetView view="pageBreakPreview" topLeftCell="A103" zoomScale="60" workbookViewId="0">
      <selection activeCell="C71" sqref="C71:D72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46" t="s">
        <v>0</v>
      </c>
      <c r="B1" s="446"/>
      <c r="C1" s="446"/>
      <c r="D1" s="446"/>
      <c r="E1" s="446"/>
      <c r="F1" s="446"/>
    </row>
    <row r="2" spans="1:6">
      <c r="A2" s="446" t="s">
        <v>415</v>
      </c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103" t="s">
        <v>412</v>
      </c>
      <c r="E3" s="72" t="s">
        <v>3</v>
      </c>
      <c r="F3" s="74" t="s">
        <v>4</v>
      </c>
    </row>
    <row r="4" spans="1:6" s="6" customFormat="1" ht="22.5">
      <c r="A4" s="3"/>
      <c r="B4" s="256" t="s">
        <v>5</v>
      </c>
      <c r="C4" s="297">
        <f>C5+C12+C16+C21+C23+C27+C7</f>
        <v>125924</v>
      </c>
      <c r="D4" s="297">
        <f>D5+D12+D16+D21+D23+D27+D7</f>
        <v>80447.429810000001</v>
      </c>
      <c r="E4" s="297">
        <f>SUM(D4/C4*100)</f>
        <v>63.885700748070263</v>
      </c>
      <c r="F4" s="297">
        <f>SUM(D4-C4)</f>
        <v>-45476.570189999999</v>
      </c>
    </row>
    <row r="5" spans="1:6" s="6" customFormat="1" ht="22.5">
      <c r="A5" s="68">
        <v>1010000000</v>
      </c>
      <c r="B5" s="256" t="s">
        <v>6</v>
      </c>
      <c r="C5" s="297">
        <f>C6</f>
        <v>104690</v>
      </c>
      <c r="D5" s="297">
        <f>D6</f>
        <v>65486.838640000002</v>
      </c>
      <c r="E5" s="297">
        <f t="shared" ref="E5:E81" si="0">SUM(D5/C5*100)</f>
        <v>62.553098328398129</v>
      </c>
      <c r="F5" s="297">
        <f t="shared" ref="F5:F81" si="1">SUM(D5-C5)</f>
        <v>-39203.161359999998</v>
      </c>
    </row>
    <row r="6" spans="1:6" ht="23.25">
      <c r="A6" s="7">
        <v>1010200001</v>
      </c>
      <c r="B6" s="257" t="s">
        <v>229</v>
      </c>
      <c r="C6" s="298">
        <v>104690</v>
      </c>
      <c r="D6" s="365">
        <v>65486.838640000002</v>
      </c>
      <c r="E6" s="298">
        <f t="shared" ref="E6:E11" si="2">SUM(D6/C6*100)</f>
        <v>62.553098328398129</v>
      </c>
      <c r="F6" s="298">
        <f t="shared" si="1"/>
        <v>-39203.161359999998</v>
      </c>
    </row>
    <row r="7" spans="1:6" ht="37.5">
      <c r="A7" s="68">
        <v>1030000000</v>
      </c>
      <c r="B7" s="258" t="s">
        <v>281</v>
      </c>
      <c r="C7" s="297">
        <f>C8+C10+C9</f>
        <v>4367.8600000000006</v>
      </c>
      <c r="D7" s="297">
        <f>D8+D10+D9+D11</f>
        <v>2953.0248800000004</v>
      </c>
      <c r="E7" s="298">
        <f t="shared" si="2"/>
        <v>67.608047876992401</v>
      </c>
      <c r="F7" s="298">
        <f t="shared" si="1"/>
        <v>-1414.8351200000002</v>
      </c>
    </row>
    <row r="8" spans="1:6" ht="23.25">
      <c r="A8" s="7">
        <v>1030223001</v>
      </c>
      <c r="B8" s="257" t="s">
        <v>283</v>
      </c>
      <c r="C8" s="298">
        <v>1410.394</v>
      </c>
      <c r="D8" s="365">
        <v>1288.7347400000001</v>
      </c>
      <c r="E8" s="298">
        <f t="shared" si="2"/>
        <v>91.374094047478934</v>
      </c>
      <c r="F8" s="298">
        <f>SUM(D8-C8)</f>
        <v>-121.6592599999999</v>
      </c>
    </row>
    <row r="9" spans="1:6" ht="23.25">
      <c r="A9" s="7">
        <v>1030224001</v>
      </c>
      <c r="B9" s="257" t="s">
        <v>289</v>
      </c>
      <c r="C9" s="298">
        <v>25.545999999999999</v>
      </c>
      <c r="D9" s="365">
        <v>11.042120000000001</v>
      </c>
      <c r="E9" s="298">
        <f t="shared" si="2"/>
        <v>43.22445784075785</v>
      </c>
      <c r="F9" s="298">
        <f>SUM(D9-C9)</f>
        <v>-14.503879999999999</v>
      </c>
    </row>
    <row r="10" spans="1:6" ht="23.25">
      <c r="A10" s="7">
        <v>1030225001</v>
      </c>
      <c r="B10" s="257" t="s">
        <v>282</v>
      </c>
      <c r="C10" s="298">
        <v>2931.92</v>
      </c>
      <c r="D10" s="365">
        <v>1953.69397</v>
      </c>
      <c r="E10" s="298">
        <f t="shared" si="2"/>
        <v>66.63530962645639</v>
      </c>
      <c r="F10" s="298">
        <f t="shared" si="1"/>
        <v>-978.22603000000004</v>
      </c>
    </row>
    <row r="11" spans="1:6" ht="23.25">
      <c r="A11" s="7">
        <v>1030226001</v>
      </c>
      <c r="B11" s="257" t="s">
        <v>291</v>
      </c>
      <c r="C11" s="298">
        <v>0</v>
      </c>
      <c r="D11" s="365">
        <v>-300.44594999999998</v>
      </c>
      <c r="E11" s="298" t="e">
        <f t="shared" si="2"/>
        <v>#DIV/0!</v>
      </c>
      <c r="F11" s="298">
        <f t="shared" si="1"/>
        <v>-300.44594999999998</v>
      </c>
    </row>
    <row r="12" spans="1:6" s="6" customFormat="1" ht="22.5">
      <c r="A12" s="68">
        <v>1050000000</v>
      </c>
      <c r="B12" s="256" t="s">
        <v>7</v>
      </c>
      <c r="C12" s="297">
        <f>SUM(C13:C15)</f>
        <v>12352</v>
      </c>
      <c r="D12" s="297">
        <f>SUM(D13:D15)</f>
        <v>9490.7284</v>
      </c>
      <c r="E12" s="297">
        <f t="shared" si="0"/>
        <v>76.835560233160621</v>
      </c>
      <c r="F12" s="297">
        <f t="shared" si="1"/>
        <v>-2861.2716</v>
      </c>
    </row>
    <row r="13" spans="1:6" ht="23.25">
      <c r="A13" s="7">
        <v>1050200000</v>
      </c>
      <c r="B13" s="259" t="s">
        <v>239</v>
      </c>
      <c r="C13" s="366">
        <v>11115</v>
      </c>
      <c r="D13" s="365">
        <v>8421.6352299999999</v>
      </c>
      <c r="E13" s="298">
        <f t="shared" si="0"/>
        <v>75.768198200629783</v>
      </c>
      <c r="F13" s="298">
        <f t="shared" si="1"/>
        <v>-2693.3647700000001</v>
      </c>
    </row>
    <row r="14" spans="1:6" ht="23.25" customHeight="1">
      <c r="A14" s="7">
        <v>1050300000</v>
      </c>
      <c r="B14" s="259" t="s">
        <v>230</v>
      </c>
      <c r="C14" s="366">
        <v>887</v>
      </c>
      <c r="D14" s="365">
        <v>955.75645999999995</v>
      </c>
      <c r="E14" s="298">
        <f t="shared" si="0"/>
        <v>107.75157384441938</v>
      </c>
      <c r="F14" s="298">
        <f t="shared" si="1"/>
        <v>68.756459999999947</v>
      </c>
    </row>
    <row r="15" spans="1:6" ht="37.5">
      <c r="A15" s="7">
        <v>1050400002</v>
      </c>
      <c r="B15" s="257" t="s">
        <v>266</v>
      </c>
      <c r="C15" s="366">
        <v>350</v>
      </c>
      <c r="D15" s="365">
        <v>113.33671</v>
      </c>
      <c r="E15" s="298">
        <f t="shared" si="0"/>
        <v>32.381917142857141</v>
      </c>
      <c r="F15" s="298">
        <f t="shared" si="1"/>
        <v>-236.66329000000002</v>
      </c>
    </row>
    <row r="16" spans="1:6" s="6" customFormat="1" ht="24" customHeight="1">
      <c r="A16" s="68">
        <v>1060000000</v>
      </c>
      <c r="B16" s="256" t="s">
        <v>136</v>
      </c>
      <c r="C16" s="297">
        <f>SUM(C17:C20)</f>
        <v>1915</v>
      </c>
      <c r="D16" s="297">
        <f>SUM(D17:D20)</f>
        <v>697.14878999999996</v>
      </c>
      <c r="E16" s="297">
        <f t="shared" si="0"/>
        <v>36.404636553524803</v>
      </c>
      <c r="F16" s="297">
        <f t="shared" si="1"/>
        <v>-1217.85121</v>
      </c>
    </row>
    <row r="17" spans="1:6" s="6" customFormat="1" ht="18" hidden="1" customHeight="1">
      <c r="A17" s="7">
        <v>1060100000</v>
      </c>
      <c r="B17" s="259" t="s">
        <v>9</v>
      </c>
      <c r="C17" s="298"/>
      <c r="D17" s="365"/>
      <c r="E17" s="297" t="e">
        <f t="shared" si="0"/>
        <v>#DIV/0!</v>
      </c>
      <c r="F17" s="297">
        <f t="shared" si="1"/>
        <v>0</v>
      </c>
    </row>
    <row r="18" spans="1:6" s="6" customFormat="1" ht="17.25" hidden="1" customHeight="1">
      <c r="A18" s="7">
        <v>1060200000</v>
      </c>
      <c r="B18" s="259" t="s">
        <v>123</v>
      </c>
      <c r="C18" s="298"/>
      <c r="D18" s="365"/>
      <c r="E18" s="297" t="e">
        <f t="shared" si="0"/>
        <v>#DIV/0!</v>
      </c>
      <c r="F18" s="297">
        <f t="shared" si="1"/>
        <v>0</v>
      </c>
    </row>
    <row r="19" spans="1:6" s="6" customFormat="1" ht="21.75" customHeight="1">
      <c r="A19" s="7">
        <v>1060400000</v>
      </c>
      <c r="B19" s="259" t="s">
        <v>280</v>
      </c>
      <c r="C19" s="298">
        <v>1915</v>
      </c>
      <c r="D19" s="365">
        <v>697.14878999999996</v>
      </c>
      <c r="E19" s="298">
        <f t="shared" si="0"/>
        <v>36.404636553524803</v>
      </c>
      <c r="F19" s="298">
        <f t="shared" si="1"/>
        <v>-1217.85121</v>
      </c>
    </row>
    <row r="20" spans="1:6" ht="15.75" hidden="1" customHeight="1">
      <c r="A20" s="7">
        <v>1060600000</v>
      </c>
      <c r="B20" s="259" t="s">
        <v>8</v>
      </c>
      <c r="C20" s="298"/>
      <c r="D20" s="365"/>
      <c r="E20" s="298" t="e">
        <f t="shared" si="0"/>
        <v>#DIV/0!</v>
      </c>
      <c r="F20" s="298">
        <f t="shared" si="1"/>
        <v>0</v>
      </c>
    </row>
    <row r="21" spans="1:6" s="6" customFormat="1" ht="42" customHeight="1">
      <c r="A21" s="68">
        <v>1070000000</v>
      </c>
      <c r="B21" s="258" t="s">
        <v>10</v>
      </c>
      <c r="C21" s="297">
        <f>SUM(C22)</f>
        <v>399.14</v>
      </c>
      <c r="D21" s="297">
        <f>SUM(D22)</f>
        <v>9.9229999999999999E-2</v>
      </c>
      <c r="E21" s="297">
        <f t="shared" si="0"/>
        <v>2.4860951044746202E-2</v>
      </c>
      <c r="F21" s="297">
        <f t="shared" si="1"/>
        <v>-399.04077000000001</v>
      </c>
    </row>
    <row r="22" spans="1:6" ht="41.25" customHeight="1">
      <c r="A22" s="7">
        <v>1070102001</v>
      </c>
      <c r="B22" s="257" t="s">
        <v>240</v>
      </c>
      <c r="C22" s="298">
        <v>399.14</v>
      </c>
      <c r="D22" s="365">
        <v>9.9229999999999999E-2</v>
      </c>
      <c r="E22" s="298">
        <f t="shared" si="0"/>
        <v>2.4860951044746202E-2</v>
      </c>
      <c r="F22" s="298">
        <f t="shared" si="1"/>
        <v>-399.04077000000001</v>
      </c>
    </row>
    <row r="23" spans="1:6" s="6" customFormat="1" ht="22.5">
      <c r="A23" s="3">
        <v>1080000000</v>
      </c>
      <c r="B23" s="256" t="s">
        <v>11</v>
      </c>
      <c r="C23" s="297">
        <f>C24+C25+C26</f>
        <v>2200</v>
      </c>
      <c r="D23" s="297">
        <f>D24+D25+D26</f>
        <v>1819.58987</v>
      </c>
      <c r="E23" s="297">
        <f t="shared" si="0"/>
        <v>82.708630454545457</v>
      </c>
      <c r="F23" s="297">
        <f t="shared" si="1"/>
        <v>-380.41012999999998</v>
      </c>
    </row>
    <row r="24" spans="1:6" ht="36.75" customHeight="1">
      <c r="A24" s="7">
        <v>1080300001</v>
      </c>
      <c r="B24" s="257" t="s">
        <v>241</v>
      </c>
      <c r="C24" s="298">
        <v>1600</v>
      </c>
      <c r="D24" s="365">
        <v>1383.3982000000001</v>
      </c>
      <c r="E24" s="298">
        <f t="shared" si="0"/>
        <v>86.462387500000006</v>
      </c>
      <c r="F24" s="298">
        <f t="shared" si="1"/>
        <v>-216.60179999999991</v>
      </c>
    </row>
    <row r="25" spans="1:6" ht="33.75" hidden="1" customHeight="1">
      <c r="A25" s="7">
        <v>1080600001</v>
      </c>
      <c r="B25" s="257" t="s">
        <v>228</v>
      </c>
      <c r="C25" s="298">
        <v>0</v>
      </c>
      <c r="D25" s="365">
        <v>0</v>
      </c>
      <c r="E25" s="298" t="e">
        <f>SUM(D25/C25*100)</f>
        <v>#DIV/0!</v>
      </c>
      <c r="F25" s="298">
        <f t="shared" si="1"/>
        <v>0</v>
      </c>
    </row>
    <row r="26" spans="1:6" ht="69.75" customHeight="1">
      <c r="A26" s="7">
        <v>1080714001</v>
      </c>
      <c r="B26" s="257" t="s">
        <v>227</v>
      </c>
      <c r="C26" s="298">
        <v>600</v>
      </c>
      <c r="D26" s="365">
        <v>436.19166999999999</v>
      </c>
      <c r="E26" s="298">
        <f t="shared" si="0"/>
        <v>72.698611666666665</v>
      </c>
      <c r="F26" s="298">
        <f t="shared" si="1"/>
        <v>-163.80833000000001</v>
      </c>
    </row>
    <row r="27" spans="1:6" s="15" customFormat="1" ht="0.75" hidden="1" customHeight="1">
      <c r="A27" s="68">
        <v>1090000000</v>
      </c>
      <c r="B27" s="258" t="s">
        <v>231</v>
      </c>
      <c r="C27" s="297">
        <f>C28+C29+C30+C31</f>
        <v>0</v>
      </c>
      <c r="D27" s="297">
        <f>D28+D29+D30+D31</f>
        <v>0</v>
      </c>
      <c r="E27" s="298" t="e">
        <f t="shared" si="0"/>
        <v>#DIV/0!</v>
      </c>
      <c r="F27" s="297">
        <f t="shared" si="1"/>
        <v>0</v>
      </c>
    </row>
    <row r="28" spans="1:6" s="15" customFormat="1" ht="17.25" hidden="1" customHeight="1">
      <c r="A28" s="7">
        <v>1090100000</v>
      </c>
      <c r="B28" s="257" t="s">
        <v>125</v>
      </c>
      <c r="C28" s="298">
        <v>0</v>
      </c>
      <c r="D28" s="365">
        <v>0</v>
      </c>
      <c r="E28" s="298" t="e">
        <f t="shared" si="0"/>
        <v>#DIV/0!</v>
      </c>
      <c r="F28" s="298">
        <f t="shared" si="1"/>
        <v>0</v>
      </c>
    </row>
    <row r="29" spans="1:6" s="15" customFormat="1" ht="17.25" hidden="1" customHeight="1">
      <c r="A29" s="7">
        <v>1090400000</v>
      </c>
      <c r="B29" s="257" t="s">
        <v>126</v>
      </c>
      <c r="C29" s="298">
        <v>0</v>
      </c>
      <c r="D29" s="365">
        <v>0</v>
      </c>
      <c r="E29" s="298" t="e">
        <f t="shared" si="0"/>
        <v>#DIV/0!</v>
      </c>
      <c r="F29" s="298">
        <f t="shared" si="1"/>
        <v>0</v>
      </c>
    </row>
    <row r="30" spans="1:6" s="15" customFormat="1" ht="15.75" hidden="1" customHeight="1">
      <c r="A30" s="7">
        <v>1090600000</v>
      </c>
      <c r="B30" s="257" t="s">
        <v>127</v>
      </c>
      <c r="C30" s="298">
        <v>0</v>
      </c>
      <c r="D30" s="365">
        <v>0</v>
      </c>
      <c r="E30" s="298" t="e">
        <f t="shared" si="0"/>
        <v>#DIV/0!</v>
      </c>
      <c r="F30" s="298">
        <f t="shared" si="1"/>
        <v>0</v>
      </c>
    </row>
    <row r="31" spans="1:6" s="15" customFormat="1" ht="42" hidden="1" customHeight="1">
      <c r="A31" s="7">
        <v>1090700000</v>
      </c>
      <c r="B31" s="257" t="s">
        <v>128</v>
      </c>
      <c r="C31" s="298">
        <v>0</v>
      </c>
      <c r="D31" s="365">
        <v>0</v>
      </c>
      <c r="E31" s="298" t="e">
        <f t="shared" si="0"/>
        <v>#DIV/0!</v>
      </c>
      <c r="F31" s="298">
        <f t="shared" si="1"/>
        <v>0</v>
      </c>
    </row>
    <row r="32" spans="1:6" s="6" customFormat="1" ht="33.75" customHeight="1">
      <c r="A32" s="3"/>
      <c r="B32" s="256" t="s">
        <v>13</v>
      </c>
      <c r="C32" s="297">
        <f>C33+C41+C43+C46+C49+C51+C68</f>
        <v>26680.1</v>
      </c>
      <c r="D32" s="297">
        <f>D33+D41+D43+D46+D49+D51+D68</f>
        <v>17540.527699999999</v>
      </c>
      <c r="E32" s="297">
        <f t="shared" si="0"/>
        <v>65.743860405320817</v>
      </c>
      <c r="F32" s="297">
        <f t="shared" si="1"/>
        <v>-9139.5722999999998</v>
      </c>
    </row>
    <row r="33" spans="1:6" s="6" customFormat="1" ht="60.75" customHeight="1">
      <c r="A33" s="3">
        <v>1110000000</v>
      </c>
      <c r="B33" s="258" t="s">
        <v>129</v>
      </c>
      <c r="C33" s="297">
        <f>C35+C36+C37+C39+C38+C34+C40</f>
        <v>9536.2999999999993</v>
      </c>
      <c r="D33" s="297">
        <f>D35+D36+D37+D39+D38+D34+D40</f>
        <v>7344.8527399999994</v>
      </c>
      <c r="E33" s="297">
        <f t="shared" si="0"/>
        <v>77.019942115914972</v>
      </c>
      <c r="F33" s="297">
        <f t="shared" si="1"/>
        <v>-2191.4472599999999</v>
      </c>
    </row>
    <row r="34" spans="1:6" s="6" customFormat="1" ht="34.5" customHeight="1">
      <c r="A34" s="7">
        <v>1110105005</v>
      </c>
      <c r="B34" s="257" t="s">
        <v>320</v>
      </c>
      <c r="C34" s="298">
        <v>10</v>
      </c>
      <c r="D34" s="298">
        <v>16.89</v>
      </c>
      <c r="E34" s="298">
        <f t="shared" si="0"/>
        <v>168.9</v>
      </c>
      <c r="F34" s="298">
        <f t="shared" si="1"/>
        <v>6.8900000000000006</v>
      </c>
    </row>
    <row r="35" spans="1:6" ht="27.75" hidden="1" customHeight="1">
      <c r="A35" s="7">
        <v>1110305005</v>
      </c>
      <c r="B35" s="259" t="s">
        <v>242</v>
      </c>
      <c r="C35" s="298">
        <v>0</v>
      </c>
      <c r="D35" s="365">
        <v>0</v>
      </c>
      <c r="E35" s="298" t="e">
        <f t="shared" si="0"/>
        <v>#DIV/0!</v>
      </c>
      <c r="F35" s="298">
        <f t="shared" si="1"/>
        <v>0</v>
      </c>
    </row>
    <row r="36" spans="1:6" ht="23.25">
      <c r="A36" s="16">
        <v>1110501101</v>
      </c>
      <c r="B36" s="260" t="s">
        <v>226</v>
      </c>
      <c r="C36" s="366">
        <v>8736.2999999999993</v>
      </c>
      <c r="D36" s="365">
        <v>6684.4186099999997</v>
      </c>
      <c r="E36" s="298">
        <f t="shared" si="0"/>
        <v>76.513153279992679</v>
      </c>
      <c r="F36" s="298">
        <f t="shared" si="1"/>
        <v>-2051.8813899999996</v>
      </c>
    </row>
    <row r="37" spans="1:6" ht="21.75" customHeight="1">
      <c r="A37" s="7">
        <v>1110503505</v>
      </c>
      <c r="B37" s="259" t="s">
        <v>225</v>
      </c>
      <c r="C37" s="366">
        <v>400</v>
      </c>
      <c r="D37" s="365">
        <v>260.84667000000002</v>
      </c>
      <c r="E37" s="298">
        <f t="shared" si="0"/>
        <v>65.211667500000004</v>
      </c>
      <c r="F37" s="298">
        <f t="shared" si="1"/>
        <v>-139.15332999999998</v>
      </c>
    </row>
    <row r="38" spans="1:6" ht="0.75" hidden="1" customHeight="1">
      <c r="A38" s="7">
        <v>1110502000</v>
      </c>
      <c r="B38" s="257" t="s">
        <v>277</v>
      </c>
      <c r="C38" s="367">
        <v>0</v>
      </c>
      <c r="D38" s="365">
        <v>0</v>
      </c>
      <c r="E38" s="298" t="e">
        <f t="shared" si="0"/>
        <v>#DIV/0!</v>
      </c>
      <c r="F38" s="298">
        <f t="shared" si="1"/>
        <v>0</v>
      </c>
    </row>
    <row r="39" spans="1:6" s="15" customFormat="1" ht="23.25">
      <c r="A39" s="7">
        <v>1110701505</v>
      </c>
      <c r="B39" s="259" t="s">
        <v>243</v>
      </c>
      <c r="C39" s="366">
        <v>20</v>
      </c>
      <c r="D39" s="365">
        <v>17.364999999999998</v>
      </c>
      <c r="E39" s="298">
        <f t="shared" si="0"/>
        <v>86.825000000000003</v>
      </c>
      <c r="F39" s="298">
        <f t="shared" si="1"/>
        <v>-2.6350000000000016</v>
      </c>
    </row>
    <row r="40" spans="1:6" s="15" customFormat="1" ht="23.25">
      <c r="A40" s="7">
        <v>1110904505</v>
      </c>
      <c r="B40" s="259" t="s">
        <v>334</v>
      </c>
      <c r="C40" s="366">
        <v>370</v>
      </c>
      <c r="D40" s="365">
        <v>365.33246000000003</v>
      </c>
      <c r="E40" s="298">
        <f t="shared" si="0"/>
        <v>98.738502702702718</v>
      </c>
      <c r="F40" s="298">
        <f t="shared" si="1"/>
        <v>-4.667539999999974</v>
      </c>
    </row>
    <row r="41" spans="1:6" s="15" customFormat="1" ht="37.5">
      <c r="A41" s="68">
        <v>1120000000</v>
      </c>
      <c r="B41" s="258" t="s">
        <v>130</v>
      </c>
      <c r="C41" s="368">
        <f>C42</f>
        <v>490</v>
      </c>
      <c r="D41" s="368">
        <f>D42</f>
        <v>581.26819999999998</v>
      </c>
      <c r="E41" s="297">
        <f t="shared" si="0"/>
        <v>118.62616326530613</v>
      </c>
      <c r="F41" s="297">
        <f t="shared" si="1"/>
        <v>91.268199999999979</v>
      </c>
    </row>
    <row r="42" spans="1:6" s="15" customFormat="1" ht="37.5">
      <c r="A42" s="7">
        <v>1120100001</v>
      </c>
      <c r="B42" s="257" t="s">
        <v>244</v>
      </c>
      <c r="C42" s="298">
        <v>490</v>
      </c>
      <c r="D42" s="365">
        <v>581.26819999999998</v>
      </c>
      <c r="E42" s="298">
        <f t="shared" si="0"/>
        <v>118.62616326530613</v>
      </c>
      <c r="F42" s="298">
        <f t="shared" si="1"/>
        <v>91.268199999999979</v>
      </c>
    </row>
    <row r="43" spans="1:6" s="255" customFormat="1" ht="21.75" customHeight="1">
      <c r="A43" s="325">
        <v>1130000000</v>
      </c>
      <c r="B43" s="261" t="s">
        <v>131</v>
      </c>
      <c r="C43" s="297">
        <f>C44+C45</f>
        <v>459</v>
      </c>
      <c r="D43" s="297">
        <f>D44+D45</f>
        <v>113.39815</v>
      </c>
      <c r="E43" s="297">
        <f t="shared" si="0"/>
        <v>24.705479302832245</v>
      </c>
      <c r="F43" s="297">
        <f t="shared" si="1"/>
        <v>-345.60185000000001</v>
      </c>
    </row>
    <row r="44" spans="1:6" s="15" customFormat="1" ht="36" customHeight="1">
      <c r="A44" s="7">
        <v>1130200000</v>
      </c>
      <c r="B44" s="257" t="s">
        <v>330</v>
      </c>
      <c r="C44" s="298">
        <v>459</v>
      </c>
      <c r="D44" s="298">
        <v>113.39815</v>
      </c>
      <c r="E44" s="298">
        <f>SUM(D44/C44*100)</f>
        <v>24.705479302832245</v>
      </c>
      <c r="F44" s="298">
        <f>SUM(D44-C44)</f>
        <v>-345.60185000000001</v>
      </c>
    </row>
    <row r="45" spans="1:6" ht="25.5" customHeight="1">
      <c r="A45" s="7">
        <v>1130305005</v>
      </c>
      <c r="B45" s="257" t="s">
        <v>224</v>
      </c>
      <c r="C45" s="298">
        <v>0</v>
      </c>
      <c r="D45" s="365">
        <v>0</v>
      </c>
      <c r="E45" s="298"/>
      <c r="F45" s="298">
        <f t="shared" si="1"/>
        <v>0</v>
      </c>
    </row>
    <row r="46" spans="1:6" ht="20.25" customHeight="1">
      <c r="A46" s="109">
        <v>1140000000</v>
      </c>
      <c r="B46" s="262" t="s">
        <v>132</v>
      </c>
      <c r="C46" s="297">
        <f>C47+C48</f>
        <v>6682.8</v>
      </c>
      <c r="D46" s="297">
        <f>D47+D48</f>
        <v>1451.6496999999999</v>
      </c>
      <c r="E46" s="297">
        <f t="shared" si="0"/>
        <v>21.722177829652239</v>
      </c>
      <c r="F46" s="297">
        <f t="shared" si="1"/>
        <v>-5231.1503000000002</v>
      </c>
    </row>
    <row r="47" spans="1:6" ht="23.25">
      <c r="A47" s="16">
        <v>1140200000</v>
      </c>
      <c r="B47" s="263" t="s">
        <v>222</v>
      </c>
      <c r="C47" s="298">
        <v>500</v>
      </c>
      <c r="D47" s="365">
        <v>9</v>
      </c>
      <c r="E47" s="298">
        <f t="shared" si="0"/>
        <v>1.7999999999999998</v>
      </c>
      <c r="F47" s="298">
        <f t="shared" si="1"/>
        <v>-491</v>
      </c>
    </row>
    <row r="48" spans="1:6" ht="24" customHeight="1">
      <c r="A48" s="7">
        <v>1140600000</v>
      </c>
      <c r="B48" s="257" t="s">
        <v>223</v>
      </c>
      <c r="C48" s="298">
        <v>6182.8</v>
      </c>
      <c r="D48" s="365">
        <v>1442.6496999999999</v>
      </c>
      <c r="E48" s="298">
        <f t="shared" si="0"/>
        <v>23.333274568156821</v>
      </c>
      <c r="F48" s="298">
        <f t="shared" si="1"/>
        <v>-4740.1503000000002</v>
      </c>
    </row>
    <row r="49" spans="1:8" ht="37.5" hidden="1">
      <c r="A49" s="3">
        <v>1150000000</v>
      </c>
      <c r="B49" s="258" t="s">
        <v>235</v>
      </c>
      <c r="C49" s="297">
        <f>C50</f>
        <v>0</v>
      </c>
      <c r="D49" s="297">
        <f>D50</f>
        <v>0</v>
      </c>
      <c r="E49" s="297" t="e">
        <f t="shared" si="0"/>
        <v>#DIV/0!</v>
      </c>
      <c r="F49" s="297">
        <f t="shared" si="1"/>
        <v>0</v>
      </c>
    </row>
    <row r="50" spans="1:8" ht="56.25" hidden="1">
      <c r="A50" s="7">
        <v>1150205005</v>
      </c>
      <c r="B50" s="257" t="s">
        <v>236</v>
      </c>
      <c r="C50" s="298">
        <v>0</v>
      </c>
      <c r="D50" s="365">
        <v>0</v>
      </c>
      <c r="E50" s="298" t="e">
        <f t="shared" si="0"/>
        <v>#DIV/0!</v>
      </c>
      <c r="F50" s="298">
        <f t="shared" si="1"/>
        <v>0</v>
      </c>
    </row>
    <row r="51" spans="1:8" ht="37.5">
      <c r="A51" s="3">
        <v>1160000000</v>
      </c>
      <c r="B51" s="258" t="s">
        <v>134</v>
      </c>
      <c r="C51" s="297">
        <f>C52+C53+C54+C55+C56+C57+C58+C59+C60+C61+C62+C63+C64+C65+C66+C67</f>
        <v>9512</v>
      </c>
      <c r="D51" s="297">
        <f>D52+D53+D54+D55+D56+D57+D58+D59+D60+D61+D62+D63+D64+D65+D66+D67</f>
        <v>8041.1589099999992</v>
      </c>
      <c r="E51" s="297">
        <f>SUM(D51/C51*100)</f>
        <v>84.536994428090821</v>
      </c>
      <c r="F51" s="297">
        <f t="shared" si="1"/>
        <v>-1470.8410900000008</v>
      </c>
      <c r="H51" s="152"/>
    </row>
    <row r="52" spans="1:8" ht="23.25">
      <c r="A52" s="7">
        <v>1160301001</v>
      </c>
      <c r="B52" s="257" t="s">
        <v>245</v>
      </c>
      <c r="C52" s="298">
        <v>12</v>
      </c>
      <c r="D52" s="369">
        <v>7.319</v>
      </c>
      <c r="E52" s="298">
        <f>SUM(D52/C52*100)</f>
        <v>60.991666666666667</v>
      </c>
      <c r="F52" s="298">
        <f t="shared" si="1"/>
        <v>-4.681</v>
      </c>
    </row>
    <row r="53" spans="1:8" ht="21" customHeight="1">
      <c r="A53" s="7">
        <v>1160303001</v>
      </c>
      <c r="B53" s="257" t="s">
        <v>246</v>
      </c>
      <c r="C53" s="298">
        <v>8</v>
      </c>
      <c r="D53" s="370">
        <v>4.5444500000000003</v>
      </c>
      <c r="E53" s="298">
        <f t="shared" si="0"/>
        <v>56.805625000000006</v>
      </c>
      <c r="F53" s="298">
        <f t="shared" si="1"/>
        <v>-3.4555499999999997</v>
      </c>
    </row>
    <row r="54" spans="1:8" ht="23.25" customHeight="1">
      <c r="A54" s="7">
        <v>1160600000</v>
      </c>
      <c r="B54" s="257" t="s">
        <v>247</v>
      </c>
      <c r="C54" s="298">
        <v>82</v>
      </c>
      <c r="D54" s="370">
        <v>0</v>
      </c>
      <c r="E54" s="298">
        <f t="shared" si="0"/>
        <v>0</v>
      </c>
      <c r="F54" s="298">
        <f t="shared" si="1"/>
        <v>-82</v>
      </c>
    </row>
    <row r="55" spans="1:8" s="15" customFormat="1" ht="48" customHeight="1">
      <c r="A55" s="7">
        <v>1160800001</v>
      </c>
      <c r="B55" s="257" t="s">
        <v>248</v>
      </c>
      <c r="C55" s="298">
        <v>220</v>
      </c>
      <c r="D55" s="370">
        <v>160</v>
      </c>
      <c r="E55" s="298">
        <f t="shared" si="0"/>
        <v>72.727272727272734</v>
      </c>
      <c r="F55" s="298">
        <f t="shared" si="1"/>
        <v>-60</v>
      </c>
    </row>
    <row r="56" spans="1:8" ht="35.25" customHeight="1">
      <c r="A56" s="7">
        <v>1160802001</v>
      </c>
      <c r="B56" s="257" t="s">
        <v>342</v>
      </c>
      <c r="C56" s="298">
        <v>35</v>
      </c>
      <c r="D56" s="365">
        <v>0</v>
      </c>
      <c r="E56" s="298">
        <f t="shared" si="0"/>
        <v>0</v>
      </c>
      <c r="F56" s="298">
        <f t="shared" si="1"/>
        <v>-35</v>
      </c>
    </row>
    <row r="57" spans="1:8" ht="35.25" customHeight="1">
      <c r="A57" s="7">
        <v>1162105005</v>
      </c>
      <c r="B57" s="257" t="s">
        <v>16</v>
      </c>
      <c r="C57" s="298">
        <v>245</v>
      </c>
      <c r="D57" s="365">
        <v>147.9</v>
      </c>
      <c r="E57" s="298">
        <f t="shared" si="0"/>
        <v>60.367346938775512</v>
      </c>
      <c r="F57" s="298">
        <f t="shared" si="1"/>
        <v>-97.1</v>
      </c>
    </row>
    <row r="58" spans="1:8" ht="35.25" customHeight="1">
      <c r="A58" s="16">
        <v>1162503001</v>
      </c>
      <c r="B58" s="263" t="s">
        <v>333</v>
      </c>
      <c r="C58" s="298">
        <v>140</v>
      </c>
      <c r="D58" s="365">
        <v>0</v>
      </c>
      <c r="E58" s="298">
        <f t="shared" si="0"/>
        <v>0</v>
      </c>
      <c r="F58" s="298">
        <f t="shared" si="1"/>
        <v>-140</v>
      </c>
    </row>
    <row r="59" spans="1:8" ht="21.75" customHeight="1">
      <c r="A59" s="16">
        <v>1162505001</v>
      </c>
      <c r="B59" s="263" t="s">
        <v>345</v>
      </c>
      <c r="C59" s="298">
        <v>0</v>
      </c>
      <c r="D59" s="365">
        <v>20</v>
      </c>
      <c r="E59" s="298" t="e">
        <f t="shared" si="0"/>
        <v>#DIV/0!</v>
      </c>
      <c r="F59" s="298">
        <f t="shared" si="1"/>
        <v>20</v>
      </c>
    </row>
    <row r="60" spans="1:8" ht="20.25" customHeight="1">
      <c r="A60" s="16">
        <v>1162506001</v>
      </c>
      <c r="B60" s="263" t="s">
        <v>269</v>
      </c>
      <c r="C60" s="298">
        <v>445</v>
      </c>
      <c r="D60" s="365">
        <v>60.060459999999999</v>
      </c>
      <c r="E60" s="298">
        <f t="shared" si="0"/>
        <v>13.496732584269663</v>
      </c>
      <c r="F60" s="298">
        <f t="shared" si="1"/>
        <v>-384.93954000000002</v>
      </c>
    </row>
    <row r="61" spans="1:8" ht="0.75" hidden="1" customHeight="1">
      <c r="A61" s="7">
        <v>1162700001</v>
      </c>
      <c r="B61" s="257" t="s">
        <v>249</v>
      </c>
      <c r="C61" s="298">
        <v>0</v>
      </c>
      <c r="D61" s="365">
        <v>0</v>
      </c>
      <c r="E61" s="298" t="e">
        <f t="shared" si="0"/>
        <v>#DIV/0!</v>
      </c>
      <c r="F61" s="298">
        <f t="shared" si="1"/>
        <v>0</v>
      </c>
    </row>
    <row r="62" spans="1:8" ht="37.5" customHeight="1">
      <c r="A62" s="7">
        <v>1162800001</v>
      </c>
      <c r="B62" s="257" t="s">
        <v>238</v>
      </c>
      <c r="C62" s="298">
        <v>370</v>
      </c>
      <c r="D62" s="365">
        <v>299.01344999999998</v>
      </c>
      <c r="E62" s="298">
        <f>SUM(D62/C62*100)</f>
        <v>80.814445945945948</v>
      </c>
      <c r="F62" s="298">
        <f>SUM(D62-C62)</f>
        <v>-70.986550000000022</v>
      </c>
    </row>
    <row r="63" spans="1:8" ht="36" customHeight="1">
      <c r="A63" s="7">
        <v>1163003001</v>
      </c>
      <c r="B63" s="257" t="s">
        <v>270</v>
      </c>
      <c r="C63" s="298">
        <v>25</v>
      </c>
      <c r="D63" s="365">
        <v>167</v>
      </c>
      <c r="E63" s="298">
        <f>SUM(D63/C63*100)</f>
        <v>668</v>
      </c>
      <c r="F63" s="298">
        <f>SUM(D63-C63)</f>
        <v>142</v>
      </c>
    </row>
    <row r="64" spans="1:8" ht="56.25">
      <c r="A64" s="7">
        <v>1164300001</v>
      </c>
      <c r="B64" s="264" t="s">
        <v>262</v>
      </c>
      <c r="C64" s="298">
        <v>300</v>
      </c>
      <c r="D64" s="365">
        <v>211.22174000000001</v>
      </c>
      <c r="E64" s="298">
        <f t="shared" si="0"/>
        <v>70.407246666666666</v>
      </c>
      <c r="F64" s="298">
        <f t="shared" si="1"/>
        <v>-88.778259999999989</v>
      </c>
    </row>
    <row r="65" spans="1:8" ht="73.5" customHeight="1">
      <c r="A65" s="7">
        <v>1163305005</v>
      </c>
      <c r="B65" s="257" t="s">
        <v>17</v>
      </c>
      <c r="C65" s="298">
        <v>5035</v>
      </c>
      <c r="D65" s="365">
        <v>5120.5715399999999</v>
      </c>
      <c r="E65" s="298">
        <f t="shared" si="0"/>
        <v>101.69953406156903</v>
      </c>
      <c r="F65" s="298">
        <f t="shared" si="1"/>
        <v>85.571539999999914</v>
      </c>
    </row>
    <row r="66" spans="1:8" ht="23.25">
      <c r="A66" s="7">
        <v>1163500000</v>
      </c>
      <c r="B66" s="257" t="s">
        <v>331</v>
      </c>
      <c r="C66" s="298">
        <v>0</v>
      </c>
      <c r="D66" s="365">
        <v>0</v>
      </c>
      <c r="E66" s="298" t="e">
        <f t="shared" si="0"/>
        <v>#DIV/0!</v>
      </c>
      <c r="F66" s="298">
        <f t="shared" si="1"/>
        <v>0</v>
      </c>
    </row>
    <row r="67" spans="1:8" ht="35.25" customHeight="1">
      <c r="A67" s="7">
        <v>1169000000</v>
      </c>
      <c r="B67" s="257" t="s">
        <v>237</v>
      </c>
      <c r="C67" s="298">
        <v>2595</v>
      </c>
      <c r="D67" s="365">
        <v>1843.52827</v>
      </c>
      <c r="E67" s="298">
        <f t="shared" si="0"/>
        <v>71.041551830443154</v>
      </c>
      <c r="F67" s="298">
        <f t="shared" si="1"/>
        <v>-751.47172999999998</v>
      </c>
    </row>
    <row r="68" spans="1:8" ht="25.5" customHeight="1">
      <c r="A68" s="3">
        <v>1170000000</v>
      </c>
      <c r="B68" s="258" t="s">
        <v>135</v>
      </c>
      <c r="C68" s="297">
        <f>C69+C70</f>
        <v>0</v>
      </c>
      <c r="D68" s="297">
        <f>D69+D70</f>
        <v>8.1999999999999993</v>
      </c>
      <c r="E68" s="298" t="e">
        <f t="shared" si="0"/>
        <v>#DIV/0!</v>
      </c>
      <c r="F68" s="297">
        <f t="shared" si="1"/>
        <v>8.1999999999999993</v>
      </c>
    </row>
    <row r="69" spans="1:8" ht="23.25">
      <c r="A69" s="7">
        <v>1170105005</v>
      </c>
      <c r="B69" s="257" t="s">
        <v>18</v>
      </c>
      <c r="C69" s="298">
        <v>0</v>
      </c>
      <c r="D69" s="298">
        <v>8.1999999999999993</v>
      </c>
      <c r="E69" s="298" t="e">
        <f t="shared" si="0"/>
        <v>#DIV/0!</v>
      </c>
      <c r="F69" s="298">
        <f t="shared" si="1"/>
        <v>8.1999999999999993</v>
      </c>
    </row>
    <row r="70" spans="1:8" ht="23.25">
      <c r="A70" s="7">
        <v>1170505005</v>
      </c>
      <c r="B70" s="259" t="s">
        <v>221</v>
      </c>
      <c r="C70" s="298">
        <v>0</v>
      </c>
      <c r="D70" s="365">
        <v>0</v>
      </c>
      <c r="E70" s="298" t="e">
        <f t="shared" si="0"/>
        <v>#DIV/0!</v>
      </c>
      <c r="F70" s="298">
        <f t="shared" si="1"/>
        <v>0</v>
      </c>
    </row>
    <row r="71" spans="1:8" s="6" customFormat="1" ht="22.5">
      <c r="A71" s="3">
        <v>1000000000</v>
      </c>
      <c r="B71" s="256" t="s">
        <v>19</v>
      </c>
      <c r="C71" s="371">
        <f>SUM(C4,C32)</f>
        <v>152604.1</v>
      </c>
      <c r="D71" s="371">
        <f>SUM(D4,D32)</f>
        <v>97987.957510000007</v>
      </c>
      <c r="E71" s="297">
        <f>SUM(D71/C71*100)</f>
        <v>64.210566760657144</v>
      </c>
      <c r="F71" s="297">
        <f>SUM(D71-C71)</f>
        <v>-54616.142489999998</v>
      </c>
      <c r="G71" s="94"/>
      <c r="H71" s="94"/>
    </row>
    <row r="72" spans="1:8" s="6" customFormat="1" ht="30" customHeight="1">
      <c r="A72" s="3">
        <v>2000000000</v>
      </c>
      <c r="B72" s="256" t="s">
        <v>20</v>
      </c>
      <c r="C72" s="297">
        <f>C73+C76+C77+C78+C80+C75+C79</f>
        <v>591472.02116</v>
      </c>
      <c r="D72" s="297">
        <f>D73+D76+D77+D78+D80+D75+D79</f>
        <v>352842.54897</v>
      </c>
      <c r="E72" s="297">
        <f t="shared" si="0"/>
        <v>59.654985586300803</v>
      </c>
      <c r="F72" s="297">
        <f t="shared" si="1"/>
        <v>-238629.47219</v>
      </c>
      <c r="G72" s="94"/>
      <c r="H72" s="94"/>
    </row>
    <row r="73" spans="1:8" ht="21.75" customHeight="1">
      <c r="A73" s="16">
        <v>2021000000</v>
      </c>
      <c r="B73" s="260" t="s">
        <v>21</v>
      </c>
      <c r="C73" s="366">
        <v>12497.1</v>
      </c>
      <c r="D73" s="372">
        <v>6618.4</v>
      </c>
      <c r="E73" s="298">
        <f t="shared" si="0"/>
        <v>52.959486600891402</v>
      </c>
      <c r="F73" s="298">
        <f t="shared" si="1"/>
        <v>-5878.7000000000007</v>
      </c>
    </row>
    <row r="74" spans="1:8" ht="32.25" hidden="1" customHeight="1">
      <c r="A74" s="16">
        <v>2020100905</v>
      </c>
      <c r="B74" s="263" t="s">
        <v>276</v>
      </c>
      <c r="C74" s="366">
        <v>0</v>
      </c>
      <c r="D74" s="372">
        <v>0</v>
      </c>
      <c r="E74" s="298" t="e">
        <f t="shared" si="0"/>
        <v>#DIV/0!</v>
      </c>
      <c r="F74" s="298">
        <f t="shared" si="1"/>
        <v>0</v>
      </c>
    </row>
    <row r="75" spans="1:8" ht="21.75" customHeight="1">
      <c r="A75" s="16">
        <v>2020100310</v>
      </c>
      <c r="B75" s="260" t="s">
        <v>232</v>
      </c>
      <c r="C75" s="366">
        <v>17580</v>
      </c>
      <c r="D75" s="372">
        <v>11720</v>
      </c>
      <c r="E75" s="298">
        <f t="shared" si="0"/>
        <v>66.666666666666657</v>
      </c>
      <c r="F75" s="298">
        <f t="shared" si="1"/>
        <v>-5860</v>
      </c>
    </row>
    <row r="76" spans="1:8" ht="23.25">
      <c r="A76" s="16">
        <v>2022000000</v>
      </c>
      <c r="B76" s="260" t="s">
        <v>22</v>
      </c>
      <c r="C76" s="366">
        <v>211329.31232999999</v>
      </c>
      <c r="D76" s="365">
        <v>105125.73656</v>
      </c>
      <c r="E76" s="298">
        <f t="shared" si="0"/>
        <v>49.744985871075734</v>
      </c>
      <c r="F76" s="298">
        <f t="shared" si="1"/>
        <v>-106203.57576999998</v>
      </c>
    </row>
    <row r="77" spans="1:8" ht="23.25">
      <c r="A77" s="16">
        <v>2023000000</v>
      </c>
      <c r="B77" s="260" t="s">
        <v>23</v>
      </c>
      <c r="C77" s="366">
        <v>329567.17882999999</v>
      </c>
      <c r="D77" s="373">
        <v>216723.55282000001</v>
      </c>
      <c r="E77" s="298">
        <f t="shared" si="0"/>
        <v>65.760053409867041</v>
      </c>
      <c r="F77" s="298">
        <f t="shared" si="1"/>
        <v>-112843.62600999998</v>
      </c>
    </row>
    <row r="78" spans="1:8" ht="19.5" customHeight="1">
      <c r="A78" s="16">
        <v>2024000000</v>
      </c>
      <c r="B78" s="263" t="s">
        <v>24</v>
      </c>
      <c r="C78" s="366">
        <v>20502.650000000001</v>
      </c>
      <c r="D78" s="374">
        <v>12656.912</v>
      </c>
      <c r="E78" s="298">
        <f t="shared" si="0"/>
        <v>61.733054019846215</v>
      </c>
      <c r="F78" s="298">
        <f t="shared" si="1"/>
        <v>-7845.7380000000012</v>
      </c>
    </row>
    <row r="79" spans="1:8" ht="23.25">
      <c r="A79" s="16">
        <v>2180500005</v>
      </c>
      <c r="B79" s="263" t="s">
        <v>325</v>
      </c>
      <c r="C79" s="366">
        <v>0</v>
      </c>
      <c r="D79" s="374">
        <v>366.96924000000001</v>
      </c>
      <c r="E79" s="298" t="e">
        <f t="shared" si="0"/>
        <v>#DIV/0!</v>
      </c>
      <c r="F79" s="298">
        <f t="shared" si="1"/>
        <v>366.96924000000001</v>
      </c>
    </row>
    <row r="80" spans="1:8" ht="22.5" customHeight="1">
      <c r="A80" s="7">
        <v>2196001005</v>
      </c>
      <c r="B80" s="259" t="s">
        <v>26</v>
      </c>
      <c r="C80" s="365">
        <v>-4.22</v>
      </c>
      <c r="D80" s="365">
        <v>-369.02165000000002</v>
      </c>
      <c r="E80" s="298">
        <f t="shared" si="0"/>
        <v>8744.5888625592434</v>
      </c>
      <c r="F80" s="298">
        <f>SUM(D80-C80)</f>
        <v>-364.80165</v>
      </c>
    </row>
    <row r="81" spans="1:8" s="6" customFormat="1" ht="56.25" hidden="1">
      <c r="A81" s="3">
        <v>3000000000</v>
      </c>
      <c r="B81" s="258" t="s">
        <v>27</v>
      </c>
      <c r="C81" s="368">
        <v>0</v>
      </c>
      <c r="D81" s="375">
        <v>0</v>
      </c>
      <c r="E81" s="298" t="e">
        <f t="shared" si="0"/>
        <v>#DIV/0!</v>
      </c>
      <c r="F81" s="297">
        <f t="shared" si="1"/>
        <v>0</v>
      </c>
    </row>
    <row r="82" spans="1:8" s="6" customFormat="1" ht="22.5" customHeight="1">
      <c r="A82" s="3"/>
      <c r="B82" s="256" t="s">
        <v>28</v>
      </c>
      <c r="C82" s="376">
        <f>C71+C72</f>
        <v>744076.12115999998</v>
      </c>
      <c r="D82" s="376">
        <f>D71+D72</f>
        <v>450830.50647999998</v>
      </c>
      <c r="E82" s="298">
        <f>SUM(D82/C82*100)</f>
        <v>60.589299086384351</v>
      </c>
      <c r="F82" s="297">
        <f>SUM(D83-C82)</f>
        <v>-741482.51850999997</v>
      </c>
      <c r="G82" s="326"/>
      <c r="H82" s="94"/>
    </row>
    <row r="83" spans="1:8" s="6" customFormat="1" ht="22.5">
      <c r="A83" s="3"/>
      <c r="B83" s="265" t="s">
        <v>321</v>
      </c>
      <c r="C83" s="377">
        <f>C82-C142</f>
        <v>-9930.6300000000047</v>
      </c>
      <c r="D83" s="297">
        <f>D82-D142</f>
        <v>2593.6026500000153</v>
      </c>
      <c r="E83" s="299"/>
      <c r="F83" s="299"/>
      <c r="G83" s="94"/>
      <c r="H83" s="94"/>
    </row>
    <row r="84" spans="1:8" ht="23.25">
      <c r="A84" s="23"/>
      <c r="B84" s="24"/>
      <c r="C84" s="378"/>
      <c r="D84" s="378"/>
      <c r="E84" s="300"/>
      <c r="F84" s="300"/>
    </row>
    <row r="85" spans="1:8" ht="63">
      <c r="A85" s="28" t="s">
        <v>1</v>
      </c>
      <c r="B85" s="28" t="s">
        <v>29</v>
      </c>
      <c r="C85" s="301" t="s">
        <v>346</v>
      </c>
      <c r="D85" s="379" t="s">
        <v>414</v>
      </c>
      <c r="E85" s="301" t="s">
        <v>3</v>
      </c>
      <c r="F85" s="302" t="s">
        <v>4</v>
      </c>
    </row>
    <row r="86" spans="1:8" ht="22.5">
      <c r="A86" s="29">
        <v>1</v>
      </c>
      <c r="B86" s="28">
        <v>2</v>
      </c>
      <c r="C86" s="303">
        <v>3</v>
      </c>
      <c r="D86" s="303">
        <v>4</v>
      </c>
      <c r="E86" s="303">
        <v>5</v>
      </c>
      <c r="F86" s="303">
        <v>6</v>
      </c>
    </row>
    <row r="87" spans="1:8" s="6" customFormat="1" ht="22.5">
      <c r="A87" s="30" t="s">
        <v>30</v>
      </c>
      <c r="B87" s="266" t="s">
        <v>31</v>
      </c>
      <c r="C87" s="299">
        <f>SUM(C88:C94)</f>
        <v>38788.901119999995</v>
      </c>
      <c r="D87" s="299">
        <f>SUM(D88:D94)</f>
        <v>23272.675190000002</v>
      </c>
      <c r="E87" s="304">
        <f>SUM(D87/C87*100)</f>
        <v>59.998284349438165</v>
      </c>
      <c r="F87" s="304">
        <f>SUM(D87-C87)</f>
        <v>-15516.225929999993</v>
      </c>
    </row>
    <row r="88" spans="1:8" s="6" customFormat="1" ht="37.5">
      <c r="A88" s="35" t="s">
        <v>32</v>
      </c>
      <c r="B88" s="267" t="s">
        <v>33</v>
      </c>
      <c r="C88" s="380">
        <v>50</v>
      </c>
      <c r="D88" s="380">
        <v>6.7743000000000002</v>
      </c>
      <c r="E88" s="304">
        <f>SUM(D88/C88*100)</f>
        <v>13.5486</v>
      </c>
      <c r="F88" s="304">
        <f>SUM(D88-C88)</f>
        <v>-43.225700000000003</v>
      </c>
    </row>
    <row r="89" spans="1:8" ht="21.75" customHeight="1">
      <c r="A89" s="35" t="s">
        <v>34</v>
      </c>
      <c r="B89" s="268" t="s">
        <v>35</v>
      </c>
      <c r="C89" s="380">
        <v>22153.892</v>
      </c>
      <c r="D89" s="380">
        <v>14133.732480000001</v>
      </c>
      <c r="E89" s="305">
        <f t="shared" ref="E89:E142" si="3">SUM(D89/C89*100)</f>
        <v>63.797965973653746</v>
      </c>
      <c r="F89" s="305">
        <f t="shared" ref="F89:F142" si="4">SUM(D89-C89)</f>
        <v>-8020.1595199999992</v>
      </c>
    </row>
    <row r="90" spans="1:8" ht="19.5" customHeight="1">
      <c r="A90" s="35" t="s">
        <v>36</v>
      </c>
      <c r="B90" s="268" t="s">
        <v>37</v>
      </c>
      <c r="C90" s="380">
        <v>126.8</v>
      </c>
      <c r="D90" s="380">
        <v>0</v>
      </c>
      <c r="E90" s="305">
        <f t="shared" si="3"/>
        <v>0</v>
      </c>
      <c r="F90" s="305">
        <f t="shared" si="4"/>
        <v>-126.8</v>
      </c>
    </row>
    <row r="91" spans="1:8" ht="38.25" customHeight="1">
      <c r="A91" s="35" t="s">
        <v>38</v>
      </c>
      <c r="B91" s="268" t="s">
        <v>39</v>
      </c>
      <c r="C91" s="381">
        <v>5346.16</v>
      </c>
      <c r="D91" s="381">
        <v>3509.20183</v>
      </c>
      <c r="E91" s="305">
        <f t="shared" si="3"/>
        <v>65.63967090397594</v>
      </c>
      <c r="F91" s="305">
        <f t="shared" si="4"/>
        <v>-1836.9581699999999</v>
      </c>
    </row>
    <row r="92" spans="1:8" ht="18.75" customHeight="1">
      <c r="A92" s="35" t="s">
        <v>40</v>
      </c>
      <c r="B92" s="268" t="s">
        <v>41</v>
      </c>
      <c r="C92" s="380">
        <v>90.55</v>
      </c>
      <c r="D92" s="380">
        <v>5</v>
      </c>
      <c r="E92" s="305">
        <f t="shared" si="3"/>
        <v>5.5218111540585308</v>
      </c>
      <c r="F92" s="305">
        <f t="shared" si="4"/>
        <v>-85.55</v>
      </c>
    </row>
    <row r="93" spans="1:8" ht="24.75" customHeight="1">
      <c r="A93" s="35" t="s">
        <v>42</v>
      </c>
      <c r="B93" s="268" t="s">
        <v>43</v>
      </c>
      <c r="C93" s="381">
        <v>490.29899999999998</v>
      </c>
      <c r="D93" s="381">
        <v>0</v>
      </c>
      <c r="E93" s="305">
        <f t="shared" si="3"/>
        <v>0</v>
      </c>
      <c r="F93" s="305">
        <f t="shared" si="4"/>
        <v>-490.29899999999998</v>
      </c>
    </row>
    <row r="94" spans="1:8" ht="24" customHeight="1">
      <c r="A94" s="35" t="s">
        <v>44</v>
      </c>
      <c r="B94" s="268" t="s">
        <v>45</v>
      </c>
      <c r="C94" s="380">
        <v>10531.20012</v>
      </c>
      <c r="D94" s="380">
        <v>5617.9665800000002</v>
      </c>
      <c r="E94" s="305">
        <f t="shared" si="3"/>
        <v>53.345929390619162</v>
      </c>
      <c r="F94" s="305">
        <f t="shared" si="4"/>
        <v>-4913.2335399999993</v>
      </c>
    </row>
    <row r="95" spans="1:8" s="6" customFormat="1" ht="22.5">
      <c r="A95" s="41" t="s">
        <v>46</v>
      </c>
      <c r="B95" s="269" t="s">
        <v>47</v>
      </c>
      <c r="C95" s="299">
        <f>C96</f>
        <v>1781.5</v>
      </c>
      <c r="D95" s="299">
        <f>D96</f>
        <v>1481.77</v>
      </c>
      <c r="E95" s="304">
        <f t="shared" si="3"/>
        <v>83.175413976985695</v>
      </c>
      <c r="F95" s="304">
        <f t="shared" si="4"/>
        <v>-299.73</v>
      </c>
    </row>
    <row r="96" spans="1:8" ht="23.25">
      <c r="A96" s="43" t="s">
        <v>48</v>
      </c>
      <c r="B96" s="270" t="s">
        <v>49</v>
      </c>
      <c r="C96" s="380">
        <v>1781.5</v>
      </c>
      <c r="D96" s="380">
        <v>1481.77</v>
      </c>
      <c r="E96" s="305">
        <f t="shared" si="3"/>
        <v>83.175413976985695</v>
      </c>
      <c r="F96" s="305">
        <f t="shared" si="4"/>
        <v>-299.73</v>
      </c>
    </row>
    <row r="97" spans="1:7" s="6" customFormat="1" ht="21" customHeight="1">
      <c r="A97" s="30" t="s">
        <v>50</v>
      </c>
      <c r="B97" s="266" t="s">
        <v>51</v>
      </c>
      <c r="C97" s="299">
        <f>SUM(C99:C102)</f>
        <v>4702.1330000000007</v>
      </c>
      <c r="D97" s="299">
        <f>SUM(D99:D101)</f>
        <v>2989.4277200000001</v>
      </c>
      <c r="E97" s="304">
        <f t="shared" si="3"/>
        <v>63.575992427266513</v>
      </c>
      <c r="F97" s="304">
        <f t="shared" si="4"/>
        <v>-1712.7052800000006</v>
      </c>
    </row>
    <row r="98" spans="1:7" ht="23.25" hidden="1">
      <c r="A98" s="35" t="s">
        <v>52</v>
      </c>
      <c r="B98" s="268" t="s">
        <v>53</v>
      </c>
      <c r="C98" s="380"/>
      <c r="D98" s="380"/>
      <c r="E98" s="305" t="e">
        <f t="shared" si="3"/>
        <v>#DIV/0!</v>
      </c>
      <c r="F98" s="305">
        <f t="shared" si="4"/>
        <v>0</v>
      </c>
    </row>
    <row r="99" spans="1:7" ht="23.25">
      <c r="A99" s="45" t="s">
        <v>54</v>
      </c>
      <c r="B99" s="268" t="s">
        <v>327</v>
      </c>
      <c r="C99" s="380">
        <v>1582.6</v>
      </c>
      <c r="D99" s="380">
        <v>941.09313999999995</v>
      </c>
      <c r="E99" s="305">
        <f t="shared" si="3"/>
        <v>59.46500315935802</v>
      </c>
      <c r="F99" s="305">
        <f t="shared" si="4"/>
        <v>-641.50685999999996</v>
      </c>
    </row>
    <row r="100" spans="1:7" ht="36.75" customHeight="1">
      <c r="A100" s="46" t="s">
        <v>56</v>
      </c>
      <c r="B100" s="271" t="s">
        <v>57</v>
      </c>
      <c r="C100" s="380">
        <v>3025.4830000000002</v>
      </c>
      <c r="D100" s="380">
        <v>2048.3345800000002</v>
      </c>
      <c r="E100" s="305">
        <f t="shared" si="3"/>
        <v>67.702729779013808</v>
      </c>
      <c r="F100" s="305">
        <f t="shared" si="4"/>
        <v>-977.14841999999999</v>
      </c>
    </row>
    <row r="101" spans="1:7" ht="21" customHeight="1">
      <c r="A101" s="46" t="s">
        <v>219</v>
      </c>
      <c r="B101" s="271" t="s">
        <v>220</v>
      </c>
      <c r="C101" s="380">
        <v>0</v>
      </c>
      <c r="D101" s="380">
        <v>0</v>
      </c>
      <c r="E101" s="305" t="e">
        <f t="shared" si="3"/>
        <v>#DIV/0!</v>
      </c>
      <c r="F101" s="305">
        <f t="shared" si="4"/>
        <v>0</v>
      </c>
    </row>
    <row r="102" spans="1:7" ht="34.5" customHeight="1">
      <c r="A102" s="46" t="s">
        <v>360</v>
      </c>
      <c r="B102" s="271" t="s">
        <v>361</v>
      </c>
      <c r="C102" s="382">
        <v>94.05</v>
      </c>
      <c r="D102" s="380">
        <v>0</v>
      </c>
      <c r="E102" s="305">
        <f t="shared" si="3"/>
        <v>0</v>
      </c>
      <c r="F102" s="305">
        <f t="shared" si="4"/>
        <v>-94.05</v>
      </c>
    </row>
    <row r="103" spans="1:7" s="6" customFormat="1" ht="25.5" customHeight="1">
      <c r="A103" s="30" t="s">
        <v>58</v>
      </c>
      <c r="B103" s="266" t="s">
        <v>59</v>
      </c>
      <c r="C103" s="383">
        <f>SUM(C105:C107)</f>
        <v>163466.815</v>
      </c>
      <c r="D103" s="383">
        <f>SUM(D105:D107)</f>
        <v>95876.811900000001</v>
      </c>
      <c r="E103" s="304">
        <f t="shared" si="3"/>
        <v>58.652156341334482</v>
      </c>
      <c r="F103" s="304">
        <f t="shared" si="4"/>
        <v>-67590.003100000002</v>
      </c>
    </row>
    <row r="104" spans="1:7" ht="0.75" hidden="1" customHeight="1">
      <c r="A104" s="35" t="s">
        <v>60</v>
      </c>
      <c r="B104" s="268" t="s">
        <v>61</v>
      </c>
      <c r="C104" s="384">
        <v>0</v>
      </c>
      <c r="D104" s="380">
        <v>0</v>
      </c>
      <c r="E104" s="305" t="e">
        <f t="shared" si="3"/>
        <v>#DIV/0!</v>
      </c>
      <c r="F104" s="305">
        <f t="shared" si="4"/>
        <v>0</v>
      </c>
    </row>
    <row r="105" spans="1:7" s="6" customFormat="1" ht="20.25" customHeight="1">
      <c r="A105" s="35" t="s">
        <v>60</v>
      </c>
      <c r="B105" s="268" t="s">
        <v>324</v>
      </c>
      <c r="C105" s="384">
        <v>112.1</v>
      </c>
      <c r="D105" s="380">
        <v>34.670999999999999</v>
      </c>
      <c r="E105" s="305">
        <f t="shared" si="3"/>
        <v>30.928635147190008</v>
      </c>
      <c r="F105" s="305">
        <f t="shared" si="4"/>
        <v>-77.429000000000002</v>
      </c>
      <c r="G105" s="50"/>
    </row>
    <row r="106" spans="1:7" ht="26.25" customHeight="1">
      <c r="A106" s="35" t="s">
        <v>64</v>
      </c>
      <c r="B106" s="268" t="s">
        <v>65</v>
      </c>
      <c r="C106" s="384">
        <v>162254.399</v>
      </c>
      <c r="D106" s="380">
        <v>94854.405700000003</v>
      </c>
      <c r="E106" s="305">
        <f t="shared" si="3"/>
        <v>58.460298324484874</v>
      </c>
      <c r="F106" s="305">
        <f t="shared" si="4"/>
        <v>-67399.993300000002</v>
      </c>
    </row>
    <row r="107" spans="1:7" ht="38.25">
      <c r="A107" s="35" t="s">
        <v>66</v>
      </c>
      <c r="B107" s="268" t="s">
        <v>67</v>
      </c>
      <c r="C107" s="384">
        <v>1100.316</v>
      </c>
      <c r="D107" s="380">
        <v>987.73519999999996</v>
      </c>
      <c r="E107" s="305">
        <f t="shared" si="3"/>
        <v>89.768321100483845</v>
      </c>
      <c r="F107" s="305">
        <f t="shared" si="4"/>
        <v>-112.58080000000007</v>
      </c>
    </row>
    <row r="108" spans="1:7" s="6" customFormat="1" ht="37.5">
      <c r="A108" s="30" t="s">
        <v>68</v>
      </c>
      <c r="B108" s="266" t="s">
        <v>69</v>
      </c>
      <c r="C108" s="299">
        <f>SUM(C109:C111)</f>
        <v>9561.2921499999993</v>
      </c>
      <c r="D108" s="299">
        <f>SUM(D109:D111)</f>
        <v>293.70533999999998</v>
      </c>
      <c r="E108" s="304">
        <f t="shared" si="3"/>
        <v>3.071816396699059</v>
      </c>
      <c r="F108" s="304">
        <f t="shared" si="4"/>
        <v>-9267.5868099999989</v>
      </c>
    </row>
    <row r="109" spans="1:7" ht="23.25">
      <c r="A109" s="35" t="s">
        <v>70</v>
      </c>
      <c r="B109" s="272" t="s">
        <v>71</v>
      </c>
      <c r="C109" s="380">
        <v>1577.10176</v>
      </c>
      <c r="D109" s="380">
        <v>291.20533999999998</v>
      </c>
      <c r="E109" s="305">
        <f t="shared" si="3"/>
        <v>18.464587852593606</v>
      </c>
      <c r="F109" s="305">
        <f t="shared" si="4"/>
        <v>-1285.89642</v>
      </c>
    </row>
    <row r="110" spans="1:7" ht="23.25" customHeight="1">
      <c r="A110" s="35" t="s">
        <v>72</v>
      </c>
      <c r="B110" s="272" t="s">
        <v>73</v>
      </c>
      <c r="C110" s="380">
        <v>7984.1903899999998</v>
      </c>
      <c r="D110" s="380">
        <v>2.5</v>
      </c>
      <c r="E110" s="305">
        <f t="shared" si="3"/>
        <v>3.1311878573576951E-2</v>
      </c>
      <c r="F110" s="305">
        <f t="shared" si="4"/>
        <v>-7981.6903899999998</v>
      </c>
    </row>
    <row r="111" spans="1:7" ht="19.5" customHeight="1">
      <c r="A111" s="35" t="s">
        <v>74</v>
      </c>
      <c r="B111" s="268" t="s">
        <v>75</v>
      </c>
      <c r="C111" s="380">
        <v>0</v>
      </c>
      <c r="D111" s="380">
        <v>0</v>
      </c>
      <c r="E111" s="305" t="e">
        <f t="shared" si="3"/>
        <v>#DIV/0!</v>
      </c>
      <c r="F111" s="305">
        <f t="shared" si="4"/>
        <v>0</v>
      </c>
    </row>
    <row r="112" spans="1:7" s="6" customFormat="1" ht="22.5">
      <c r="A112" s="30" t="s">
        <v>76</v>
      </c>
      <c r="B112" s="273" t="s">
        <v>77</v>
      </c>
      <c r="C112" s="383">
        <f>SUM(C113)</f>
        <v>51</v>
      </c>
      <c r="D112" s="383">
        <f>SUM(D113)</f>
        <v>51</v>
      </c>
      <c r="E112" s="304">
        <f t="shared" si="3"/>
        <v>100</v>
      </c>
      <c r="F112" s="304">
        <f t="shared" si="4"/>
        <v>0</v>
      </c>
    </row>
    <row r="113" spans="1:7" ht="38.25">
      <c r="A113" s="35" t="s">
        <v>78</v>
      </c>
      <c r="B113" s="272" t="s">
        <v>79</v>
      </c>
      <c r="C113" s="305">
        <v>51</v>
      </c>
      <c r="D113" s="381">
        <v>51</v>
      </c>
      <c r="E113" s="305">
        <f t="shared" si="3"/>
        <v>100</v>
      </c>
      <c r="F113" s="305">
        <f t="shared" si="4"/>
        <v>0</v>
      </c>
    </row>
    <row r="114" spans="1:7" s="6" customFormat="1" ht="22.5">
      <c r="A114" s="30" t="s">
        <v>80</v>
      </c>
      <c r="B114" s="273" t="s">
        <v>81</v>
      </c>
      <c r="C114" s="383">
        <f>SUM(C115:C119)</f>
        <v>414679.25238999998</v>
      </c>
      <c r="D114" s="383">
        <f>D115+D116+D118+D119+D117</f>
        <v>256639.08021999997</v>
      </c>
      <c r="E114" s="304">
        <f t="shared" si="3"/>
        <v>61.888575022951606</v>
      </c>
      <c r="F114" s="304">
        <f t="shared" si="4"/>
        <v>-158040.17217000001</v>
      </c>
    </row>
    <row r="115" spans="1:7" ht="23.25">
      <c r="A115" s="35" t="s">
        <v>82</v>
      </c>
      <c r="B115" s="272" t="s">
        <v>258</v>
      </c>
      <c r="C115" s="384">
        <v>94366.231979999997</v>
      </c>
      <c r="D115" s="380">
        <v>59290.944159999999</v>
      </c>
      <c r="E115" s="305">
        <f t="shared" si="3"/>
        <v>62.830678851907685</v>
      </c>
      <c r="F115" s="305">
        <f t="shared" si="4"/>
        <v>-35075.287819999998</v>
      </c>
    </row>
    <row r="116" spans="1:7" ht="23.25">
      <c r="A116" s="35" t="s">
        <v>83</v>
      </c>
      <c r="B116" s="272" t="s">
        <v>259</v>
      </c>
      <c r="C116" s="384">
        <v>288396.30241</v>
      </c>
      <c r="D116" s="380">
        <v>176006.05437999999</v>
      </c>
      <c r="E116" s="305">
        <f t="shared" si="3"/>
        <v>61.029234046759775</v>
      </c>
      <c r="F116" s="305">
        <f t="shared" si="4"/>
        <v>-112390.24803000002</v>
      </c>
    </row>
    <row r="117" spans="1:7" ht="23.25">
      <c r="A117" s="35" t="s">
        <v>335</v>
      </c>
      <c r="B117" s="272" t="s">
        <v>336</v>
      </c>
      <c r="C117" s="384">
        <v>18536.2</v>
      </c>
      <c r="D117" s="380">
        <v>11374.884</v>
      </c>
      <c r="E117" s="305">
        <f t="shared" si="3"/>
        <v>61.365781551774369</v>
      </c>
      <c r="F117" s="305">
        <f t="shared" si="4"/>
        <v>-7161.3160000000007</v>
      </c>
    </row>
    <row r="118" spans="1:7" ht="23.25">
      <c r="A118" s="35" t="s">
        <v>84</v>
      </c>
      <c r="B118" s="272" t="s">
        <v>260</v>
      </c>
      <c r="C118" s="384">
        <v>5226.518</v>
      </c>
      <c r="D118" s="380">
        <v>4751.2239200000004</v>
      </c>
      <c r="E118" s="305">
        <f t="shared" si="3"/>
        <v>90.906104599658903</v>
      </c>
      <c r="F118" s="305">
        <f t="shared" si="4"/>
        <v>-475.29407999999967</v>
      </c>
    </row>
    <row r="119" spans="1:7" ht="23.25">
      <c r="A119" s="35" t="s">
        <v>85</v>
      </c>
      <c r="B119" s="272" t="s">
        <v>261</v>
      </c>
      <c r="C119" s="384">
        <v>8154</v>
      </c>
      <c r="D119" s="380">
        <v>5215.9737599999999</v>
      </c>
      <c r="E119" s="305">
        <f t="shared" si="3"/>
        <v>63.968282560706399</v>
      </c>
      <c r="F119" s="305">
        <f t="shared" si="4"/>
        <v>-2938.0262400000001</v>
      </c>
    </row>
    <row r="120" spans="1:7" s="6" customFormat="1" ht="22.5">
      <c r="A120" s="30" t="s">
        <v>86</v>
      </c>
      <c r="B120" s="266" t="s">
        <v>87</v>
      </c>
      <c r="C120" s="299">
        <f>SUM(C121:C122)</f>
        <v>48880.600429999999</v>
      </c>
      <c r="D120" s="299">
        <f>SUM(D121:D122)</f>
        <v>29104.85526</v>
      </c>
      <c r="E120" s="304">
        <f t="shared" si="3"/>
        <v>59.542753165808449</v>
      </c>
      <c r="F120" s="304">
        <f t="shared" si="4"/>
        <v>-19775.745169999998</v>
      </c>
    </row>
    <row r="121" spans="1:7" ht="23.25">
      <c r="A121" s="35" t="s">
        <v>88</v>
      </c>
      <c r="B121" s="268" t="s">
        <v>234</v>
      </c>
      <c r="C121" s="380">
        <v>47800.600429999999</v>
      </c>
      <c r="D121" s="380">
        <v>28338.831819999999</v>
      </c>
      <c r="E121" s="305">
        <f t="shared" si="3"/>
        <v>59.285514334699329</v>
      </c>
      <c r="F121" s="305">
        <f t="shared" si="4"/>
        <v>-19461.768609999999</v>
      </c>
    </row>
    <row r="122" spans="1:7" ht="38.25">
      <c r="A122" s="35" t="s">
        <v>273</v>
      </c>
      <c r="B122" s="268" t="s">
        <v>274</v>
      </c>
      <c r="C122" s="380">
        <v>1080</v>
      </c>
      <c r="D122" s="380">
        <v>766.02344000000005</v>
      </c>
      <c r="E122" s="305">
        <f t="shared" si="3"/>
        <v>70.928096296296303</v>
      </c>
      <c r="F122" s="305">
        <f t="shared" si="4"/>
        <v>-313.97655999999995</v>
      </c>
    </row>
    <row r="123" spans="1:7" s="6" customFormat="1" ht="22.5">
      <c r="A123" s="52">
        <v>1000</v>
      </c>
      <c r="B123" s="266" t="s">
        <v>89</v>
      </c>
      <c r="C123" s="299">
        <f>SUM(C124:C127)</f>
        <v>31600.215459999996</v>
      </c>
      <c r="D123" s="385">
        <f>D124+D125+D126+D127</f>
        <v>10896.3483</v>
      </c>
      <c r="E123" s="304">
        <f t="shared" si="3"/>
        <v>34.481879763740068</v>
      </c>
      <c r="F123" s="304">
        <f t="shared" si="4"/>
        <v>-20703.867159999994</v>
      </c>
      <c r="G123" s="94"/>
    </row>
    <row r="124" spans="1:7" ht="23.25">
      <c r="A124" s="53">
        <v>1001</v>
      </c>
      <c r="B124" s="274" t="s">
        <v>90</v>
      </c>
      <c r="C124" s="380">
        <v>20</v>
      </c>
      <c r="D124" s="380">
        <v>19.967669999999998</v>
      </c>
      <c r="E124" s="305">
        <f t="shared" si="3"/>
        <v>99.838349999999991</v>
      </c>
      <c r="F124" s="305">
        <f t="shared" si="4"/>
        <v>-3.2330000000001746E-2</v>
      </c>
    </row>
    <row r="125" spans="1:7" ht="23.25">
      <c r="A125" s="53">
        <v>1003</v>
      </c>
      <c r="B125" s="274" t="s">
        <v>91</v>
      </c>
      <c r="C125" s="380">
        <v>26410.543389999999</v>
      </c>
      <c r="D125" s="380">
        <v>9339.2626199999995</v>
      </c>
      <c r="E125" s="305">
        <f t="shared" si="3"/>
        <v>35.361872272329649</v>
      </c>
      <c r="F125" s="305">
        <f t="shared" si="4"/>
        <v>-17071.280769999998</v>
      </c>
    </row>
    <row r="126" spans="1:7" ht="23.25">
      <c r="A126" s="53">
        <v>1004</v>
      </c>
      <c r="B126" s="274" t="s">
        <v>92</v>
      </c>
      <c r="C126" s="380">
        <v>4817.8770699999995</v>
      </c>
      <c r="D126" s="386">
        <v>1458.0827999999999</v>
      </c>
      <c r="E126" s="305">
        <f t="shared" si="3"/>
        <v>30.264010036271017</v>
      </c>
      <c r="F126" s="305">
        <f t="shared" si="4"/>
        <v>-3359.7942699999994</v>
      </c>
    </row>
    <row r="127" spans="1:7" ht="24.75" customHeight="1">
      <c r="A127" s="35" t="s">
        <v>93</v>
      </c>
      <c r="B127" s="268" t="s">
        <v>94</v>
      </c>
      <c r="C127" s="380">
        <v>351.79500000000002</v>
      </c>
      <c r="D127" s="380">
        <v>79.035210000000006</v>
      </c>
      <c r="E127" s="305">
        <f t="shared" si="3"/>
        <v>22.466268707628025</v>
      </c>
      <c r="F127" s="305">
        <f t="shared" si="4"/>
        <v>-272.75979000000001</v>
      </c>
    </row>
    <row r="128" spans="1:7" ht="23.25">
      <c r="A128" s="30" t="s">
        <v>95</v>
      </c>
      <c r="B128" s="266" t="s">
        <v>96</v>
      </c>
      <c r="C128" s="299">
        <f>C129+C130</f>
        <v>5760.3426099999997</v>
      </c>
      <c r="D128" s="299">
        <f>D129+D130</f>
        <v>4063.3499000000002</v>
      </c>
      <c r="E128" s="305">
        <f t="shared" si="3"/>
        <v>70.540073309979746</v>
      </c>
      <c r="F128" s="299">
        <f>F129+F130+F131+F132+F133</f>
        <v>-1696.9927099999998</v>
      </c>
    </row>
    <row r="129" spans="1:7" ht="23.25">
      <c r="A129" s="35" t="s">
        <v>97</v>
      </c>
      <c r="B129" s="268" t="s">
        <v>98</v>
      </c>
      <c r="C129" s="380">
        <v>400</v>
      </c>
      <c r="D129" s="380">
        <v>210.86789999999999</v>
      </c>
      <c r="E129" s="305">
        <f t="shared" si="3"/>
        <v>52.716974999999998</v>
      </c>
      <c r="F129" s="305">
        <f t="shared" ref="F129:F137" si="5">SUM(D129-C129)</f>
        <v>-189.13210000000001</v>
      </c>
    </row>
    <row r="130" spans="1:7" ht="20.25" customHeight="1">
      <c r="A130" s="35" t="s">
        <v>99</v>
      </c>
      <c r="B130" s="268" t="s">
        <v>100</v>
      </c>
      <c r="C130" s="380">
        <v>5360.3426099999997</v>
      </c>
      <c r="D130" s="380">
        <v>3852.482</v>
      </c>
      <c r="E130" s="305">
        <f t="shared" si="3"/>
        <v>71.870070260303748</v>
      </c>
      <c r="F130" s="305">
        <f t="shared" si="5"/>
        <v>-1507.8606099999997</v>
      </c>
    </row>
    <row r="131" spans="1:7" ht="15.75" hidden="1" customHeight="1">
      <c r="A131" s="35" t="s">
        <v>101</v>
      </c>
      <c r="B131" s="268" t="s">
        <v>102</v>
      </c>
      <c r="C131" s="380">
        <f>SUM(C121:C122)</f>
        <v>48880.600429999999</v>
      </c>
      <c r="D131" s="380"/>
      <c r="E131" s="305">
        <f t="shared" si="3"/>
        <v>0</v>
      </c>
      <c r="F131" s="305"/>
    </row>
    <row r="132" spans="1:7" ht="15.75" hidden="1" customHeight="1">
      <c r="A132" s="35" t="s">
        <v>103</v>
      </c>
      <c r="B132" s="268" t="s">
        <v>104</v>
      </c>
      <c r="C132" s="380"/>
      <c r="D132" s="380"/>
      <c r="E132" s="305" t="e">
        <f t="shared" si="3"/>
        <v>#DIV/0!</v>
      </c>
      <c r="F132" s="305"/>
    </row>
    <row r="133" spans="1:7" ht="15.75" hidden="1" customHeight="1">
      <c r="A133" s="35" t="s">
        <v>105</v>
      </c>
      <c r="B133" s="268" t="s">
        <v>106</v>
      </c>
      <c r="C133" s="380"/>
      <c r="D133" s="380"/>
      <c r="E133" s="305" t="e">
        <f t="shared" si="3"/>
        <v>#DIV/0!</v>
      </c>
      <c r="F133" s="305"/>
    </row>
    <row r="134" spans="1:7" ht="20.25" customHeight="1">
      <c r="A134" s="30" t="s">
        <v>107</v>
      </c>
      <c r="B134" s="266" t="s">
        <v>108</v>
      </c>
      <c r="C134" s="299">
        <f>C135</f>
        <v>80</v>
      </c>
      <c r="D134" s="387">
        <f>D135</f>
        <v>0.65</v>
      </c>
      <c r="E134" s="305">
        <f>SUM(D134/C134*100)</f>
        <v>0.8125</v>
      </c>
      <c r="F134" s="305">
        <f t="shared" si="5"/>
        <v>-79.349999999999994</v>
      </c>
    </row>
    <row r="135" spans="1:7" ht="22.5" customHeight="1">
      <c r="A135" s="35" t="s">
        <v>109</v>
      </c>
      <c r="B135" s="268" t="s">
        <v>110</v>
      </c>
      <c r="C135" s="380">
        <v>80</v>
      </c>
      <c r="D135" s="380">
        <v>0.65</v>
      </c>
      <c r="E135" s="305">
        <f t="shared" si="3"/>
        <v>0.8125</v>
      </c>
      <c r="F135" s="305">
        <f t="shared" si="5"/>
        <v>-79.349999999999994</v>
      </c>
    </row>
    <row r="136" spans="1:7" ht="19.5" hidden="1" customHeight="1">
      <c r="A136" s="30" t="s">
        <v>111</v>
      </c>
      <c r="B136" s="269" t="s">
        <v>112</v>
      </c>
      <c r="C136" s="388">
        <f>C137</f>
        <v>0</v>
      </c>
      <c r="D136" s="388">
        <v>0</v>
      </c>
      <c r="E136" s="305" t="e">
        <f t="shared" si="3"/>
        <v>#DIV/0!</v>
      </c>
      <c r="F136" s="304">
        <f t="shared" si="5"/>
        <v>0</v>
      </c>
    </row>
    <row r="137" spans="1:7" ht="37.5" hidden="1" customHeight="1">
      <c r="A137" s="35" t="s">
        <v>113</v>
      </c>
      <c r="B137" s="270" t="s">
        <v>114</v>
      </c>
      <c r="C137" s="381">
        <v>0</v>
      </c>
      <c r="D137" s="381">
        <v>0</v>
      </c>
      <c r="E137" s="304"/>
      <c r="F137" s="305">
        <f t="shared" si="5"/>
        <v>0</v>
      </c>
    </row>
    <row r="138" spans="1:7" s="6" customFormat="1" ht="19.5" customHeight="1">
      <c r="A138" s="52">
        <v>1400</v>
      </c>
      <c r="B138" s="275" t="s">
        <v>115</v>
      </c>
      <c r="C138" s="383">
        <f>C139+C140+C141</f>
        <v>34654.699000000001</v>
      </c>
      <c r="D138" s="383">
        <f>D139+D140+D141</f>
        <v>23567.23</v>
      </c>
      <c r="E138" s="304">
        <f t="shared" si="3"/>
        <v>68.005871296126386</v>
      </c>
      <c r="F138" s="304">
        <f t="shared" si="4"/>
        <v>-11087.469000000001</v>
      </c>
    </row>
    <row r="139" spans="1:7" ht="40.5" customHeight="1">
      <c r="A139" s="53">
        <v>1401</v>
      </c>
      <c r="B139" s="274" t="s">
        <v>116</v>
      </c>
      <c r="C139" s="384">
        <v>28169.9</v>
      </c>
      <c r="D139" s="380">
        <v>21225.200000000001</v>
      </c>
      <c r="E139" s="305">
        <f t="shared" si="3"/>
        <v>75.347090334008996</v>
      </c>
      <c r="F139" s="305">
        <f t="shared" si="4"/>
        <v>-6944.7000000000007</v>
      </c>
    </row>
    <row r="140" spans="1:7" ht="24.75" customHeight="1">
      <c r="A140" s="53">
        <v>1402</v>
      </c>
      <c r="B140" s="274" t="s">
        <v>117</v>
      </c>
      <c r="C140" s="384">
        <v>5528.299</v>
      </c>
      <c r="D140" s="380">
        <v>1931.5</v>
      </c>
      <c r="E140" s="305">
        <f t="shared" si="3"/>
        <v>34.938414148728206</v>
      </c>
      <c r="F140" s="305">
        <f t="shared" si="4"/>
        <v>-3596.799</v>
      </c>
    </row>
    <row r="141" spans="1:7" ht="27" customHeight="1">
      <c r="A141" s="53">
        <v>1403</v>
      </c>
      <c r="B141" s="274" t="s">
        <v>118</v>
      </c>
      <c r="C141" s="384">
        <v>956.5</v>
      </c>
      <c r="D141" s="380">
        <v>410.53</v>
      </c>
      <c r="E141" s="305">
        <f t="shared" si="3"/>
        <v>42.920020909566126</v>
      </c>
      <c r="F141" s="305">
        <f t="shared" si="4"/>
        <v>-545.97</v>
      </c>
    </row>
    <row r="142" spans="1:7" s="6" customFormat="1" ht="22.5">
      <c r="A142" s="52"/>
      <c r="B142" s="276" t="s">
        <v>119</v>
      </c>
      <c r="C142" s="376">
        <f>C87+C95+C97+C103+C108+C112+C114+C120+C123+C128+C134+C136+C138</f>
        <v>754006.75115999999</v>
      </c>
      <c r="D142" s="376">
        <f>D87+D95+D97+D103+D108+D112+D114+D120+D123+D128+D134+D136+D138</f>
        <v>448236.90382999997</v>
      </c>
      <c r="E142" s="304">
        <f t="shared" si="3"/>
        <v>59.447332950323187</v>
      </c>
      <c r="F142" s="304">
        <f t="shared" si="4"/>
        <v>-305769.84733000002</v>
      </c>
      <c r="G142" s="94"/>
    </row>
    <row r="143" spans="1:7">
      <c r="C143" s="389"/>
      <c r="D143" s="390"/>
    </row>
    <row r="144" spans="1:7" s="65" customFormat="1" ht="12.75">
      <c r="A144" s="63" t="s">
        <v>120</v>
      </c>
      <c r="B144" s="63"/>
      <c r="C144" s="134"/>
      <c r="D144" s="134"/>
    </row>
    <row r="145" spans="1:4" s="65" customFormat="1" ht="12.75">
      <c r="A145" s="66" t="s">
        <v>121</v>
      </c>
      <c r="B145" s="66"/>
      <c r="C145" s="134" t="s">
        <v>122</v>
      </c>
      <c r="D145" s="134"/>
    </row>
  </sheetData>
  <customSheetViews>
    <customSheetView guid="{D9DF2AB9-CCB8-40C7-9C85-E4DDD4810EEF}" scale="60" showPageBreaks="1" hiddenRows="1" view="pageBreakPreview" topLeftCell="A103">
      <selection activeCell="C71" sqref="C71:D72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2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3"/>
      <headerFooter alignWithMargins="0"/>
    </customSheetView>
    <customSheetView guid="{5BFCA170-DEAE-4D2C-98A0-1E68B427AC01}" scale="67" showPageBreaks="1" hiddenRows="1" view="pageBreakPreview" topLeftCell="A121">
      <selection activeCell="D86" sqref="D86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B30CE22D-C12F-4E12-8BB9-3AAE0A6991CC}" scale="60" showPageBreaks="1" hiddenRows="1" view="pageBreakPreview">
      <selection activeCell="A3" sqref="A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5"/>
      <headerFooter alignWithMargins="0"/>
    </customSheetView>
    <customSheetView guid="{A54C432C-6C68-4B53-A75C-446EB3A61B2B}" scale="60" showPageBreaks="1" hiddenRows="1" view="pageBreakPreview" topLeftCell="A103">
      <selection activeCell="C71" sqref="C71:D72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7"/>
  <headerFooter alignWithMargins="0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1"/>
  <sheetViews>
    <sheetView view="pageBreakPreview" topLeftCell="A54" zoomScale="70" zoomScaleNormal="100" zoomScaleSheetLayoutView="70" workbookViewId="0">
      <selection activeCell="C93" sqref="C93:D9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446" t="s">
        <v>416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536.89</v>
      </c>
      <c r="D4" s="5">
        <f>D5+D12+D14+D17+D20+D7</f>
        <v>300.65947000000006</v>
      </c>
      <c r="E4" s="5">
        <f>SUM(D4/C4*100)</f>
        <v>56.000199295945173</v>
      </c>
      <c r="F4" s="5">
        <f>SUM(D4-C4)</f>
        <v>-236.23052999999993</v>
      </c>
    </row>
    <row r="5" spans="1:6" s="6" customFormat="1">
      <c r="A5" s="68">
        <v>1010000000</v>
      </c>
      <c r="B5" s="67" t="s">
        <v>6</v>
      </c>
      <c r="C5" s="5">
        <f>C6</f>
        <v>59</v>
      </c>
      <c r="D5" s="5">
        <f>D6</f>
        <v>41.475700000000003</v>
      </c>
      <c r="E5" s="5">
        <f t="shared" ref="E5:E47" si="0">SUM(D5/C5*100)</f>
        <v>70.297796610169499</v>
      </c>
      <c r="F5" s="5">
        <f t="shared" ref="F5:F47" si="1">SUM(D5-C5)</f>
        <v>-17.524299999999997</v>
      </c>
    </row>
    <row r="6" spans="1:6">
      <c r="A6" s="7">
        <v>1010200001</v>
      </c>
      <c r="B6" s="8" t="s">
        <v>229</v>
      </c>
      <c r="C6" s="9">
        <v>59</v>
      </c>
      <c r="D6" s="10">
        <v>41.475700000000003</v>
      </c>
      <c r="E6" s="9">
        <f t="shared" ref="E6:E11" si="2">SUM(D6/C6*100)</f>
        <v>70.297796610169499</v>
      </c>
      <c r="F6" s="9">
        <f t="shared" si="1"/>
        <v>-17.524299999999997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148.66157000000001</v>
      </c>
      <c r="E7" s="9">
        <f t="shared" si="2"/>
        <v>67.607244531356585</v>
      </c>
      <c r="F7" s="9">
        <f t="shared" si="1"/>
        <v>-71.228429999999975</v>
      </c>
    </row>
    <row r="8" spans="1:6">
      <c r="A8" s="7">
        <v>1030223001</v>
      </c>
      <c r="B8" s="8" t="s">
        <v>283</v>
      </c>
      <c r="C8" s="9">
        <v>82.02</v>
      </c>
      <c r="D8" s="10">
        <v>64.877650000000003</v>
      </c>
      <c r="E8" s="9">
        <f t="shared" si="2"/>
        <v>79.099792733479646</v>
      </c>
      <c r="F8" s="9">
        <f t="shared" si="1"/>
        <v>-17.142349999999993</v>
      </c>
    </row>
    <row r="9" spans="1:6">
      <c r="A9" s="7">
        <v>1030224001</v>
      </c>
      <c r="B9" s="8" t="s">
        <v>287</v>
      </c>
      <c r="C9" s="9">
        <v>0.88</v>
      </c>
      <c r="D9" s="10">
        <v>0.55586999999999998</v>
      </c>
      <c r="E9" s="9">
        <f t="shared" si="2"/>
        <v>63.167045454545459</v>
      </c>
      <c r="F9" s="9">
        <f t="shared" si="1"/>
        <v>-0.32413000000000003</v>
      </c>
    </row>
    <row r="10" spans="1:6">
      <c r="A10" s="7">
        <v>1030225001</v>
      </c>
      <c r="B10" s="8" t="s">
        <v>282</v>
      </c>
      <c r="C10" s="9">
        <v>136.99</v>
      </c>
      <c r="D10" s="10">
        <v>98.353139999999996</v>
      </c>
      <c r="E10" s="9">
        <f t="shared" si="2"/>
        <v>71.795853711949775</v>
      </c>
      <c r="F10" s="9">
        <f t="shared" si="1"/>
        <v>-38.636860000000013</v>
      </c>
    </row>
    <row r="11" spans="1:6">
      <c r="A11" s="7">
        <v>1030226001</v>
      </c>
      <c r="B11" s="8" t="s">
        <v>288</v>
      </c>
      <c r="C11" s="9">
        <v>0</v>
      </c>
      <c r="D11" s="10">
        <v>-15.12509</v>
      </c>
      <c r="E11" s="9" t="e">
        <f t="shared" si="2"/>
        <v>#DIV/0!</v>
      </c>
      <c r="F11" s="9">
        <f t="shared" si="1"/>
        <v>-15.12509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106.82220000000001</v>
      </c>
      <c r="E14" s="5">
        <f t="shared" si="0"/>
        <v>42.728880000000004</v>
      </c>
      <c r="F14" s="5">
        <f t="shared" si="1"/>
        <v>-143.17779999999999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12.642569999999999</v>
      </c>
      <c r="E15" s="9">
        <f t="shared" si="0"/>
        <v>31.606424999999998</v>
      </c>
      <c r="F15" s="9">
        <f>SUM(D15-C15)</f>
        <v>-27.357430000000001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94.179630000000003</v>
      </c>
      <c r="E16" s="9">
        <f t="shared" si="0"/>
        <v>44.847442857142859</v>
      </c>
      <c r="F16" s="9">
        <f t="shared" si="1"/>
        <v>-115.82037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3.7</v>
      </c>
      <c r="E17" s="9">
        <f t="shared" si="0"/>
        <v>123.33333333333334</v>
      </c>
      <c r="F17" s="5">
        <f t="shared" si="1"/>
        <v>0.70000000000000018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3.7</v>
      </c>
      <c r="E18" s="9">
        <f t="shared" si="0"/>
        <v>123.33333333333334</v>
      </c>
      <c r="F18" s="9">
        <f t="shared" si="1"/>
        <v>0.70000000000000018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42.150399999999998</v>
      </c>
      <c r="E25" s="5">
        <f t="shared" si="0"/>
        <v>75.268571428571434</v>
      </c>
      <c r="F25" s="5">
        <f t="shared" si="1"/>
        <v>-13.849600000000002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 hidden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hidden="1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hidden="1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5">
        <f>D35+D36</f>
        <v>42.150399999999998</v>
      </c>
      <c r="E34" s="9" t="e">
        <f t="shared" si="0"/>
        <v>#DIV/0!</v>
      </c>
      <c r="F34" s="5">
        <f t="shared" si="1"/>
        <v>42.150399999999998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42.150399999999998</v>
      </c>
      <c r="E35" s="9" t="e">
        <f t="shared" si="0"/>
        <v>#DIV/0!</v>
      </c>
      <c r="F35" s="9">
        <f t="shared" si="1"/>
        <v>42.150399999999998</v>
      </c>
    </row>
    <row r="36" spans="1:11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592.89</v>
      </c>
      <c r="D37" s="127">
        <f>SUM(D4,D25)</f>
        <v>342.80987000000005</v>
      </c>
      <c r="E37" s="5">
        <f t="shared" si="0"/>
        <v>57.820147076186146</v>
      </c>
      <c r="F37" s="5">
        <f t="shared" si="1"/>
        <v>-250.08012999999994</v>
      </c>
    </row>
    <row r="38" spans="1:11" s="6" customFormat="1">
      <c r="A38" s="3">
        <v>2000000000</v>
      </c>
      <c r="B38" s="4" t="s">
        <v>20</v>
      </c>
      <c r="C38" s="281">
        <f>C39+C40+C41+C42+C43+C44</f>
        <v>2672.2220000000002</v>
      </c>
      <c r="D38" s="281">
        <f>D39+D40+D41+D42+D43+D45</f>
        <v>2077.62041</v>
      </c>
      <c r="E38" s="5">
        <f t="shared" si="0"/>
        <v>77.748795197405002</v>
      </c>
      <c r="F38" s="5">
        <f t="shared" si="1"/>
        <v>-594.60159000000021</v>
      </c>
      <c r="G38" s="19"/>
    </row>
    <row r="39" spans="1:11">
      <c r="A39" s="16">
        <v>2021000000</v>
      </c>
      <c r="B39" s="17" t="s">
        <v>21</v>
      </c>
      <c r="C39" s="337">
        <v>1200.0540000000001</v>
      </c>
      <c r="D39" s="20">
        <v>870.10199999999998</v>
      </c>
      <c r="E39" s="9">
        <f t="shared" si="0"/>
        <v>72.5052372643231</v>
      </c>
      <c r="F39" s="9">
        <f t="shared" si="1"/>
        <v>-329.95200000000011</v>
      </c>
    </row>
    <row r="40" spans="1:11">
      <c r="A40" s="16">
        <v>2021500200</v>
      </c>
      <c r="B40" s="17" t="s">
        <v>232</v>
      </c>
      <c r="C40" s="334">
        <v>746.60500000000002</v>
      </c>
      <c r="D40" s="20">
        <v>585</v>
      </c>
      <c r="E40" s="9">
        <f>SUM(D40/C40*100)</f>
        <v>78.354685543225671</v>
      </c>
      <c r="F40" s="9">
        <f>SUM(D40-C40)</f>
        <v>-161.60500000000002</v>
      </c>
    </row>
    <row r="41" spans="1:11">
      <c r="A41" s="16">
        <v>2022000000</v>
      </c>
      <c r="B41" s="17" t="s">
        <v>22</v>
      </c>
      <c r="C41" s="334">
        <v>512.58699999999999</v>
      </c>
      <c r="D41" s="10">
        <v>432.38</v>
      </c>
      <c r="E41" s="9">
        <f t="shared" si="0"/>
        <v>84.352509915389973</v>
      </c>
      <c r="F41" s="9">
        <f t="shared" si="1"/>
        <v>-80.206999999999994</v>
      </c>
    </row>
    <row r="42" spans="1:11" ht="19.5" customHeight="1">
      <c r="A42" s="16">
        <v>2023000000</v>
      </c>
      <c r="B42" s="17" t="s">
        <v>23</v>
      </c>
      <c r="C42" s="334">
        <f>2.38+70.596</f>
        <v>72.975999999999999</v>
      </c>
      <c r="D42" s="252">
        <v>59.305999999999997</v>
      </c>
      <c r="E42" s="9">
        <f t="shared" si="0"/>
        <v>81.267814075860556</v>
      </c>
      <c r="F42" s="9">
        <f t="shared" si="1"/>
        <v>-13.670000000000002</v>
      </c>
    </row>
    <row r="43" spans="1:11">
      <c r="A43" s="7">
        <v>2070500010</v>
      </c>
      <c r="B43" s="17" t="s">
        <v>359</v>
      </c>
      <c r="C43" s="334">
        <v>140</v>
      </c>
      <c r="D43" s="253">
        <v>133</v>
      </c>
      <c r="E43" s="9">
        <f t="shared" si="0"/>
        <v>95</v>
      </c>
      <c r="F43" s="9">
        <f t="shared" si="1"/>
        <v>-7</v>
      </c>
    </row>
    <row r="44" spans="1:11" ht="15.75" customHeight="1">
      <c r="A44" s="16">
        <v>2022999910</v>
      </c>
      <c r="B44" s="18" t="s">
        <v>352</v>
      </c>
      <c r="C44" s="334">
        <v>0</v>
      </c>
      <c r="D44" s="253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3">
        <v>0</v>
      </c>
      <c r="D45" s="331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4">
        <v>0</v>
      </c>
      <c r="D46" s="345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93">
        <f>C37+C38</f>
        <v>3265.1120000000001</v>
      </c>
      <c r="D47" s="395">
        <f>D37+D38</f>
        <v>2420.43028</v>
      </c>
      <c r="E47" s="5">
        <f t="shared" si="0"/>
        <v>74.13008435851512</v>
      </c>
      <c r="F47" s="5">
        <f t="shared" si="1"/>
        <v>-844.68172000000004</v>
      </c>
      <c r="G47" s="296"/>
      <c r="H47" s="296"/>
      <c r="K47" s="130"/>
    </row>
    <row r="48" spans="1:11" s="6" customFormat="1">
      <c r="A48" s="3"/>
      <c r="B48" s="21" t="s">
        <v>322</v>
      </c>
      <c r="C48" s="93">
        <f>C47-C93</f>
        <v>-23.635540000000219</v>
      </c>
      <c r="D48" s="93">
        <f>D47-D93</f>
        <v>41.785640000000058</v>
      </c>
      <c r="E48" s="22"/>
      <c r="F48" s="22"/>
    </row>
    <row r="49" spans="1:6">
      <c r="A49" s="23"/>
      <c r="B49" s="24"/>
      <c r="C49" s="251"/>
      <c r="D49" s="251"/>
      <c r="E49" s="26"/>
      <c r="F49" s="92"/>
    </row>
    <row r="50" spans="1:6" ht="50.25" customHeight="1">
      <c r="A50" s="28" t="s">
        <v>1</v>
      </c>
      <c r="B50" s="28" t="s">
        <v>29</v>
      </c>
      <c r="C50" s="244" t="s">
        <v>346</v>
      </c>
      <c r="D50" s="245" t="s">
        <v>412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32">
        <f>C54+C57+C58+C59</f>
        <v>1072.2360000000001</v>
      </c>
      <c r="D52" s="32">
        <f>D54+D57+D58+D59</f>
        <v>685.08637999999996</v>
      </c>
      <c r="E52" s="34">
        <f>SUM(D52/C52*100)</f>
        <v>63.893245516845163</v>
      </c>
      <c r="F52" s="34">
        <f>SUM(D52-C52)</f>
        <v>-387.14962000000014</v>
      </c>
    </row>
    <row r="53" spans="1:6" s="6" customFormat="1" ht="31.5" hidden="1">
      <c r="A53" s="35" t="s">
        <v>32</v>
      </c>
      <c r="B53" s="36" t="s">
        <v>33</v>
      </c>
      <c r="C53" s="37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37">
        <v>1064.854</v>
      </c>
      <c r="D54" s="37">
        <v>682.70488</v>
      </c>
      <c r="E54" s="38">
        <f>SUM(D54/C54*100)</f>
        <v>64.112533737019348</v>
      </c>
      <c r="F54" s="38">
        <f t="shared" ref="F54:F93" si="3">SUM(D54-C54)</f>
        <v>-382.14912000000004</v>
      </c>
    </row>
    <row r="55" spans="1:6" ht="0.75" hidden="1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hidden="1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2.3820000000000001</v>
      </c>
      <c r="D59" s="37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48.521500000000003</v>
      </c>
      <c r="E60" s="34">
        <f t="shared" si="4"/>
        <v>68.73123123123122</v>
      </c>
      <c r="F60" s="34">
        <f t="shared" si="3"/>
        <v>-22.0745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48.521500000000003</v>
      </c>
      <c r="E61" s="38">
        <f t="shared" si="4"/>
        <v>68.73123123123122</v>
      </c>
      <c r="F61" s="38">
        <f t="shared" si="3"/>
        <v>-22.0745</v>
      </c>
    </row>
    <row r="62" spans="1:6" s="6" customFormat="1" ht="16.5" customHeight="1">
      <c r="A62" s="30" t="s">
        <v>50</v>
      </c>
      <c r="B62" s="31" t="s">
        <v>51</v>
      </c>
      <c r="C62" s="32">
        <f>C65+C66</f>
        <v>3.9</v>
      </c>
      <c r="D62" s="32">
        <f>D65+D66</f>
        <v>2.80287</v>
      </c>
      <c r="E62" s="34">
        <f t="shared" si="4"/>
        <v>71.868461538461531</v>
      </c>
      <c r="F62" s="34">
        <f t="shared" si="3"/>
        <v>-1.0971299999999999</v>
      </c>
    </row>
    <row r="63" spans="1:6" ht="13.5" hidden="1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2.9</v>
      </c>
      <c r="D65" s="37">
        <v>2.80287</v>
      </c>
      <c r="E65" s="34">
        <f t="shared" si="4"/>
        <v>96.650689655172414</v>
      </c>
      <c r="F65" s="34">
        <f t="shared" si="3"/>
        <v>-9.7129999999999939E-2</v>
      </c>
    </row>
    <row r="66" spans="1:7" ht="15.75" customHeight="1">
      <c r="A66" s="46" t="s">
        <v>219</v>
      </c>
      <c r="B66" s="47" t="s">
        <v>220</v>
      </c>
      <c r="C66" s="37">
        <v>1</v>
      </c>
      <c r="D66" s="37">
        <v>0</v>
      </c>
      <c r="E66" s="38">
        <f t="shared" si="4"/>
        <v>0</v>
      </c>
      <c r="F66" s="38">
        <f t="shared" si="3"/>
        <v>-1</v>
      </c>
    </row>
    <row r="67" spans="1:7" s="6" customFormat="1">
      <c r="A67" s="30" t="s">
        <v>58</v>
      </c>
      <c r="B67" s="31" t="s">
        <v>59</v>
      </c>
      <c r="C67" s="48">
        <f>C70+C71+C68+C69</f>
        <v>1015.40454</v>
      </c>
      <c r="D67" s="48">
        <f>D70+D71+D68</f>
        <v>720.63467000000003</v>
      </c>
      <c r="E67" s="34">
        <f t="shared" si="4"/>
        <v>70.9702036589279</v>
      </c>
      <c r="F67" s="34">
        <f t="shared" si="3"/>
        <v>-294.76986999999997</v>
      </c>
    </row>
    <row r="68" spans="1:7" ht="16.5" customHeight="1">
      <c r="A68" s="35" t="s">
        <v>60</v>
      </c>
      <c r="B68" s="39" t="s">
        <v>61</v>
      </c>
      <c r="C68" s="49">
        <v>6.93</v>
      </c>
      <c r="D68" s="37">
        <v>0</v>
      </c>
      <c r="E68" s="38">
        <f t="shared" si="4"/>
        <v>0</v>
      </c>
      <c r="F68" s="38">
        <f t="shared" si="3"/>
        <v>-6.93</v>
      </c>
    </row>
    <row r="69" spans="1:7" s="6" customFormat="1">
      <c r="A69" s="35" t="s">
        <v>62</v>
      </c>
      <c r="B69" s="39" t="s">
        <v>63</v>
      </c>
      <c r="C69" s="49">
        <v>65.105000000000004</v>
      </c>
      <c r="D69" s="37">
        <v>0</v>
      </c>
      <c r="E69" s="38">
        <f t="shared" si="4"/>
        <v>0</v>
      </c>
      <c r="F69" s="38">
        <f t="shared" si="3"/>
        <v>-65.105000000000004</v>
      </c>
      <c r="G69" s="50"/>
    </row>
    <row r="70" spans="1:7" ht="15.75" customHeight="1">
      <c r="A70" s="35" t="s">
        <v>64</v>
      </c>
      <c r="B70" s="39" t="s">
        <v>65</v>
      </c>
      <c r="C70" s="49">
        <v>923.41254000000004</v>
      </c>
      <c r="D70" s="37">
        <v>720.63467000000003</v>
      </c>
      <c r="E70" s="38">
        <f t="shared" si="4"/>
        <v>78.040381604520988</v>
      </c>
      <c r="F70" s="38">
        <f t="shared" si="3"/>
        <v>-202.77787000000001</v>
      </c>
    </row>
    <row r="71" spans="1:7">
      <c r="A71" s="35" t="s">
        <v>66</v>
      </c>
      <c r="B71" s="39" t="s">
        <v>67</v>
      </c>
      <c r="C71" s="49">
        <v>19.957000000000001</v>
      </c>
      <c r="D71" s="37">
        <v>0</v>
      </c>
      <c r="E71" s="38">
        <f t="shared" si="4"/>
        <v>0</v>
      </c>
      <c r="F71" s="38">
        <f t="shared" si="3"/>
        <v>-19.957000000000001</v>
      </c>
    </row>
    <row r="72" spans="1:7" s="6" customFormat="1" ht="18" customHeight="1">
      <c r="A72" s="30" t="s">
        <v>68</v>
      </c>
      <c r="B72" s="31" t="s">
        <v>69</v>
      </c>
      <c r="C72" s="32">
        <f>C75</f>
        <v>256.11099999999999</v>
      </c>
      <c r="D72" s="32">
        <f>D75</f>
        <v>172.11322000000001</v>
      </c>
      <c r="E72" s="34">
        <f t="shared" si="4"/>
        <v>67.202587940385229</v>
      </c>
      <c r="F72" s="34">
        <f t="shared" si="3"/>
        <v>-83.997779999999977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256.11099999999999</v>
      </c>
      <c r="D75" s="37">
        <v>172.11322000000001</v>
      </c>
      <c r="E75" s="38">
        <f t="shared" si="4"/>
        <v>67.202587940385229</v>
      </c>
      <c r="F75" s="38">
        <f t="shared" si="3"/>
        <v>-83.997779999999977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749.48599999999999</v>
      </c>
      <c r="E76" s="34">
        <f t="shared" si="4"/>
        <v>86.595725014442522</v>
      </c>
      <c r="F76" s="34">
        <f t="shared" si="3"/>
        <v>-116.01400000000001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749.48599999999999</v>
      </c>
      <c r="E77" s="38">
        <f t="shared" si="4"/>
        <v>86.595725014442522</v>
      </c>
      <c r="F77" s="38">
        <f t="shared" si="3"/>
        <v>-116.01400000000001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>
      <c r="A83" s="30" t="s">
        <v>95</v>
      </c>
      <c r="B83" s="31" t="s">
        <v>96</v>
      </c>
      <c r="C83" s="32">
        <f>C84</f>
        <v>5</v>
      </c>
      <c r="D83" s="32">
        <f>D84</f>
        <v>0</v>
      </c>
      <c r="E83" s="38">
        <f t="shared" si="4"/>
        <v>0</v>
      </c>
      <c r="F83" s="22">
        <f>F84+F85+F86+F87+F88</f>
        <v>-5</v>
      </c>
    </row>
    <row r="84" spans="1:7" ht="17.25" customHeight="1">
      <c r="A84" s="35" t="s">
        <v>97</v>
      </c>
      <c r="B84" s="39" t="s">
        <v>98</v>
      </c>
      <c r="C84" s="37">
        <v>5</v>
      </c>
      <c r="D84" s="37">
        <v>0</v>
      </c>
      <c r="E84" s="38">
        <v>0</v>
      </c>
      <c r="F84" s="38">
        <f>SUM(D84-C84)</f>
        <v>-5</v>
      </c>
    </row>
    <row r="85" spans="1:7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t="31.5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396">
        <f>C52+C60+C62+C67+C72+C76+C83</f>
        <v>3288.7475400000003</v>
      </c>
      <c r="D93" s="396">
        <f>D52+D60+D62+D67+D72+D76+D78+D83+D89</f>
        <v>2378.64464</v>
      </c>
      <c r="E93" s="128">
        <f t="shared" si="4"/>
        <v>72.326763032713657</v>
      </c>
      <c r="F93" s="34">
        <f t="shared" si="3"/>
        <v>-910.10290000000032</v>
      </c>
      <c r="G93" s="296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50"/>
      <c r="D95" s="250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  <row r="141" hidden="1"/>
  </sheetData>
  <customSheetViews>
    <customSheetView guid="{D9DF2AB9-CCB8-40C7-9C85-E4DDD4810EEF}" scale="70" showPageBreaks="1" hiddenRows="1" view="pageBreakPreview" topLeftCell="A54">
      <selection activeCell="C93" sqref="C93:D93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2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3"/>
      <headerFooter alignWithMargins="0"/>
    </customSheetView>
    <customSheetView guid="{5BFCA170-DEAE-4D2C-98A0-1E68B427AC01}" showPageBreaks="1" hiddenRows="1">
      <selection activeCell="B100" sqref="B100"/>
      <pageMargins left="0.75" right="0.75" top="0.18" bottom="0.17" header="0.5" footer="0.25"/>
      <pageSetup paperSize="9" scale="63" orientation="portrait" r:id="rId4"/>
      <headerFooter alignWithMargins="0"/>
    </customSheetView>
    <customSheetView guid="{B30CE22D-C12F-4E12-8BB9-3AAE0A6991CC}" scale="70" showPageBreaks="1" hiddenRows="1" view="pageBreakPreview" topLeftCell="A45">
      <selection activeCell="G94" sqref="G94"/>
      <pageMargins left="0.74803149606299213" right="0.74803149606299213" top="0.19685039370078741" bottom="0.15748031496062992" header="0.51181102362204722" footer="0.23622047244094491"/>
      <pageSetup paperSize="9" scale="60" orientation="portrait" r:id="rId5"/>
      <headerFooter alignWithMargins="0"/>
    </customSheetView>
    <customSheetView guid="{A54C432C-6C68-4B53-A75C-446EB3A61B2B}" scale="70" showPageBreaks="1" hiddenRows="1" view="pageBreakPreview" topLeftCell="A54">
      <selection activeCell="C93" sqref="C93:D93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1"/>
  <sheetViews>
    <sheetView view="pageBreakPreview" topLeftCell="A70" zoomScale="70" zoomScaleNormal="100" zoomScaleSheetLayoutView="70" workbookViewId="0">
      <selection activeCell="C52" activeCellId="1" sqref="C100:D100 C52:D53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46" t="s">
        <v>418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135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1275.7003999999999</v>
      </c>
      <c r="E4" s="5">
        <f>SUM(D4/C4*100)</f>
        <v>48.336266017990162</v>
      </c>
      <c r="F4" s="5">
        <f>SUM(D4-C4)</f>
        <v>-1363.5196000000003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v>267.31795</v>
      </c>
      <c r="E5" s="5">
        <f t="shared" ref="E5:E52" si="0">SUM(D5/C5*100)</f>
        <v>55.356792296541727</v>
      </c>
      <c r="F5" s="5">
        <f t="shared" ref="F5:F52" si="1">SUM(D5-C5)</f>
        <v>-215.58204999999998</v>
      </c>
    </row>
    <row r="6" spans="1:6">
      <c r="A6" s="7">
        <v>1010200001</v>
      </c>
      <c r="B6" s="8" t="s">
        <v>229</v>
      </c>
      <c r="C6" s="9">
        <v>482.9</v>
      </c>
      <c r="D6" s="10">
        <v>267.31795</v>
      </c>
      <c r="E6" s="9">
        <f t="shared" ref="E6:E11" si="2">SUM(D6/C6*100)</f>
        <v>55.356792296541727</v>
      </c>
      <c r="F6" s="9">
        <f t="shared" si="1"/>
        <v>-215.58204999999998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378.14880999999997</v>
      </c>
      <c r="E7" s="5">
        <f t="shared" si="2"/>
        <v>67.608669455767711</v>
      </c>
      <c r="F7" s="5">
        <f t="shared" si="1"/>
        <v>-181.17119000000008</v>
      </c>
    </row>
    <row r="8" spans="1:6">
      <c r="A8" s="7">
        <v>1030223001</v>
      </c>
      <c r="B8" s="8" t="s">
        <v>283</v>
      </c>
      <c r="C8" s="9">
        <v>208.63</v>
      </c>
      <c r="D8" s="10">
        <v>165.02858000000001</v>
      </c>
      <c r="E8" s="9">
        <f t="shared" si="2"/>
        <v>79.101078464266877</v>
      </c>
      <c r="F8" s="9">
        <f t="shared" si="1"/>
        <v>-43.60141999999999</v>
      </c>
    </row>
    <row r="9" spans="1:6">
      <c r="A9" s="7">
        <v>1030224001</v>
      </c>
      <c r="B9" s="8" t="s">
        <v>289</v>
      </c>
      <c r="C9" s="9">
        <v>2.2000000000000002</v>
      </c>
      <c r="D9" s="10">
        <v>1.41401</v>
      </c>
      <c r="E9" s="9">
        <f t="shared" si="2"/>
        <v>64.273181818181811</v>
      </c>
      <c r="F9" s="9">
        <f t="shared" si="1"/>
        <v>-0.78599000000000019</v>
      </c>
    </row>
    <row r="10" spans="1:6">
      <c r="A10" s="7">
        <v>1030225001</v>
      </c>
      <c r="B10" s="8" t="s">
        <v>282</v>
      </c>
      <c r="C10" s="9">
        <v>348.49</v>
      </c>
      <c r="D10" s="10">
        <v>250.17977999999999</v>
      </c>
      <c r="E10" s="9">
        <f t="shared" si="2"/>
        <v>71.789658239834708</v>
      </c>
      <c r="F10" s="9">
        <f t="shared" si="1"/>
        <v>-98.310220000000015</v>
      </c>
    </row>
    <row r="11" spans="1:6">
      <c r="A11" s="7">
        <v>1030226001</v>
      </c>
      <c r="B11" s="8" t="s">
        <v>291</v>
      </c>
      <c r="C11" s="9">
        <v>0</v>
      </c>
      <c r="D11" s="10">
        <v>-38.473559999999999</v>
      </c>
      <c r="E11" s="9" t="e">
        <f t="shared" si="2"/>
        <v>#DIV/0!</v>
      </c>
      <c r="F11" s="9">
        <f t="shared" si="1"/>
        <v>-38.473559999999999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23.733000000000001</v>
      </c>
      <c r="E12" s="5">
        <f t="shared" si="0"/>
        <v>59.332499999999996</v>
      </c>
      <c r="F12" s="5">
        <f t="shared" si="1"/>
        <v>-16.266999999999999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23.733000000000001</v>
      </c>
      <c r="E13" s="9">
        <f t="shared" si="0"/>
        <v>59.332499999999996</v>
      </c>
      <c r="F13" s="9">
        <f t="shared" si="1"/>
        <v>-16.266999999999999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597.42563999999993</v>
      </c>
      <c r="E14" s="5">
        <f t="shared" si="0"/>
        <v>38.668326213592231</v>
      </c>
      <c r="F14" s="5">
        <f t="shared" si="1"/>
        <v>-947.57436000000007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v>103.58687999999999</v>
      </c>
      <c r="E15" s="5">
        <f t="shared" si="0"/>
        <v>35.114196610169493</v>
      </c>
      <c r="F15" s="9">
        <f>SUM(D15-C15)</f>
        <v>-191.41311999999999</v>
      </c>
    </row>
    <row r="16" spans="1:6" ht="15" customHeight="1">
      <c r="A16" s="7">
        <v>1060600000</v>
      </c>
      <c r="B16" s="11" t="s">
        <v>8</v>
      </c>
      <c r="C16" s="9">
        <f>181.7+1068.3</f>
        <v>1250</v>
      </c>
      <c r="D16" s="10">
        <v>493.83875999999998</v>
      </c>
      <c r="E16" s="5">
        <f t="shared" si="0"/>
        <v>39.507100800000003</v>
      </c>
      <c r="F16" s="9">
        <f t="shared" si="1"/>
        <v>-756.16124000000002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9.0749999999999993</v>
      </c>
      <c r="E17" s="5">
        <f t="shared" si="0"/>
        <v>75.625</v>
      </c>
      <c r="F17" s="5">
        <f t="shared" si="1"/>
        <v>-2.9250000000000007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9.0749999999999993</v>
      </c>
      <c r="E18" s="9">
        <f t="shared" si="0"/>
        <v>75.625</v>
      </c>
      <c r="F18" s="9">
        <f t="shared" si="1"/>
        <v>-2.9250000000000007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1072</v>
      </c>
      <c r="D25" s="5">
        <f>D26+D30+D32+D35+D37</f>
        <v>783.70733000000007</v>
      </c>
      <c r="E25" s="5">
        <f t="shared" si="0"/>
        <v>73.10702705223882</v>
      </c>
      <c r="F25" s="5">
        <f t="shared" si="1"/>
        <v>-288.29266999999993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38.515000000000001</v>
      </c>
      <c r="E26" s="5">
        <f t="shared" si="0"/>
        <v>13.466783216783218</v>
      </c>
      <c r="F26" s="5">
        <f t="shared" si="1"/>
        <v>-247.48500000000001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12">
        <v>200</v>
      </c>
      <c r="D28" s="10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12">
        <v>86</v>
      </c>
      <c r="D29" s="10">
        <v>10.115</v>
      </c>
      <c r="E29" s="9">
        <f>SUM(D29/C29*100)</f>
        <v>11.761627906976745</v>
      </c>
      <c r="F29" s="9">
        <f t="shared" si="1"/>
        <v>-75.885000000000005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200</v>
      </c>
      <c r="D30" s="5">
        <f>D31</f>
        <v>153.99233000000001</v>
      </c>
      <c r="E30" s="5">
        <f t="shared" si="0"/>
        <v>76.996165000000005</v>
      </c>
      <c r="F30" s="5">
        <f t="shared" si="1"/>
        <v>-46.00766999999999</v>
      </c>
    </row>
    <row r="31" spans="1:6" ht="18" customHeight="1">
      <c r="A31" s="7">
        <v>1130206005</v>
      </c>
      <c r="B31" s="8" t="s">
        <v>224</v>
      </c>
      <c r="C31" s="9">
        <v>200</v>
      </c>
      <c r="D31" s="10">
        <v>153.99233000000001</v>
      </c>
      <c r="E31" s="9">
        <f>SUM(D31/C31*100)</f>
        <v>76.996165000000005</v>
      </c>
      <c r="F31" s="9">
        <f t="shared" si="1"/>
        <v>-46.00766999999999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19.5" customHeight="1">
      <c r="A33" s="16">
        <v>1140200000</v>
      </c>
      <c r="B33" s="18" t="s">
        <v>133</v>
      </c>
      <c r="C33" s="9">
        <v>586</v>
      </c>
      <c r="D33" s="10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63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idden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5" t="e">
        <f t="shared" si="0"/>
        <v>#DIV/0!</v>
      </c>
      <c r="F37" s="5">
        <f t="shared" si="1"/>
        <v>0</v>
      </c>
    </row>
    <row r="38" spans="1:7" hidden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idden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3711.2200000000003</v>
      </c>
      <c r="D40" s="127">
        <f>D4+D25</f>
        <v>2059.4077299999999</v>
      </c>
      <c r="E40" s="5">
        <f t="shared" si="0"/>
        <v>55.491394474054346</v>
      </c>
      <c r="F40" s="5">
        <f t="shared" si="1"/>
        <v>-1651.8122700000004</v>
      </c>
    </row>
    <row r="41" spans="1:7" s="6" customFormat="1" ht="20.25" customHeight="1">
      <c r="A41" s="3">
        <v>2000000000</v>
      </c>
      <c r="B41" s="4" t="s">
        <v>20</v>
      </c>
      <c r="C41" s="5">
        <f>C42+C43+C44+C46+C47+C45+C48</f>
        <v>6352.6549999999997</v>
      </c>
      <c r="D41" s="5">
        <f>D42+D43+D44+D46+D47+D45+D48</f>
        <v>4507.7009699999999</v>
      </c>
      <c r="E41" s="5">
        <f t="shared" si="0"/>
        <v>70.957748689327531</v>
      </c>
      <c r="F41" s="5">
        <f t="shared" si="1"/>
        <v>-1844.9540299999999</v>
      </c>
      <c r="G41" s="19"/>
    </row>
    <row r="42" spans="1:7" ht="19.5" customHeight="1">
      <c r="A42" s="16">
        <v>2021000000</v>
      </c>
      <c r="B42" s="17" t="s">
        <v>21</v>
      </c>
      <c r="C42" s="12">
        <f>3530.2+26.311</f>
        <v>3556.511</v>
      </c>
      <c r="D42" s="20">
        <v>2661.2429999999999</v>
      </c>
      <c r="E42" s="9">
        <f t="shared" si="0"/>
        <v>74.82735186254169</v>
      </c>
      <c r="F42" s="9">
        <f t="shared" si="1"/>
        <v>-895.26800000000003</v>
      </c>
    </row>
    <row r="43" spans="1:7" ht="18" hidden="1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 ht="21" customHeight="1">
      <c r="A44" s="16">
        <v>2022000000</v>
      </c>
      <c r="B44" s="17" t="s">
        <v>22</v>
      </c>
      <c r="C44" s="12">
        <v>2232.3000000000002</v>
      </c>
      <c r="D44" s="10">
        <v>1311.752</v>
      </c>
      <c r="E44" s="9">
        <f t="shared" si="0"/>
        <v>58.762352730367773</v>
      </c>
      <c r="F44" s="9">
        <f t="shared" si="1"/>
        <v>-920.54800000000023</v>
      </c>
    </row>
    <row r="45" spans="1:7" hidden="1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154.24100000000001</v>
      </c>
      <c r="D46" s="252">
        <v>125.105</v>
      </c>
      <c r="E46" s="9">
        <f t="shared" si="0"/>
        <v>81.110080977172089</v>
      </c>
      <c r="F46" s="9">
        <f t="shared" si="1"/>
        <v>-29.13600000000001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3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3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5">
        <f>SUM(C40,C41,C51)</f>
        <v>10063.875</v>
      </c>
      <c r="D52" s="397">
        <f>D40+D41</f>
        <v>6567.1086999999998</v>
      </c>
      <c r="E52" s="5">
        <f t="shared" si="0"/>
        <v>65.254275316416383</v>
      </c>
      <c r="F52" s="5">
        <f t="shared" si="1"/>
        <v>-3496.7663000000002</v>
      </c>
      <c r="G52" s="94"/>
      <c r="H52" s="94"/>
    </row>
    <row r="53" spans="1:8" s="6" customFormat="1">
      <c r="A53" s="3"/>
      <c r="B53" s="21" t="s">
        <v>321</v>
      </c>
      <c r="C53" s="5">
        <f>C52-C100</f>
        <v>-101.57055000000037</v>
      </c>
      <c r="D53" s="5">
        <f>D52-D100</f>
        <v>66.263979999999719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419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1851.9180000000001</v>
      </c>
      <c r="D57" s="102">
        <f>D58+D59+D60+D61+D62+D64+D63</f>
        <v>1051.3605399999999</v>
      </c>
      <c r="E57" s="34">
        <f>SUM(D57/C57*100)</f>
        <v>56.771441284117316</v>
      </c>
      <c r="F57" s="34">
        <f>SUM(D57-C57)</f>
        <v>-800.55746000000022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1045.2935399999999</v>
      </c>
      <c r="E59" s="38">
        <f t="shared" ref="E59:E100" si="3">SUM(D59/C59*100)</f>
        <v>56.783169305935118</v>
      </c>
      <c r="F59" s="38">
        <f t="shared" ref="F59:F100" si="4">SUM(D59-C59)</f>
        <v>-795.55746000000022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95.171859999999995</v>
      </c>
      <c r="E65" s="34">
        <f t="shared" si="3"/>
        <v>63.077431883404799</v>
      </c>
      <c r="F65" s="34">
        <f t="shared" si="4"/>
        <v>-55.709140000000005</v>
      </c>
    </row>
    <row r="66" spans="1:7">
      <c r="A66" s="43" t="s">
        <v>48</v>
      </c>
      <c r="B66" s="44" t="s">
        <v>49</v>
      </c>
      <c r="C66" s="92">
        <v>150.881</v>
      </c>
      <c r="D66" s="92">
        <v>95.171859999999995</v>
      </c>
      <c r="E66" s="38">
        <f t="shared" si="3"/>
        <v>63.077431883404799</v>
      </c>
      <c r="F66" s="38">
        <f t="shared" si="4"/>
        <v>-55.709140000000005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</v>
      </c>
      <c r="D67" s="22">
        <f>D70+D71</f>
        <v>2</v>
      </c>
      <c r="E67" s="34">
        <f t="shared" si="3"/>
        <v>50</v>
      </c>
      <c r="F67" s="34">
        <f t="shared" si="4"/>
        <v>-2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</v>
      </c>
      <c r="D70" s="92">
        <v>2</v>
      </c>
      <c r="E70" s="34">
        <f t="shared" si="3"/>
        <v>100</v>
      </c>
      <c r="F70" s="34">
        <f t="shared" si="4"/>
        <v>0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3322.8085499999997</v>
      </c>
      <c r="D72" s="105">
        <f>SUM(D73:D76)</f>
        <v>2901.1199099999999</v>
      </c>
      <c r="E72" s="34">
        <f t="shared" si="3"/>
        <v>87.309270646965203</v>
      </c>
      <c r="F72" s="34">
        <f t="shared" si="4"/>
        <v>-421.68863999999985</v>
      </c>
    </row>
    <row r="73" spans="1:7" ht="15.75" customHeight="1">
      <c r="A73" s="35" t="s">
        <v>60</v>
      </c>
      <c r="B73" s="39" t="s">
        <v>61</v>
      </c>
      <c r="C73" s="106">
        <v>9.7100000000000009</v>
      </c>
      <c r="D73" s="92">
        <v>0</v>
      </c>
      <c r="E73" s="38">
        <f t="shared" si="3"/>
        <v>0</v>
      </c>
      <c r="F73" s="38">
        <f t="shared" si="4"/>
        <v>-9.7100000000000009</v>
      </c>
    </row>
    <row r="74" spans="1:7" s="6" customFormat="1" ht="19.5" customHeight="1">
      <c r="A74" s="35" t="s">
        <v>62</v>
      </c>
      <c r="B74" s="39" t="s">
        <v>63</v>
      </c>
      <c r="C74" s="106">
        <v>682.49300000000005</v>
      </c>
      <c r="D74" s="92">
        <v>558.11780999999996</v>
      </c>
      <c r="E74" s="38">
        <f t="shared" si="3"/>
        <v>81.776342028416394</v>
      </c>
      <c r="F74" s="38">
        <f t="shared" si="4"/>
        <v>-124.37519000000009</v>
      </c>
      <c r="G74" s="50"/>
    </row>
    <row r="75" spans="1:7">
      <c r="A75" s="35" t="s">
        <v>64</v>
      </c>
      <c r="B75" s="39" t="s">
        <v>65</v>
      </c>
      <c r="C75" s="106">
        <v>2485.1755499999999</v>
      </c>
      <c r="D75" s="92">
        <v>2241.6111000000001</v>
      </c>
      <c r="E75" s="38">
        <f t="shared" si="3"/>
        <v>90.199306040975657</v>
      </c>
      <c r="F75" s="38">
        <f t="shared" si="4"/>
        <v>-243.56444999999985</v>
      </c>
    </row>
    <row r="76" spans="1:7">
      <c r="A76" s="35" t="s">
        <v>66</v>
      </c>
      <c r="B76" s="39" t="s">
        <v>67</v>
      </c>
      <c r="C76" s="106">
        <v>145.43</v>
      </c>
      <c r="D76" s="92">
        <v>101.39100000000001</v>
      </c>
      <c r="E76" s="38">
        <f t="shared" si="3"/>
        <v>69.718077425565568</v>
      </c>
      <c r="F76" s="38">
        <f t="shared" si="4"/>
        <v>-44.039000000000001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1148.07</v>
      </c>
      <c r="D77" s="22">
        <f>SUM(D78:D81)</f>
        <v>400.05903999999998</v>
      </c>
      <c r="E77" s="34">
        <f t="shared" si="3"/>
        <v>34.846223662320241</v>
      </c>
      <c r="F77" s="34">
        <f t="shared" si="4"/>
        <v>-748.01095999999995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1148.07</v>
      </c>
      <c r="D80" s="92">
        <v>400.05903999999998</v>
      </c>
      <c r="E80" s="38">
        <f t="shared" si="3"/>
        <v>34.846223662320241</v>
      </c>
      <c r="F80" s="38">
        <f t="shared" si="4"/>
        <v>-748.01095999999995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customHeight="1">
      <c r="A82" s="30" t="s">
        <v>86</v>
      </c>
      <c r="B82" s="31" t="s">
        <v>87</v>
      </c>
      <c r="C82" s="22">
        <f>C83+C84</f>
        <v>3662.768</v>
      </c>
      <c r="D82" s="22">
        <f>D83+D84</f>
        <v>2033.7083700000001</v>
      </c>
      <c r="E82" s="34">
        <f t="shared" si="3"/>
        <v>55.523810680883969</v>
      </c>
      <c r="F82" s="34">
        <f t="shared" si="4"/>
        <v>-1629.05963</v>
      </c>
    </row>
    <row r="83" spans="1:6" ht="17.25" customHeight="1">
      <c r="A83" s="35" t="s">
        <v>88</v>
      </c>
      <c r="B83" s="39" t="s">
        <v>234</v>
      </c>
      <c r="C83" s="92">
        <v>3662.768</v>
      </c>
      <c r="D83" s="92">
        <v>2033.7083700000001</v>
      </c>
      <c r="E83" s="38">
        <f t="shared" si="3"/>
        <v>55.523810680883969</v>
      </c>
      <c r="F83" s="38">
        <f t="shared" si="4"/>
        <v>-1629.05963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 hidden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7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12.425000000000001</v>
      </c>
      <c r="E90" s="34">
        <f t="shared" si="3"/>
        <v>62.125000000000007</v>
      </c>
      <c r="F90" s="22">
        <f>F91+F92+F93+F94+F95</f>
        <v>-7.5749999999999993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12.425000000000001</v>
      </c>
      <c r="E91" s="38">
        <f t="shared" si="3"/>
        <v>62.125000000000007</v>
      </c>
      <c r="F91" s="38">
        <f>SUM(D91-C91)</f>
        <v>-7.5749999999999993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hidden="1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102">
        <f>C57+C65+C67+C72+C77+C82+C90+C85+C96</f>
        <v>10165.44555</v>
      </c>
      <c r="D100" s="102">
        <f>D57+D65+D67+D72+D77+D82+D90+D85+D96</f>
        <v>6500.8447200000001</v>
      </c>
      <c r="E100" s="34">
        <f t="shared" si="3"/>
        <v>63.950416024804738</v>
      </c>
      <c r="F100" s="34">
        <f t="shared" si="4"/>
        <v>-3664.6008300000003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  <row r="141" hidden="1"/>
  </sheetData>
  <customSheetViews>
    <customSheetView guid="{D9DF2AB9-CCB8-40C7-9C85-E4DDD4810EEF}" scale="70" showPageBreaks="1" hiddenRows="1" view="pageBreakPreview" topLeftCell="A70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2" orientation="portrait" r:id="rId1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2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3"/>
      <headerFooter alignWithMargins="0"/>
    </customSheetView>
    <customSheetView guid="{5BFCA170-DEAE-4D2C-98A0-1E68B427AC01}" showPageBreaks="1" hiddenRows="1" topLeftCell="A52">
      <selection activeCell="B100" sqref="B100"/>
      <pageMargins left="0.75" right="0.75" top="1" bottom="1" header="0.5" footer="0.5"/>
      <pageSetup paperSize="9" scale="46" orientation="portrait" r:id="rId4"/>
      <headerFooter alignWithMargins="0"/>
    </customSheetView>
    <customSheetView guid="{B30CE22D-C12F-4E12-8BB9-3AAE0A6991CC}" scale="70" showPageBreaks="1" hiddenRows="1" view="pageBreakPreview" topLeftCell="A63">
      <selection activeCell="G101" sqref="G101"/>
      <pageMargins left="0.74803149606299213" right="0.74803149606299213" top="0.98425196850393704" bottom="0.98425196850393704" header="0.51181102362204722" footer="0.51181102362204722"/>
      <pageSetup paperSize="9" scale="59" orientation="portrait" r:id="rId5"/>
      <headerFooter alignWithMargins="0"/>
    </customSheetView>
    <customSheetView guid="{A54C432C-6C68-4B53-A75C-446EB3A61B2B}" scale="70" showPageBreaks="1" hiddenRows="1" view="pageBreakPreview" topLeftCell="A70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2" orientation="portrait" r:id="rId6"/>
    </customSheetView>
  </customSheetViews>
  <mergeCells count="2">
    <mergeCell ref="A1:F1"/>
    <mergeCell ref="A2:F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42"/>
  <sheetViews>
    <sheetView view="pageBreakPreview" topLeftCell="A73" zoomScale="70" zoomScaleNormal="100" zoomScaleSheetLayoutView="70" workbookViewId="0">
      <selection activeCell="C52" activeCellId="1" sqref="C100:D100 C52:D53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46" t="s">
        <v>420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1663.25</v>
      </c>
      <c r="D4" s="5">
        <f>D5+D12+D14+D17+D7</f>
        <v>836.86727999999994</v>
      </c>
      <c r="E4" s="5">
        <f>SUM(D4/C4*100)</f>
        <v>50.315182924996236</v>
      </c>
      <c r="F4" s="5">
        <f>SUM(D4-C4)</f>
        <v>-826.38272000000006</v>
      </c>
    </row>
    <row r="5" spans="1:6" s="6" customFormat="1">
      <c r="A5" s="68">
        <v>1010000000</v>
      </c>
      <c r="B5" s="67" t="s">
        <v>6</v>
      </c>
      <c r="C5" s="5">
        <f>C6</f>
        <v>82.1</v>
      </c>
      <c r="D5" s="5">
        <f>D6</f>
        <v>60.379530000000003</v>
      </c>
      <c r="E5" s="5">
        <f t="shared" ref="E5:E52" si="0">SUM(D5/C5*100)</f>
        <v>73.543885505481128</v>
      </c>
      <c r="F5" s="5">
        <f t="shared" ref="F5:F52" si="1">SUM(D5-C5)</f>
        <v>-21.720469999999992</v>
      </c>
    </row>
    <row r="6" spans="1:6">
      <c r="A6" s="7">
        <v>1010200001</v>
      </c>
      <c r="B6" s="8" t="s">
        <v>229</v>
      </c>
      <c r="C6" s="9">
        <v>82.1</v>
      </c>
      <c r="D6" s="10">
        <v>60.379530000000003</v>
      </c>
      <c r="E6" s="9">
        <f t="shared" ref="E6:E11" si="2">SUM(D6/C6*100)</f>
        <v>73.543885505481128</v>
      </c>
      <c r="F6" s="9">
        <f t="shared" si="1"/>
        <v>-21.720469999999992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404.12853999999999</v>
      </c>
      <c r="E7" s="9">
        <f t="shared" si="2"/>
        <v>67.608287745713085</v>
      </c>
      <c r="F7" s="9">
        <f t="shared" si="1"/>
        <v>-193.62146000000001</v>
      </c>
    </row>
    <row r="8" spans="1:6">
      <c r="A8" s="7">
        <v>1030223001</v>
      </c>
      <c r="B8" s="8" t="s">
        <v>283</v>
      </c>
      <c r="C8" s="9">
        <v>222.96</v>
      </c>
      <c r="D8" s="10">
        <v>176.36641</v>
      </c>
      <c r="E8" s="9">
        <f t="shared" si="2"/>
        <v>79.102264980265517</v>
      </c>
      <c r="F8" s="9">
        <f t="shared" si="1"/>
        <v>-46.593590000000006</v>
      </c>
    </row>
    <row r="9" spans="1:6">
      <c r="A9" s="7">
        <v>1030224001</v>
      </c>
      <c r="B9" s="8" t="s">
        <v>289</v>
      </c>
      <c r="C9" s="9">
        <v>2.4</v>
      </c>
      <c r="D9" s="10">
        <v>1.5111699999999999</v>
      </c>
      <c r="E9" s="9">
        <f t="shared" si="2"/>
        <v>62.965416666666663</v>
      </c>
      <c r="F9" s="9">
        <f t="shared" si="1"/>
        <v>-0.88883000000000001</v>
      </c>
    </row>
    <row r="10" spans="1:6">
      <c r="A10" s="7">
        <v>1030225001</v>
      </c>
      <c r="B10" s="8" t="s">
        <v>282</v>
      </c>
      <c r="C10" s="9">
        <v>372.39</v>
      </c>
      <c r="D10" s="10">
        <v>267.36774000000003</v>
      </c>
      <c r="E10" s="9">
        <f t="shared" si="2"/>
        <v>71.797776524611294</v>
      </c>
      <c r="F10" s="9">
        <f t="shared" si="1"/>
        <v>-105.02225999999996</v>
      </c>
    </row>
    <row r="11" spans="1:6">
      <c r="A11" s="7">
        <v>1030226001</v>
      </c>
      <c r="B11" s="8" t="s">
        <v>291</v>
      </c>
      <c r="C11" s="9">
        <v>0</v>
      </c>
      <c r="D11" s="10">
        <v>-41.116779999999999</v>
      </c>
      <c r="E11" s="9" t="e">
        <f t="shared" si="2"/>
        <v>#DIV/0!</v>
      </c>
      <c r="F11" s="9">
        <f t="shared" si="1"/>
        <v>-41.116779999999999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5">
        <f>D15+D16</f>
        <v>369.31601000000001</v>
      </c>
      <c r="E14" s="5">
        <f t="shared" si="0"/>
        <v>38.136721396117309</v>
      </c>
      <c r="F14" s="5">
        <f t="shared" si="1"/>
        <v>-599.08398999999997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10">
        <v>62.471710000000002</v>
      </c>
      <c r="E15" s="9">
        <f t="shared" si="0"/>
        <v>34.063091603053437</v>
      </c>
      <c r="F15" s="9">
        <f>SUM(D15-C15)</f>
        <v>-120.92829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306.84429999999998</v>
      </c>
      <c r="E16" s="9">
        <f t="shared" si="0"/>
        <v>39.088445859872607</v>
      </c>
      <c r="F16" s="9">
        <f t="shared" si="1"/>
        <v>-478.15570000000002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32.599159999999998</v>
      </c>
      <c r="E25" s="5">
        <f t="shared" si="0"/>
        <v>27.165966666666662</v>
      </c>
      <c r="F25" s="5">
        <f t="shared" si="1"/>
        <v>-87.400840000000002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32.599159999999998</v>
      </c>
      <c r="E26" s="5">
        <f t="shared" si="0"/>
        <v>27.165966666666662</v>
      </c>
      <c r="F26" s="5">
        <f t="shared" si="1"/>
        <v>-87.400840000000002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12.19796</v>
      </c>
      <c r="E28" s="9">
        <f t="shared" si="0"/>
        <v>12.19796</v>
      </c>
      <c r="F28" s="9">
        <f t="shared" si="1"/>
        <v>-87.802040000000005</v>
      </c>
    </row>
    <row r="29" spans="1:6" ht="18" customHeight="1">
      <c r="A29" s="7">
        <v>1110503505</v>
      </c>
      <c r="B29" s="11" t="s">
        <v>225</v>
      </c>
      <c r="C29" s="12">
        <v>20</v>
      </c>
      <c r="D29" s="10">
        <v>20.401199999999999</v>
      </c>
      <c r="E29" s="9">
        <f t="shared" si="0"/>
        <v>102.006</v>
      </c>
      <c r="F29" s="9">
        <f t="shared" si="1"/>
        <v>0.40119999999999933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hidden="1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1783.25</v>
      </c>
      <c r="D40" s="127">
        <f>D4+D25</f>
        <v>869.46643999999992</v>
      </c>
      <c r="E40" s="5">
        <f t="shared" si="0"/>
        <v>48.757405860086919</v>
      </c>
      <c r="F40" s="5">
        <f t="shared" si="1"/>
        <v>-913.78356000000008</v>
      </c>
    </row>
    <row r="41" spans="1:7" s="6" customFormat="1">
      <c r="A41" s="3">
        <v>2000000000</v>
      </c>
      <c r="B41" s="4" t="s">
        <v>20</v>
      </c>
      <c r="C41" s="5">
        <f>C42+C44+C46+C47+C48+C49+C43+C45+C51</f>
        <v>9550.5293899999997</v>
      </c>
      <c r="D41" s="5">
        <f>D42+D44+D46+D47+D48+D49+D43+D45+D51</f>
        <v>1825.5870000000002</v>
      </c>
      <c r="E41" s="5">
        <f t="shared" si="0"/>
        <v>19.115034627415561</v>
      </c>
      <c r="F41" s="5">
        <f t="shared" si="1"/>
        <v>-7724.9423899999992</v>
      </c>
      <c r="G41" s="19"/>
    </row>
    <row r="42" spans="1:7">
      <c r="A42" s="16">
        <v>2021000000</v>
      </c>
      <c r="B42" s="17" t="s">
        <v>21</v>
      </c>
      <c r="C42" s="99">
        <f>1943.3+29.612</f>
        <v>1972.912</v>
      </c>
      <c r="D42" s="20">
        <v>1464.9580000000001</v>
      </c>
      <c r="E42" s="9">
        <f t="shared" si="0"/>
        <v>74.253590631513219</v>
      </c>
      <c r="F42" s="9">
        <f t="shared" si="1"/>
        <v>-507.95399999999995</v>
      </c>
    </row>
    <row r="43" spans="1:7">
      <c r="A43" s="16">
        <v>2021500200</v>
      </c>
      <c r="B43" s="17" t="s">
        <v>232</v>
      </c>
      <c r="C43" s="12">
        <v>320</v>
      </c>
      <c r="D43" s="20">
        <v>50</v>
      </c>
      <c r="E43" s="9">
        <f t="shared" si="0"/>
        <v>15.625</v>
      </c>
      <c r="F43" s="9">
        <f t="shared" si="1"/>
        <v>-270</v>
      </c>
    </row>
    <row r="44" spans="1:7" ht="16.5" customHeight="1">
      <c r="A44" s="16">
        <v>2022000000</v>
      </c>
      <c r="B44" s="17" t="s">
        <v>22</v>
      </c>
      <c r="C44" s="12">
        <f>5685.10639+469+835.948</f>
        <v>6990.0543900000002</v>
      </c>
      <c r="D44" s="10">
        <v>72.200999999999993</v>
      </c>
      <c r="E44" s="9">
        <f t="shared" si="0"/>
        <v>1.0329104177399682</v>
      </c>
      <c r="F44" s="9">
        <f t="shared" si="1"/>
        <v>-6917.8533900000002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12">
        <f>3.359+150.881</f>
        <v>154.24</v>
      </c>
      <c r="D46" s="252">
        <v>125.105</v>
      </c>
      <c r="E46" s="9">
        <f>SUM(D46/C46*100)</f>
        <v>81.110606846473033</v>
      </c>
      <c r="F46" s="9">
        <f>SUM(D46-C46)</f>
        <v>-29.135000000000005</v>
      </c>
    </row>
    <row r="47" spans="1:7" hidden="1">
      <c r="A47" s="16">
        <v>2020400000</v>
      </c>
      <c r="B47" s="17" t="s">
        <v>24</v>
      </c>
      <c r="C47" s="12">
        <v>0</v>
      </c>
      <c r="D47" s="253">
        <v>0</v>
      </c>
      <c r="E47" s="9" t="e">
        <f t="shared" si="0"/>
        <v>#DIV/0!</v>
      </c>
      <c r="F47" s="9">
        <f t="shared" si="1"/>
        <v>0</v>
      </c>
    </row>
    <row r="48" spans="1:7" ht="47.25" hidden="1">
      <c r="A48" s="16">
        <v>2020900000</v>
      </c>
      <c r="B48" s="18" t="s">
        <v>25</v>
      </c>
      <c r="C48" s="12">
        <v>0</v>
      </c>
      <c r="D48" s="253">
        <v>0</v>
      </c>
      <c r="E48" s="9" t="e">
        <f t="shared" si="0"/>
        <v>#DIV/0!</v>
      </c>
      <c r="F48" s="9">
        <f t="shared" si="1"/>
        <v>0</v>
      </c>
    </row>
    <row r="49" spans="1:8" hidden="1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330">
        <v>113.32299999999999</v>
      </c>
      <c r="D51" s="331">
        <v>113.32299999999999</v>
      </c>
      <c r="E51" s="9">
        <f t="shared" si="0"/>
        <v>100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5">
        <f>C40+C41</f>
        <v>11333.77939</v>
      </c>
      <c r="D52" s="397">
        <f>D40+D41</f>
        <v>2695.0534400000001</v>
      </c>
      <c r="E52" s="5">
        <f t="shared" si="0"/>
        <v>23.778947403704496</v>
      </c>
      <c r="F52" s="5">
        <f t="shared" si="1"/>
        <v>-8638.72595</v>
      </c>
      <c r="G52" s="94"/>
      <c r="H52" s="94"/>
    </row>
    <row r="53" spans="1:8" s="6" customFormat="1">
      <c r="A53" s="3"/>
      <c r="B53" s="21" t="s">
        <v>321</v>
      </c>
      <c r="C53" s="5">
        <f>C52-C100</f>
        <v>-110.81862000000001</v>
      </c>
      <c r="D53" s="5">
        <f>D52-D100</f>
        <v>356.35919000000013</v>
      </c>
      <c r="E53" s="22"/>
      <c r="F53" s="22"/>
    </row>
    <row r="54" spans="1:8" ht="32.25" customHeight="1">
      <c r="A54" s="23"/>
      <c r="B54" s="24"/>
      <c r="C54" s="248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412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32">
        <f>C58+C59+C60+C61+C62+C64+C63</f>
        <v>1298.712</v>
      </c>
      <c r="D57" s="33">
        <f>D58+D59+D60+D61+D62+D64+D63</f>
        <v>855.32187999999996</v>
      </c>
      <c r="E57" s="34">
        <f>SUM(D57/C57*100)</f>
        <v>65.859242079845259</v>
      </c>
      <c r="F57" s="34">
        <f>SUM(D57-C57)</f>
        <v>-443.39012000000002</v>
      </c>
    </row>
    <row r="58" spans="1:8" s="6" customFormat="1" ht="1.5" hidden="1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37">
        <v>1265.029</v>
      </c>
      <c r="D59" s="37">
        <v>830.29337999999996</v>
      </c>
      <c r="E59" s="38">
        <f t="shared" ref="E59:E100" si="3">SUM(D59/C59*100)</f>
        <v>65.634335655546238</v>
      </c>
      <c r="F59" s="38">
        <f t="shared" ref="F59:F100" si="4">SUM(D59-C59)</f>
        <v>-434.73562000000004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37">
        <f>22.083+6.6</f>
        <v>28.683</v>
      </c>
      <c r="D64" s="37">
        <v>25.028500000000001</v>
      </c>
      <c r="E64" s="38">
        <f t="shared" si="3"/>
        <v>87.25900359097723</v>
      </c>
      <c r="F64" s="38">
        <f t="shared" si="4"/>
        <v>-3.6544999999999987</v>
      </c>
    </row>
    <row r="65" spans="1:7" s="6" customFormat="1">
      <c r="A65" s="41" t="s">
        <v>46</v>
      </c>
      <c r="B65" s="42" t="s">
        <v>47</v>
      </c>
      <c r="C65" s="32">
        <f>C66</f>
        <v>150.881</v>
      </c>
      <c r="D65" s="32">
        <f>D66</f>
        <v>96.731999999999999</v>
      </c>
      <c r="E65" s="34">
        <f t="shared" si="3"/>
        <v>64.111452071500054</v>
      </c>
      <c r="F65" s="34">
        <f t="shared" si="4"/>
        <v>-54.149000000000001</v>
      </c>
    </row>
    <row r="66" spans="1:7" ht="15" customHeight="1">
      <c r="A66" s="43" t="s">
        <v>48</v>
      </c>
      <c r="B66" s="44" t="s">
        <v>49</v>
      </c>
      <c r="C66" s="37">
        <f>150.881</f>
        <v>150.881</v>
      </c>
      <c r="D66" s="37">
        <v>96.731999999999999</v>
      </c>
      <c r="E66" s="38">
        <f t="shared" si="3"/>
        <v>64.111452071500054</v>
      </c>
      <c r="F66" s="38">
        <f t="shared" si="4"/>
        <v>-54.149000000000001</v>
      </c>
    </row>
    <row r="67" spans="1:7" s="6" customFormat="1" ht="18" customHeight="1">
      <c r="A67" s="30" t="s">
        <v>50</v>
      </c>
      <c r="B67" s="31" t="s">
        <v>51</v>
      </c>
      <c r="C67" s="32">
        <f>C70+C71</f>
        <v>7.6</v>
      </c>
      <c r="D67" s="32">
        <f>D70+D71</f>
        <v>2.4700000000000002</v>
      </c>
      <c r="E67" s="34">
        <f t="shared" si="3"/>
        <v>32.500000000000007</v>
      </c>
      <c r="F67" s="34">
        <f t="shared" si="4"/>
        <v>-5.129999999999999</v>
      </c>
    </row>
    <row r="68" spans="1:7" ht="0.75" hidden="1" customHeight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37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7.25" customHeight="1">
      <c r="A71" s="46" t="s">
        <v>219</v>
      </c>
      <c r="B71" s="47" t="s">
        <v>220</v>
      </c>
      <c r="C71" s="37">
        <v>5.6</v>
      </c>
      <c r="D71" s="37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s="6" customFormat="1" ht="19.5" customHeight="1">
      <c r="A72" s="30" t="s">
        <v>58</v>
      </c>
      <c r="B72" s="31" t="s">
        <v>59</v>
      </c>
      <c r="C72" s="48">
        <f>C74+C75+C76+C73</f>
        <v>1935.0906200000002</v>
      </c>
      <c r="D72" s="48">
        <f>SUM(D73:D76)</f>
        <v>352.3</v>
      </c>
      <c r="E72" s="34">
        <f t="shared" si="3"/>
        <v>18.205865728396738</v>
      </c>
      <c r="F72" s="34">
        <f t="shared" si="4"/>
        <v>-1582.7906200000002</v>
      </c>
    </row>
    <row r="73" spans="1:7" ht="17.25" customHeight="1">
      <c r="A73" s="35" t="s">
        <v>60</v>
      </c>
      <c r="B73" s="39" t="s">
        <v>61</v>
      </c>
      <c r="C73" s="49">
        <f>3.359+6.35</f>
        <v>9.7089999999999996</v>
      </c>
      <c r="D73" s="37">
        <v>0</v>
      </c>
      <c r="E73" s="38">
        <f t="shared" si="3"/>
        <v>0</v>
      </c>
      <c r="F73" s="38">
        <f t="shared" si="4"/>
        <v>-9.7089999999999996</v>
      </c>
    </row>
    <row r="74" spans="1:7" s="6" customFormat="1" ht="17.25" customHeight="1">
      <c r="A74" s="35" t="s">
        <v>62</v>
      </c>
      <c r="B74" s="39" t="s">
        <v>63</v>
      </c>
      <c r="C74" s="49">
        <v>251.899</v>
      </c>
      <c r="D74" s="37">
        <v>65</v>
      </c>
      <c r="E74" s="38">
        <f t="shared" si="3"/>
        <v>25.803992870158275</v>
      </c>
      <c r="F74" s="38">
        <f t="shared" si="4"/>
        <v>-186.899</v>
      </c>
      <c r="G74" s="50"/>
    </row>
    <row r="75" spans="1:7" ht="16.5" customHeight="1">
      <c r="A75" s="35" t="s">
        <v>64</v>
      </c>
      <c r="B75" s="39" t="s">
        <v>65</v>
      </c>
      <c r="C75" s="49">
        <f>1059.28262+521.2</f>
        <v>1580.48262</v>
      </c>
      <c r="D75" s="37">
        <v>198</v>
      </c>
      <c r="E75" s="38">
        <f t="shared" si="3"/>
        <v>12.52781887598359</v>
      </c>
      <c r="F75" s="38">
        <f t="shared" si="4"/>
        <v>-1382.48262</v>
      </c>
    </row>
    <row r="76" spans="1:7" ht="16.5" customHeight="1">
      <c r="A76" s="35" t="s">
        <v>66</v>
      </c>
      <c r="B76" s="39" t="s">
        <v>67</v>
      </c>
      <c r="C76" s="49">
        <v>93</v>
      </c>
      <c r="D76" s="37">
        <f>33+56.3</f>
        <v>89.3</v>
      </c>
      <c r="E76" s="38">
        <f t="shared" si="3"/>
        <v>96.021505376344081</v>
      </c>
      <c r="F76" s="38">
        <f t="shared" si="4"/>
        <v>-3.7000000000000028</v>
      </c>
    </row>
    <row r="77" spans="1:7" ht="15.75" hidden="1" customHeight="1">
      <c r="A77" s="30" t="s">
        <v>50</v>
      </c>
      <c r="B77" s="31" t="s">
        <v>51</v>
      </c>
      <c r="C77" s="48">
        <v>0</v>
      </c>
      <c r="D77" s="37"/>
      <c r="E77" s="38"/>
      <c r="F77" s="38"/>
    </row>
    <row r="78" spans="1:7" ht="15.75" hidden="1" customHeight="1">
      <c r="A78" s="46" t="s">
        <v>219</v>
      </c>
      <c r="B78" s="47" t="s">
        <v>220</v>
      </c>
      <c r="C78" s="49">
        <v>0</v>
      </c>
      <c r="D78" s="37"/>
      <c r="E78" s="38"/>
      <c r="F78" s="38"/>
    </row>
    <row r="79" spans="1:7" s="6" customFormat="1" ht="19.5" customHeight="1">
      <c r="A79" s="30" t="s">
        <v>68</v>
      </c>
      <c r="B79" s="31" t="s">
        <v>69</v>
      </c>
      <c r="C79" s="32">
        <f>SUM(C80:C82)</f>
        <v>6684.9143899999999</v>
      </c>
      <c r="D79" s="32">
        <f>SUM(D80:D82)</f>
        <v>135.43883</v>
      </c>
      <c r="E79" s="34">
        <f t="shared" si="3"/>
        <v>2.026036865970994</v>
      </c>
      <c r="F79" s="34">
        <f t="shared" si="4"/>
        <v>-6549.4755599999999</v>
      </c>
    </row>
    <row r="80" spans="1:7" hidden="1">
      <c r="A80" s="35" t="s">
        <v>70</v>
      </c>
      <c r="B80" s="51" t="s">
        <v>71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>
      <c r="A81" s="35" t="s">
        <v>72</v>
      </c>
      <c r="B81" s="51" t="s">
        <v>73</v>
      </c>
      <c r="C81" s="37">
        <v>5884.1903899999998</v>
      </c>
      <c r="D81" s="37">
        <v>0</v>
      </c>
      <c r="E81" s="38">
        <f t="shared" si="3"/>
        <v>0</v>
      </c>
      <c r="F81" s="38">
        <f t="shared" si="4"/>
        <v>-5884.1903899999998</v>
      </c>
    </row>
    <row r="82" spans="1:6">
      <c r="A82" s="35" t="s">
        <v>74</v>
      </c>
      <c r="B82" s="39" t="s">
        <v>75</v>
      </c>
      <c r="C82" s="37">
        <v>800.72400000000005</v>
      </c>
      <c r="D82" s="37">
        <v>135.43883</v>
      </c>
      <c r="E82" s="38">
        <f t="shared" si="3"/>
        <v>16.914546085792356</v>
      </c>
      <c r="F82" s="38">
        <f t="shared" si="4"/>
        <v>-665.28517000000011</v>
      </c>
    </row>
    <row r="83" spans="1:6" s="6" customFormat="1">
      <c r="A83" s="30" t="s">
        <v>86</v>
      </c>
      <c r="B83" s="31" t="s">
        <v>87</v>
      </c>
      <c r="C83" s="32">
        <f>C84</f>
        <v>1357.4</v>
      </c>
      <c r="D83" s="32">
        <f>SUM(D84)</f>
        <v>894.90153999999995</v>
      </c>
      <c r="E83" s="34">
        <f t="shared" si="3"/>
        <v>65.927621924266973</v>
      </c>
      <c r="F83" s="34">
        <f t="shared" si="4"/>
        <v>-462.49846000000014</v>
      </c>
    </row>
    <row r="84" spans="1:6" ht="16.5" customHeight="1">
      <c r="A84" s="35" t="s">
        <v>88</v>
      </c>
      <c r="B84" s="39" t="s">
        <v>234</v>
      </c>
      <c r="C84" s="37">
        <v>1357.4</v>
      </c>
      <c r="D84" s="37">
        <v>894.90153999999995</v>
      </c>
      <c r="E84" s="38">
        <f t="shared" si="3"/>
        <v>65.927621924266973</v>
      </c>
      <c r="F84" s="38">
        <f t="shared" si="4"/>
        <v>-462.49846000000014</v>
      </c>
    </row>
    <row r="85" spans="1:6" s="6" customFormat="1" ht="0.75" hidden="1" customHeight="1">
      <c r="A85" s="52">
        <v>1000</v>
      </c>
      <c r="B85" s="31" t="s">
        <v>89</v>
      </c>
      <c r="C85" s="32">
        <f>SUM(C86:C89)</f>
        <v>0</v>
      </c>
      <c r="D85" s="32">
        <f>SUM(D86:D89)</f>
        <v>0</v>
      </c>
      <c r="E85" s="34" t="e">
        <f t="shared" si="3"/>
        <v>#DIV/0!</v>
      </c>
      <c r="F85" s="34">
        <f t="shared" si="4"/>
        <v>0</v>
      </c>
    </row>
    <row r="86" spans="1:6" ht="15" hidden="1" customHeight="1">
      <c r="A86" s="53">
        <v>1001</v>
      </c>
      <c r="B86" s="54" t="s">
        <v>90</v>
      </c>
      <c r="C86" s="37"/>
      <c r="D86" s="37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1003</v>
      </c>
      <c r="B87" s="54" t="s">
        <v>91</v>
      </c>
      <c r="C87" s="37">
        <v>0</v>
      </c>
      <c r="D87" s="37">
        <v>0</v>
      </c>
      <c r="E87" s="38" t="e">
        <f t="shared" si="3"/>
        <v>#DIV/0!</v>
      </c>
      <c r="F87" s="38">
        <f t="shared" si="4"/>
        <v>0</v>
      </c>
    </row>
    <row r="88" spans="1:6" ht="16.5" hidden="1" customHeight="1">
      <c r="A88" s="53">
        <v>1004</v>
      </c>
      <c r="B88" s="54" t="s">
        <v>92</v>
      </c>
      <c r="C88" s="37">
        <v>0</v>
      </c>
      <c r="D88" s="55">
        <v>0</v>
      </c>
      <c r="E88" s="38" t="e">
        <f t="shared" si="3"/>
        <v>#DIV/0!</v>
      </c>
      <c r="F88" s="38">
        <f t="shared" si="4"/>
        <v>0</v>
      </c>
    </row>
    <row r="89" spans="1:6" ht="12.75" hidden="1" customHeight="1">
      <c r="A89" s="35" t="s">
        <v>93</v>
      </c>
      <c r="B89" s="39" t="s">
        <v>94</v>
      </c>
      <c r="C89" s="37">
        <v>0</v>
      </c>
      <c r="D89" s="37">
        <v>0</v>
      </c>
      <c r="E89" s="38"/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32">
        <f>C91+C92+C93+C94+C95</f>
        <v>10</v>
      </c>
      <c r="D90" s="32">
        <f>D91+D92+D93+D94+D95</f>
        <v>1.53</v>
      </c>
      <c r="E90" s="38">
        <f t="shared" si="3"/>
        <v>15.299999999999999</v>
      </c>
      <c r="F90" s="22">
        <f>F91+F92+F93+F94+F95</f>
        <v>-8.4700000000000006</v>
      </c>
    </row>
    <row r="91" spans="1:6" ht="19.5" customHeight="1">
      <c r="A91" s="35" t="s">
        <v>97</v>
      </c>
      <c r="B91" s="39" t="s">
        <v>98</v>
      </c>
      <c r="C91" s="37">
        <v>10</v>
      </c>
      <c r="D91" s="37">
        <v>1.53</v>
      </c>
      <c r="E91" s="38">
        <f t="shared" si="3"/>
        <v>15.299999999999999</v>
      </c>
      <c r="F91" s="38">
        <f>SUM(D91-C91)</f>
        <v>-8.4700000000000006</v>
      </c>
    </row>
    <row r="92" spans="1:6" ht="15" hidden="1" customHeight="1">
      <c r="A92" s="35" t="s">
        <v>99</v>
      </c>
      <c r="B92" s="39" t="s">
        <v>100</v>
      </c>
      <c r="C92" s="37"/>
      <c r="D92" s="37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37"/>
      <c r="D93" s="37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37"/>
      <c r="D94" s="37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1"/>
      <c r="D95" s="241"/>
      <c r="E95" s="38" t="e">
        <f t="shared" si="3"/>
        <v>#DIV/0!</v>
      </c>
      <c r="F95" s="38"/>
    </row>
    <row r="96" spans="1:6" s="6" customFormat="1" ht="15" hidden="1" customHeight="1">
      <c r="A96" s="52">
        <v>1400</v>
      </c>
      <c r="B96" s="56" t="s">
        <v>115</v>
      </c>
      <c r="C96" s="48">
        <f>C97+C98+C99</f>
        <v>0</v>
      </c>
      <c r="D96" s="48">
        <f>SUM(D97:D99)</f>
        <v>0</v>
      </c>
      <c r="E96" s="34" t="e">
        <f t="shared" si="3"/>
        <v>#DIV/0!</v>
      </c>
      <c r="F96" s="34">
        <f t="shared" si="4"/>
        <v>0</v>
      </c>
    </row>
    <row r="97" spans="1:6" ht="16.5" hidden="1" customHeight="1">
      <c r="A97" s="53">
        <v>1401</v>
      </c>
      <c r="B97" s="54" t="s">
        <v>116</v>
      </c>
      <c r="C97" s="92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6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s="6" customFormat="1">
      <c r="A100" s="52"/>
      <c r="B100" s="57" t="s">
        <v>119</v>
      </c>
      <c r="C100" s="102">
        <f>C57+C65+C67+C72+C79+C83+C85+C90+C77</f>
        <v>11444.59801</v>
      </c>
      <c r="D100" s="102">
        <f>D57+D65+D67+D72+D79+D83+D90+D85</f>
        <v>2338.69425</v>
      </c>
      <c r="E100" s="34">
        <f t="shared" si="3"/>
        <v>20.434918272852471</v>
      </c>
      <c r="F100" s="34">
        <f t="shared" si="4"/>
        <v>-9105.9037599999992</v>
      </c>
    </row>
    <row r="101" spans="1:6" ht="5.25" customHeight="1">
      <c r="C101" s="120"/>
      <c r="D101" s="61"/>
    </row>
    <row r="102" spans="1:6" s="65" customFormat="1" ht="12.75">
      <c r="A102" s="63" t="s">
        <v>120</v>
      </c>
      <c r="B102" s="63"/>
      <c r="C102" s="116"/>
      <c r="D102" s="64"/>
    </row>
    <row r="103" spans="1:6" s="65" customFormat="1" ht="12.75">
      <c r="A103" s="66" t="s">
        <v>121</v>
      </c>
      <c r="B103" s="66"/>
      <c r="C103" s="65" t="s">
        <v>122</v>
      </c>
    </row>
    <row r="104" spans="1:6">
      <c r="C104" s="120"/>
    </row>
    <row r="142" hidden="1"/>
  </sheetData>
  <customSheetViews>
    <customSheetView guid="{D9DF2AB9-CCB8-40C7-9C85-E4DDD4810EEF}" scale="70" showPageBreaks="1" printArea="1" hiddenRows="1" view="pageBreakPreview" topLeftCell="A73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3"/>
    </customSheetView>
    <customSheetView guid="{5BFCA170-DEAE-4D2C-98A0-1E68B427AC01}" showPageBreaks="1" printArea="1" hiddenRows="1" topLeftCell="A47">
      <selection activeCell="B100" sqref="B100"/>
      <pageMargins left="0.7" right="0.7" top="0.75" bottom="0.75" header="0.3" footer="0.3"/>
      <pageSetup paperSize="9" scale="51" orientation="portrait" r:id="rId4"/>
    </customSheetView>
    <customSheetView guid="{B30CE22D-C12F-4E12-8BB9-3AAE0A6991CC}" scale="70" showPageBreaks="1" printArea="1" hiddenRows="1" view="pageBreakPreview" topLeftCell="A54">
      <selection activeCell="D91" sqref="D9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printArea="1" hiddenRows="1" view="pageBreakPreview" topLeftCell="A73">
      <selection activeCell="C52" activeCellId="1" sqref="C100:D100 C52:D53"/>
      <pageMargins left="0.70866141732283472" right="0.70866141732283472" top="0.74803149606299213" bottom="0.74803149606299213" header="0.31496062992125984" footer="0.31496062992125984"/>
      <pageSetup paperSize="9" scale="64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1"/>
  <sheetViews>
    <sheetView view="pageBreakPreview" topLeftCell="A53" zoomScale="70" zoomScaleNormal="100" zoomScaleSheetLayoutView="70" workbookViewId="0">
      <selection activeCell="C50" activeCellId="1" sqref="C96:D96 C50:D51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46" t="s">
        <v>421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1">
        <f>C5+C12+C14+C17+C20+C7</f>
        <v>4160.33</v>
      </c>
      <c r="D4" s="281">
        <f>D5+D12+D14+D17+D20+D7</f>
        <v>2070.4950699999999</v>
      </c>
      <c r="E4" s="5">
        <f>SUM(D4/C4*100)</f>
        <v>49.767568197715086</v>
      </c>
      <c r="F4" s="5">
        <f>SUM(D4-C4)</f>
        <v>-2089.83493</v>
      </c>
    </row>
    <row r="5" spans="1:6" s="6" customFormat="1">
      <c r="A5" s="68">
        <v>1010000000</v>
      </c>
      <c r="B5" s="67" t="s">
        <v>6</v>
      </c>
      <c r="C5" s="281">
        <f>C6</f>
        <v>456.3</v>
      </c>
      <c r="D5" s="281">
        <f>D6</f>
        <v>272.32997</v>
      </c>
      <c r="E5" s="5">
        <f t="shared" ref="E5:E50" si="0">SUM(D5/C5*100)</f>
        <v>59.682220030681563</v>
      </c>
      <c r="F5" s="5">
        <f t="shared" ref="F5:F50" si="1">SUM(D5-C5)</f>
        <v>-183.97003000000001</v>
      </c>
    </row>
    <row r="6" spans="1:6">
      <c r="A6" s="7">
        <v>1010200001</v>
      </c>
      <c r="B6" s="8" t="s">
        <v>229</v>
      </c>
      <c r="C6" s="332">
        <v>456.3</v>
      </c>
      <c r="D6" s="333">
        <v>272.32997</v>
      </c>
      <c r="E6" s="9">
        <f t="shared" ref="E6:E11" si="2">SUM(D6/C6*100)</f>
        <v>59.682220030681563</v>
      </c>
      <c r="F6" s="9">
        <f t="shared" si="1"/>
        <v>-183.97003000000001</v>
      </c>
    </row>
    <row r="7" spans="1:6" ht="31.5">
      <c r="A7" s="3">
        <v>1030000000</v>
      </c>
      <c r="B7" s="13" t="s">
        <v>281</v>
      </c>
      <c r="C7" s="281">
        <f>C8+C10+C9</f>
        <v>713.03000000000009</v>
      </c>
      <c r="D7" s="281">
        <f>D8+D10+D9+D11</f>
        <v>482.06760000000008</v>
      </c>
      <c r="E7" s="5">
        <f t="shared" si="2"/>
        <v>67.608319425550121</v>
      </c>
      <c r="F7" s="5">
        <f t="shared" si="1"/>
        <v>-230.9624</v>
      </c>
    </row>
    <row r="8" spans="1:6">
      <c r="A8" s="7">
        <v>1030223001</v>
      </c>
      <c r="B8" s="8" t="s">
        <v>283</v>
      </c>
      <c r="C8" s="332">
        <v>265.95999999999998</v>
      </c>
      <c r="D8" s="333">
        <v>210.37995000000001</v>
      </c>
      <c r="E8" s="9">
        <f t="shared" si="2"/>
        <v>79.102101819822536</v>
      </c>
      <c r="F8" s="9">
        <f t="shared" si="1"/>
        <v>-55.580049999999972</v>
      </c>
    </row>
    <row r="9" spans="1:6">
      <c r="A9" s="7">
        <v>1030224001</v>
      </c>
      <c r="B9" s="8" t="s">
        <v>289</v>
      </c>
      <c r="C9" s="332">
        <v>2.85</v>
      </c>
      <c r="D9" s="333">
        <v>1.8025800000000001</v>
      </c>
      <c r="E9" s="9">
        <f t="shared" si="2"/>
        <v>63.248421052631578</v>
      </c>
      <c r="F9" s="9">
        <f t="shared" si="1"/>
        <v>-1.04742</v>
      </c>
    </row>
    <row r="10" spans="1:6">
      <c r="A10" s="7">
        <v>1030225001</v>
      </c>
      <c r="B10" s="8" t="s">
        <v>282</v>
      </c>
      <c r="C10" s="332">
        <v>444.22</v>
      </c>
      <c r="D10" s="333">
        <v>318.93153000000001</v>
      </c>
      <c r="E10" s="9">
        <f t="shared" si="2"/>
        <v>71.795851154833187</v>
      </c>
      <c r="F10" s="9">
        <f t="shared" si="1"/>
        <v>-125.28847000000002</v>
      </c>
    </row>
    <row r="11" spans="1:6">
      <c r="A11" s="7">
        <v>1030226001</v>
      </c>
      <c r="B11" s="8" t="s">
        <v>290</v>
      </c>
      <c r="C11" s="332">
        <v>0</v>
      </c>
      <c r="D11" s="331">
        <v>-49.046460000000003</v>
      </c>
      <c r="E11" s="9" t="e">
        <f t="shared" si="2"/>
        <v>#DIV/0!</v>
      </c>
      <c r="F11" s="9">
        <f t="shared" si="1"/>
        <v>-49.046460000000003</v>
      </c>
    </row>
    <row r="12" spans="1:6" s="6" customFormat="1">
      <c r="A12" s="68">
        <v>1050000000</v>
      </c>
      <c r="B12" s="67" t="s">
        <v>7</v>
      </c>
      <c r="C12" s="281">
        <f>SUM(C13:C13)</f>
        <v>50</v>
      </c>
      <c r="D12" s="281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4">
        <v>50</v>
      </c>
      <c r="D13" s="333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1">
        <f>C15+C16</f>
        <v>2916</v>
      </c>
      <c r="D14" s="281">
        <f>D15+D16</f>
        <v>1268.03477</v>
      </c>
      <c r="E14" s="5">
        <f t="shared" si="0"/>
        <v>43.485417352537716</v>
      </c>
      <c r="F14" s="5">
        <f t="shared" si="1"/>
        <v>-1647.96523</v>
      </c>
    </row>
    <row r="15" spans="1:6" s="6" customFormat="1" ht="15.75" customHeight="1">
      <c r="A15" s="7">
        <v>1060100000</v>
      </c>
      <c r="B15" s="11" t="s">
        <v>9</v>
      </c>
      <c r="C15" s="332">
        <v>255</v>
      </c>
      <c r="D15" s="333">
        <v>68.353359999999995</v>
      </c>
      <c r="E15" s="9">
        <f t="shared" si="0"/>
        <v>26.805239215686271</v>
      </c>
      <c r="F15" s="9">
        <f>SUM(D15-C15)</f>
        <v>-186.64663999999999</v>
      </c>
    </row>
    <row r="16" spans="1:6" ht="15.75" customHeight="1">
      <c r="A16" s="7">
        <v>1060600000</v>
      </c>
      <c r="B16" s="11" t="s">
        <v>8</v>
      </c>
      <c r="C16" s="332">
        <v>2661</v>
      </c>
      <c r="D16" s="333">
        <v>1199.6814099999999</v>
      </c>
      <c r="E16" s="9">
        <f t="shared" si="0"/>
        <v>45.083856069146933</v>
      </c>
      <c r="F16" s="9">
        <f t="shared" si="1"/>
        <v>-1461.3185900000001</v>
      </c>
    </row>
    <row r="17" spans="1:6" s="6" customFormat="1">
      <c r="A17" s="3">
        <v>1080000000</v>
      </c>
      <c r="B17" s="4" t="s">
        <v>11</v>
      </c>
      <c r="C17" s="281">
        <f>C18</f>
        <v>25</v>
      </c>
      <c r="D17" s="281">
        <f>D18</f>
        <v>19.899999999999999</v>
      </c>
      <c r="E17" s="5">
        <f t="shared" si="0"/>
        <v>79.599999999999994</v>
      </c>
      <c r="F17" s="5">
        <f t="shared" si="1"/>
        <v>-5.1000000000000014</v>
      </c>
    </row>
    <row r="18" spans="1:6" ht="18" customHeight="1">
      <c r="A18" s="7">
        <v>1080400001</v>
      </c>
      <c r="B18" s="8" t="s">
        <v>228</v>
      </c>
      <c r="C18" s="332">
        <v>25</v>
      </c>
      <c r="D18" s="333">
        <v>19.899999999999999</v>
      </c>
      <c r="E18" s="9">
        <f t="shared" si="0"/>
        <v>79.599999999999994</v>
      </c>
      <c r="F18" s="9">
        <f t="shared" si="1"/>
        <v>-5.1000000000000014</v>
      </c>
    </row>
    <row r="19" spans="1:6" ht="47.25" hidden="1" customHeight="1">
      <c r="A19" s="7">
        <v>1080714001</v>
      </c>
      <c r="B19" s="8" t="s">
        <v>12</v>
      </c>
      <c r="C19" s="332"/>
      <c r="D19" s="333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1">
        <f>C21+C22+C23+C24</f>
        <v>0</v>
      </c>
      <c r="D20" s="281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281"/>
      <c r="D21" s="335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1"/>
      <c r="D22" s="335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1"/>
      <c r="D23" s="335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1"/>
      <c r="D24" s="335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1">
        <f>C26+C29+C31+C36</f>
        <v>72</v>
      </c>
      <c r="D25" s="93">
        <f>D26+D29+D31+D36+D34</f>
        <v>-269.79305999999997</v>
      </c>
      <c r="E25" s="5">
        <f t="shared" si="0"/>
        <v>-374.71258333333333</v>
      </c>
      <c r="F25" s="5">
        <f t="shared" si="1"/>
        <v>-341.79305999999997</v>
      </c>
    </row>
    <row r="26" spans="1:6" s="6" customFormat="1" ht="30" customHeight="1">
      <c r="A26" s="68">
        <v>1110000000</v>
      </c>
      <c r="B26" s="69" t="s">
        <v>129</v>
      </c>
      <c r="C26" s="281">
        <f>C27+C28</f>
        <v>72</v>
      </c>
      <c r="D26" s="93">
        <f>D27+D28</f>
        <v>-286.74849999999998</v>
      </c>
      <c r="E26" s="5">
        <f t="shared" si="0"/>
        <v>-398.2618055555555</v>
      </c>
      <c r="F26" s="5">
        <f t="shared" si="1"/>
        <v>-358.74849999999998</v>
      </c>
    </row>
    <row r="27" spans="1:6" ht="15" customHeight="1">
      <c r="A27" s="16">
        <v>1110502510</v>
      </c>
      <c r="B27" s="17" t="s">
        <v>226</v>
      </c>
      <c r="C27" s="334">
        <v>70</v>
      </c>
      <c r="D27" s="331">
        <v>-286.74849999999998</v>
      </c>
      <c r="E27" s="9">
        <f t="shared" si="0"/>
        <v>-409.64071428571424</v>
      </c>
      <c r="F27" s="9">
        <f t="shared" si="1"/>
        <v>-356.74849999999998</v>
      </c>
    </row>
    <row r="28" spans="1:6" ht="15.75" customHeight="1">
      <c r="A28" s="7">
        <v>1110503505</v>
      </c>
      <c r="B28" s="11" t="s">
        <v>225</v>
      </c>
      <c r="C28" s="334">
        <v>2</v>
      </c>
      <c r="D28" s="333">
        <v>0</v>
      </c>
      <c r="E28" s="9">
        <f t="shared" si="0"/>
        <v>0</v>
      </c>
      <c r="F28" s="9">
        <f t="shared" si="1"/>
        <v>-2</v>
      </c>
    </row>
    <row r="29" spans="1:6" s="15" customFormat="1" ht="29.25">
      <c r="A29" s="68">
        <v>1130000000</v>
      </c>
      <c r="B29" s="69" t="s">
        <v>131</v>
      </c>
      <c r="C29" s="281">
        <f>C30</f>
        <v>0</v>
      </c>
      <c r="D29" s="281">
        <f>D30</f>
        <v>17.34844</v>
      </c>
      <c r="E29" s="5" t="e">
        <f t="shared" si="0"/>
        <v>#DIV/0!</v>
      </c>
      <c r="F29" s="5">
        <f t="shared" si="1"/>
        <v>17.34844</v>
      </c>
    </row>
    <row r="30" spans="1:6" ht="17.25" customHeight="1">
      <c r="A30" s="7">
        <v>1130206005</v>
      </c>
      <c r="B30" s="8" t="s">
        <v>224</v>
      </c>
      <c r="C30" s="332">
        <v>0</v>
      </c>
      <c r="D30" s="333">
        <v>17.34844</v>
      </c>
      <c r="E30" s="9" t="e">
        <f t="shared" si="0"/>
        <v>#DIV/0!</v>
      </c>
      <c r="F30" s="9">
        <f t="shared" si="1"/>
        <v>17.34844</v>
      </c>
    </row>
    <row r="31" spans="1:6" ht="28.5" hidden="1">
      <c r="A31" s="70">
        <v>1140000000</v>
      </c>
      <c r="B31" s="71" t="s">
        <v>132</v>
      </c>
      <c r="C31" s="281">
        <f>C32+C33</f>
        <v>0</v>
      </c>
      <c r="D31" s="281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332">
        <v>0</v>
      </c>
      <c r="D32" s="333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332">
        <v>0</v>
      </c>
      <c r="D33" s="333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281">
        <f>C35</f>
        <v>0</v>
      </c>
      <c r="D34" s="281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332">
        <v>0</v>
      </c>
      <c r="D35" s="333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1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32">
        <f>C38</f>
        <v>0</v>
      </c>
      <c r="D37" s="342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hidden="1" customHeight="1">
      <c r="A38" s="7">
        <v>1170505005</v>
      </c>
      <c r="B38" s="11" t="s">
        <v>221</v>
      </c>
      <c r="C38" s="332">
        <v>0</v>
      </c>
      <c r="D38" s="333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6">
        <f>SUM(C4,C25)</f>
        <v>4232.33</v>
      </c>
      <c r="D39" s="336">
        <f>D4+D25</f>
        <v>1800.70201</v>
      </c>
      <c r="E39" s="5">
        <f t="shared" si="0"/>
        <v>42.546351773136784</v>
      </c>
      <c r="F39" s="5">
        <f t="shared" si="1"/>
        <v>-2431.62799</v>
      </c>
    </row>
    <row r="40" spans="1:7" s="6" customFormat="1">
      <c r="A40" s="3">
        <v>2000000000</v>
      </c>
      <c r="B40" s="4" t="s">
        <v>20</v>
      </c>
      <c r="C40" s="281">
        <f>C41+C43+C45+C46+C47+C48+C42+C44</f>
        <v>2703.2826400000004</v>
      </c>
      <c r="D40" s="281">
        <f>D41+D43+D45+D46+D47+D48+D42</f>
        <v>1230.9511</v>
      </c>
      <c r="E40" s="5">
        <f t="shared" si="0"/>
        <v>45.535419855320782</v>
      </c>
      <c r="F40" s="5">
        <f t="shared" si="1"/>
        <v>-1472.3315400000004</v>
      </c>
      <c r="G40" s="19"/>
    </row>
    <row r="41" spans="1:7">
      <c r="A41" s="16">
        <v>2021000000</v>
      </c>
      <c r="B41" s="17" t="s">
        <v>21</v>
      </c>
      <c r="C41" s="337">
        <v>1128.914</v>
      </c>
      <c r="D41" s="338">
        <v>795.84199999999998</v>
      </c>
      <c r="E41" s="9">
        <f t="shared" si="0"/>
        <v>70.496246835454244</v>
      </c>
      <c r="F41" s="9">
        <f t="shared" si="1"/>
        <v>-333.072</v>
      </c>
    </row>
    <row r="42" spans="1:7" ht="17.25" hidden="1" customHeight="1">
      <c r="A42" s="16">
        <v>2021500200</v>
      </c>
      <c r="B42" s="17" t="s">
        <v>232</v>
      </c>
      <c r="C42" s="337">
        <v>0</v>
      </c>
      <c r="D42" s="338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7">
        <v>1190.44364</v>
      </c>
      <c r="D43" s="333">
        <v>85.141999999999996</v>
      </c>
      <c r="E43" s="9">
        <f t="shared" si="0"/>
        <v>7.152123556223124</v>
      </c>
      <c r="F43" s="9">
        <f t="shared" si="1"/>
        <v>-1105.3016399999999</v>
      </c>
    </row>
    <row r="44" spans="1:7" ht="0.75" hidden="1" customHeight="1">
      <c r="A44" s="16">
        <v>2022999910</v>
      </c>
      <c r="B44" s="18" t="s">
        <v>352</v>
      </c>
      <c r="C44" s="337">
        <v>0</v>
      </c>
      <c r="D44" s="333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4">
        <v>157.59899999999999</v>
      </c>
      <c r="D45" s="339">
        <v>126.14109999999999</v>
      </c>
      <c r="E45" s="9">
        <f t="shared" si="0"/>
        <v>80.039276898965099</v>
      </c>
      <c r="F45" s="9">
        <f t="shared" si="1"/>
        <v>-31.457899999999995</v>
      </c>
    </row>
    <row r="46" spans="1:7" ht="12.75" hidden="1" customHeight="1">
      <c r="A46" s="16">
        <v>2020400000</v>
      </c>
      <c r="B46" s="17" t="s">
        <v>24</v>
      </c>
      <c r="C46" s="334"/>
      <c r="D46" s="340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359</v>
      </c>
      <c r="C47" s="334">
        <v>226.32599999999999</v>
      </c>
      <c r="D47" s="340">
        <v>223.82599999999999</v>
      </c>
      <c r="E47" s="9">
        <f t="shared" si="0"/>
        <v>98.895398672711039</v>
      </c>
      <c r="F47" s="9">
        <f t="shared" si="1"/>
        <v>-2.5</v>
      </c>
    </row>
    <row r="48" spans="1:7" ht="21" hidden="1" customHeight="1">
      <c r="A48" s="7">
        <v>2190500005</v>
      </c>
      <c r="B48" s="11" t="s">
        <v>26</v>
      </c>
      <c r="C48" s="335"/>
      <c r="D48" s="335"/>
      <c r="E48" s="5"/>
      <c r="F48" s="5">
        <f>SUM(D48-C48)</f>
        <v>0</v>
      </c>
    </row>
    <row r="49" spans="1:8" s="6" customFormat="1" ht="17.25" hidden="1" customHeight="1">
      <c r="A49" s="3">
        <v>3000000000</v>
      </c>
      <c r="B49" s="13" t="s">
        <v>27</v>
      </c>
      <c r="C49" s="341">
        <v>0</v>
      </c>
      <c r="D49" s="335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396">
        <f>C39+C40</f>
        <v>6935.6126400000003</v>
      </c>
      <c r="D50" s="395">
        <f>D39+D40</f>
        <v>3031.6531100000002</v>
      </c>
      <c r="E50" s="281">
        <f t="shared" si="0"/>
        <v>43.711396056282638</v>
      </c>
      <c r="F50" s="93">
        <f t="shared" si="1"/>
        <v>-3903.9595300000001</v>
      </c>
      <c r="G50" s="151"/>
      <c r="H50" s="296"/>
    </row>
    <row r="51" spans="1:8" s="6" customFormat="1">
      <c r="A51" s="3"/>
      <c r="B51" s="21" t="s">
        <v>321</v>
      </c>
      <c r="C51" s="93">
        <f>C50-C96</f>
        <v>-476.8176999999996</v>
      </c>
      <c r="D51" s="93">
        <f>D50-D96</f>
        <v>-463.94991000000027</v>
      </c>
      <c r="E51" s="32"/>
      <c r="F51" s="32"/>
    </row>
    <row r="52" spans="1:8">
      <c r="A52" s="23"/>
      <c r="B52" s="24"/>
      <c r="C52" s="329"/>
      <c r="D52" s="329"/>
      <c r="E52" s="26"/>
      <c r="F52" s="27"/>
    </row>
    <row r="53" spans="1:8" ht="45.75" customHeight="1">
      <c r="A53" s="28" t="s">
        <v>1</v>
      </c>
      <c r="B53" s="28" t="s">
        <v>29</v>
      </c>
      <c r="C53" s="244" t="s">
        <v>346</v>
      </c>
      <c r="D53" s="245" t="s">
        <v>412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1604.3</v>
      </c>
      <c r="D55" s="32">
        <f>D56+D57+D58+D59+D60+D62+D61</f>
        <v>981.82691</v>
      </c>
      <c r="E55" s="34">
        <f>SUM(D55/C55*100)</f>
        <v>61.199707660661971</v>
      </c>
      <c r="F55" s="34">
        <f>SUM(D55-C55)</f>
        <v>-622.47308999999996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976.71991000000003</v>
      </c>
      <c r="E57" s="38">
        <f t="shared" ref="E57:E69" si="3">SUM(D57/C57*100)</f>
        <v>61.285770847216</v>
      </c>
      <c r="F57" s="38">
        <f t="shared" ref="F57:F69" si="4">SUM(D57-C57)</f>
        <v>-616.99408999999991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5.5860000000000003</v>
      </c>
      <c r="D62" s="37">
        <v>5.1070000000000002</v>
      </c>
      <c r="E62" s="38">
        <f t="shared" si="3"/>
        <v>91.424991049051201</v>
      </c>
      <c r="F62" s="38">
        <f t="shared" si="4"/>
        <v>-0.47900000000000009</v>
      </c>
    </row>
    <row r="63" spans="1:8" s="6" customFormat="1">
      <c r="A63" s="41" t="s">
        <v>46</v>
      </c>
      <c r="B63" s="42" t="s">
        <v>47</v>
      </c>
      <c r="C63" s="32">
        <f>C64</f>
        <v>150.881</v>
      </c>
      <c r="D63" s="32">
        <f>D64</f>
        <v>83.220470000000006</v>
      </c>
      <c r="E63" s="34">
        <f t="shared" si="3"/>
        <v>55.156361635991281</v>
      </c>
      <c r="F63" s="34">
        <f t="shared" si="4"/>
        <v>-67.660529999999994</v>
      </c>
    </row>
    <row r="64" spans="1:8">
      <c r="A64" s="43" t="s">
        <v>48</v>
      </c>
      <c r="B64" s="44" t="s">
        <v>49</v>
      </c>
      <c r="C64" s="37">
        <v>150.881</v>
      </c>
      <c r="D64" s="37">
        <v>83.220470000000006</v>
      </c>
      <c r="E64" s="38">
        <f t="shared" si="3"/>
        <v>55.156361635991281</v>
      </c>
      <c r="F64" s="38">
        <f t="shared" si="4"/>
        <v>-67.660529999999994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4.4000000000000004</v>
      </c>
      <c r="D65" s="32">
        <f>D68+D69</f>
        <v>1.2</v>
      </c>
      <c r="E65" s="34">
        <f t="shared" si="3"/>
        <v>27.27272727272727</v>
      </c>
      <c r="F65" s="34">
        <f t="shared" si="4"/>
        <v>-3.2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2</v>
      </c>
      <c r="D68" s="37">
        <v>0</v>
      </c>
      <c r="E68" s="34">
        <f t="shared" si="3"/>
        <v>0</v>
      </c>
      <c r="F68" s="34">
        <f t="shared" si="4"/>
        <v>-2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1.2</v>
      </c>
      <c r="E69" s="38">
        <f t="shared" si="3"/>
        <v>50</v>
      </c>
      <c r="F69" s="38">
        <f t="shared" si="4"/>
        <v>-1.2</v>
      </c>
    </row>
    <row r="70" spans="1:7">
      <c r="A70" s="30" t="s">
        <v>58</v>
      </c>
      <c r="B70" s="31" t="s">
        <v>59</v>
      </c>
      <c r="C70" s="48">
        <f>SUM(C71:C74)</f>
        <v>2688.43534</v>
      </c>
      <c r="D70" s="48">
        <f>SUM(D71:D74)</f>
        <v>896.20919000000004</v>
      </c>
      <c r="E70" s="34">
        <f t="shared" ref="E70:E85" si="5">SUM(D70/C70*100)</f>
        <v>33.335716751885876</v>
      </c>
      <c r="F70" s="34">
        <f t="shared" ref="F70:F85" si="6">SUM(D70-C70)</f>
        <v>-1792.22615</v>
      </c>
    </row>
    <row r="71" spans="1:7" s="6" customFormat="1" ht="17.25" customHeight="1">
      <c r="A71" s="35" t="s">
        <v>60</v>
      </c>
      <c r="B71" s="39" t="s">
        <v>61</v>
      </c>
      <c r="C71" s="49">
        <v>19.417999999999999</v>
      </c>
      <c r="D71" s="37">
        <v>3.75</v>
      </c>
      <c r="E71" s="38">
        <f t="shared" si="5"/>
        <v>19.311978576578433</v>
      </c>
      <c r="F71" s="38">
        <f t="shared" si="6"/>
        <v>-15.667999999999999</v>
      </c>
      <c r="G71" s="50"/>
    </row>
    <row r="72" spans="1:7">
      <c r="A72" s="35" t="s">
        <v>62</v>
      </c>
      <c r="B72" s="39" t="s">
        <v>63</v>
      </c>
      <c r="C72" s="49">
        <v>444</v>
      </c>
      <c r="D72" s="37">
        <v>332.91552000000001</v>
      </c>
      <c r="E72" s="38">
        <f t="shared" si="5"/>
        <v>74.980972972972978</v>
      </c>
      <c r="F72" s="38">
        <f t="shared" si="6"/>
        <v>-111.08447999999999</v>
      </c>
    </row>
    <row r="73" spans="1:7">
      <c r="A73" s="35" t="s">
        <v>64</v>
      </c>
      <c r="B73" s="39" t="s">
        <v>65</v>
      </c>
      <c r="C73" s="49">
        <v>2170.0173399999999</v>
      </c>
      <c r="D73" s="37">
        <v>557.54367000000002</v>
      </c>
      <c r="E73" s="38">
        <f t="shared" si="5"/>
        <v>25.693051374418975</v>
      </c>
      <c r="F73" s="38">
        <f t="shared" si="6"/>
        <v>-1612.4736699999999</v>
      </c>
    </row>
    <row r="74" spans="1:7" s="6" customFormat="1">
      <c r="A74" s="35" t="s">
        <v>66</v>
      </c>
      <c r="B74" s="39" t="s">
        <v>67</v>
      </c>
      <c r="C74" s="49">
        <v>55</v>
      </c>
      <c r="D74" s="37">
        <v>2</v>
      </c>
      <c r="E74" s="38">
        <f t="shared" si="5"/>
        <v>3.6363636363636362</v>
      </c>
      <c r="F74" s="38">
        <f t="shared" si="6"/>
        <v>-53</v>
      </c>
    </row>
    <row r="75" spans="1:7" ht="17.25" customHeight="1">
      <c r="A75" s="30" t="s">
        <v>68</v>
      </c>
      <c r="B75" s="31" t="s">
        <v>69</v>
      </c>
      <c r="C75" s="32">
        <f>SUM(C76:C78)</f>
        <v>929.71400000000006</v>
      </c>
      <c r="D75" s="32">
        <f>SUM(D76:D78)</f>
        <v>591.44645000000003</v>
      </c>
      <c r="E75" s="34">
        <f t="shared" si="5"/>
        <v>63.615956089722218</v>
      </c>
      <c r="F75" s="34">
        <f t="shared" si="6"/>
        <v>-338.26755000000003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929.71400000000006</v>
      </c>
      <c r="D78" s="37">
        <v>591.44645000000003</v>
      </c>
      <c r="E78" s="38">
        <f t="shared" si="5"/>
        <v>63.615956089722218</v>
      </c>
      <c r="F78" s="38">
        <f t="shared" si="6"/>
        <v>-338.26755000000003</v>
      </c>
    </row>
    <row r="79" spans="1:7">
      <c r="A79" s="30" t="s">
        <v>86</v>
      </c>
      <c r="B79" s="31" t="s">
        <v>87</v>
      </c>
      <c r="C79" s="32">
        <f>C80</f>
        <v>2033.7</v>
      </c>
      <c r="D79" s="32">
        <f>D80</f>
        <v>941.7</v>
      </c>
      <c r="E79" s="34">
        <f t="shared" si="5"/>
        <v>46.304764714559674</v>
      </c>
      <c r="F79" s="34">
        <f t="shared" si="6"/>
        <v>-1092</v>
      </c>
    </row>
    <row r="80" spans="1:7" s="6" customFormat="1" ht="15" customHeight="1">
      <c r="A80" s="35" t="s">
        <v>88</v>
      </c>
      <c r="B80" s="39" t="s">
        <v>234</v>
      </c>
      <c r="C80" s="37">
        <v>2033.7</v>
      </c>
      <c r="D80" s="37">
        <v>941.7</v>
      </c>
      <c r="E80" s="38">
        <f t="shared" si="5"/>
        <v>46.304764714559674</v>
      </c>
      <c r="F80" s="38">
        <f t="shared" si="6"/>
        <v>-1092</v>
      </c>
    </row>
    <row r="81" spans="1:6" ht="20.2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hidden="1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396">
        <f>C55+C63+C65+C70+C75+C79+C81+C86+C92</f>
        <v>7412.4303399999999</v>
      </c>
      <c r="D96" s="396">
        <f>D55+D63+D65+D70+D75+D79+D81+D86+D92</f>
        <v>3495.6030200000005</v>
      </c>
      <c r="E96" s="34">
        <f t="shared" si="7"/>
        <v>47.158662674191156</v>
      </c>
      <c r="F96" s="34">
        <f>SUM(D96-C96)</f>
        <v>-3916.8273199999994</v>
      </c>
    </row>
    <row r="97" spans="1:6" s="65" customFormat="1" ht="22.5" customHeight="1">
      <c r="A97" s="63" t="s">
        <v>120</v>
      </c>
      <c r="B97" s="63"/>
      <c r="C97" s="250"/>
      <c r="D97" s="250"/>
    </row>
    <row r="98" spans="1:6" ht="16.5" customHeight="1">
      <c r="A98" s="66" t="s">
        <v>121</v>
      </c>
      <c r="B98" s="66"/>
      <c r="C98" s="250" t="s">
        <v>122</v>
      </c>
      <c r="D98" s="250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  <row r="141" hidden="1"/>
  </sheetData>
  <customSheetViews>
    <customSheetView guid="{D9DF2AB9-CCB8-40C7-9C85-E4DDD4810EEF}" scale="70" showPageBreaks="1" hiddenRows="1" view="pageBreakPreview" topLeftCell="A53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2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3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4" orientation="portrait" r:id="rId4"/>
    </customSheetView>
    <customSheetView guid="{B30CE22D-C12F-4E12-8BB9-3AAE0A6991CC}" scale="70" showPageBreaks="1" hiddenRows="1" view="pageBreakPreview" topLeftCell="A47">
      <selection activeCell="D87" sqref="D8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53">
      <selection activeCell="C50" activeCellId="1" sqref="C96:D96 C50:D5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1"/>
  <sheetViews>
    <sheetView view="pageBreakPreview" topLeftCell="A48" zoomScale="70" zoomScaleNormal="100" zoomScaleSheetLayoutView="70" workbookViewId="0">
      <selection activeCell="C51" activeCellId="1" sqref="C97:D97 C51:D52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422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4251.0099999999993</v>
      </c>
      <c r="D4" s="5">
        <f>D5+D12+D14+D7+D20+D17</f>
        <v>2342.8156399999998</v>
      </c>
      <c r="E4" s="5">
        <f>SUM(D4/C4*100)</f>
        <v>55.111976683188232</v>
      </c>
      <c r="F4" s="5">
        <f>SUM(D4-C4)</f>
        <v>-1908.1943599999995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1057.81862</v>
      </c>
      <c r="E5" s="5">
        <f t="shared" ref="E5:E51" si="0">SUM(D5/C5*100)</f>
        <v>65.12859376924024</v>
      </c>
      <c r="F5" s="5">
        <f t="shared" ref="F5:F51" si="1">SUM(D5-C5)</f>
        <v>-566.38138000000004</v>
      </c>
    </row>
    <row r="6" spans="1:6">
      <c r="A6" s="7">
        <v>1010200001</v>
      </c>
      <c r="B6" s="8" t="s">
        <v>229</v>
      </c>
      <c r="C6" s="91">
        <v>1624.2</v>
      </c>
      <c r="D6" s="10">
        <v>1057.81862</v>
      </c>
      <c r="E6" s="9">
        <f t="shared" ref="E6:E11" si="2">SUM(D6/C6*100)</f>
        <v>65.12859376924024</v>
      </c>
      <c r="F6" s="9">
        <f t="shared" si="1"/>
        <v>-566.38138000000004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236.70392000000004</v>
      </c>
      <c r="E7" s="9">
        <f t="shared" si="2"/>
        <v>67.60844306075235</v>
      </c>
      <c r="F7" s="9">
        <f t="shared" si="1"/>
        <v>-113.40607999999997</v>
      </c>
    </row>
    <row r="8" spans="1:6">
      <c r="A8" s="7">
        <v>1030223001</v>
      </c>
      <c r="B8" s="8" t="s">
        <v>283</v>
      </c>
      <c r="C8" s="9">
        <v>130.59</v>
      </c>
      <c r="D8" s="10">
        <v>103.30033</v>
      </c>
      <c r="E8" s="9">
        <f t="shared" si="2"/>
        <v>79.102787349720501</v>
      </c>
      <c r="F8" s="9">
        <f t="shared" si="1"/>
        <v>-27.289670000000001</v>
      </c>
    </row>
    <row r="9" spans="1:6">
      <c r="A9" s="7">
        <v>1030224001</v>
      </c>
      <c r="B9" s="8" t="s">
        <v>289</v>
      </c>
      <c r="C9" s="9">
        <v>1.4</v>
      </c>
      <c r="D9" s="10">
        <v>0.88510999999999995</v>
      </c>
      <c r="E9" s="9">
        <f t="shared" si="2"/>
        <v>63.222142857142863</v>
      </c>
      <c r="F9" s="9">
        <f t="shared" si="1"/>
        <v>-0.51488999999999996</v>
      </c>
    </row>
    <row r="10" spans="1:6">
      <c r="A10" s="7">
        <v>1030225001</v>
      </c>
      <c r="B10" s="8" t="s">
        <v>282</v>
      </c>
      <c r="C10" s="9">
        <v>218.12</v>
      </c>
      <c r="D10" s="10">
        <v>156.60111000000001</v>
      </c>
      <c r="E10" s="9">
        <f t="shared" si="2"/>
        <v>71.795850907757199</v>
      </c>
      <c r="F10" s="9">
        <f t="shared" si="1"/>
        <v>-61.518889999999999</v>
      </c>
    </row>
    <row r="11" spans="1:6">
      <c r="A11" s="7">
        <v>1030226001</v>
      </c>
      <c r="B11" s="8" t="s">
        <v>291</v>
      </c>
      <c r="C11" s="9">
        <v>0</v>
      </c>
      <c r="D11" s="10">
        <v>-24.082630000000002</v>
      </c>
      <c r="E11" s="9" t="e">
        <f t="shared" si="2"/>
        <v>#DIV/0!</v>
      </c>
      <c r="F11" s="9">
        <f t="shared" si="1"/>
        <v>-24.082630000000002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50</v>
      </c>
      <c r="D12" s="5">
        <f>SUM(D13:D13)</f>
        <v>75.141949999999994</v>
      </c>
      <c r="E12" s="5">
        <f t="shared" si="0"/>
        <v>150.28389999999999</v>
      </c>
      <c r="F12" s="5">
        <f t="shared" si="1"/>
        <v>25.141949999999994</v>
      </c>
    </row>
    <row r="13" spans="1:6" ht="15.75" customHeight="1">
      <c r="A13" s="7">
        <v>1050300000</v>
      </c>
      <c r="B13" s="11" t="s">
        <v>230</v>
      </c>
      <c r="C13" s="12">
        <v>50</v>
      </c>
      <c r="D13" s="10">
        <v>75.141949999999994</v>
      </c>
      <c r="E13" s="9">
        <f t="shared" si="0"/>
        <v>150.28389999999999</v>
      </c>
      <c r="F13" s="9">
        <f t="shared" si="1"/>
        <v>25.141949999999994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973.15115000000003</v>
      </c>
      <c r="E14" s="5">
        <f t="shared" si="0"/>
        <v>43.703738716486285</v>
      </c>
      <c r="F14" s="5">
        <f t="shared" si="1"/>
        <v>-1253.5488499999997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161.27687</v>
      </c>
      <c r="E15" s="9">
        <f t="shared" si="0"/>
        <v>29.323067272727272</v>
      </c>
      <c r="F15" s="9">
        <f>SUM(D15-C15)</f>
        <v>-388.72312999999997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811.87428</v>
      </c>
      <c r="E16" s="9">
        <f t="shared" si="0"/>
        <v>48.42096260511719</v>
      </c>
      <c r="F16" s="9">
        <f t="shared" si="1"/>
        <v>-864.82572000000005</v>
      </c>
    </row>
    <row r="17" spans="1:6" s="6" customFormat="1" ht="0.75" hidden="1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-3.153459999999999</v>
      </c>
      <c r="E25" s="5">
        <f t="shared" si="0"/>
        <v>-15.767299999999995</v>
      </c>
      <c r="F25" s="5">
        <f t="shared" si="1"/>
        <v>-23.153459999999999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hidden="1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4271.0099999999993</v>
      </c>
      <c r="D39" s="127">
        <f>D4+D25</f>
        <v>2339.6621799999998</v>
      </c>
      <c r="E39" s="5">
        <f t="shared" si="0"/>
        <v>54.780067946457635</v>
      </c>
      <c r="F39" s="5">
        <f t="shared" si="1"/>
        <v>-1931.3478199999995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5231.3149999999996</v>
      </c>
      <c r="D40" s="5">
        <f>D41+D43+D45+D46+D47+D49+D42+D48</f>
        <v>3682.7214899999994</v>
      </c>
      <c r="E40" s="5">
        <f t="shared" si="0"/>
        <v>70.397624497855688</v>
      </c>
      <c r="F40" s="5">
        <f t="shared" si="1"/>
        <v>-1548.5935100000002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3387.6559999999999</v>
      </c>
      <c r="E41" s="9">
        <f t="shared" si="0"/>
        <v>75.070779343954825</v>
      </c>
      <c r="F41" s="9">
        <f t="shared" si="1"/>
        <v>-1124.96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80">
        <v>583.00300000000004</v>
      </c>
      <c r="D43" s="10">
        <v>171.66</v>
      </c>
      <c r="E43" s="9">
        <f t="shared" si="0"/>
        <v>29.444102345957052</v>
      </c>
      <c r="F43" s="9">
        <f t="shared" si="1"/>
        <v>-411.34300000000007</v>
      </c>
    </row>
    <row r="44" spans="1:7" ht="0.75" hidden="1" customHeight="1">
      <c r="A44" s="16">
        <v>2022999910</v>
      </c>
      <c r="B44" s="18" t="s">
        <v>352</v>
      </c>
      <c r="C44" s="280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2">
        <v>1.3828</v>
      </c>
      <c r="E45" s="9">
        <f t="shared" si="0"/>
        <v>8.9815536502987783</v>
      </c>
      <c r="F45" s="9">
        <f t="shared" si="1"/>
        <v>-14.013200000000001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/>
      <c r="D47" s="253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3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8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93">
        <f>SUM(C39,C40,C50)</f>
        <v>9502.3249999999989</v>
      </c>
      <c r="D51" s="395">
        <f>D39+D40</f>
        <v>6022.3836699999993</v>
      </c>
      <c r="E51" s="93">
        <f t="shared" si="0"/>
        <v>63.37800138387184</v>
      </c>
      <c r="F51" s="93">
        <f t="shared" si="1"/>
        <v>-3479.9413299999997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-50.512169999999969</v>
      </c>
      <c r="D52" s="93">
        <f>D51-D97</f>
        <v>977.21881999999914</v>
      </c>
      <c r="E52" s="282"/>
      <c r="F52" s="282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9" t="s">
        <v>346</v>
      </c>
      <c r="D54" s="73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1809.6569999999999</v>
      </c>
      <c r="D56" s="33">
        <f>D57+D58+D59+D60+D61+D63+D62</f>
        <v>1034.1724400000001</v>
      </c>
      <c r="E56" s="34">
        <f>SUM(D56/C56*100)</f>
        <v>57.147428490592425</v>
      </c>
      <c r="F56" s="34">
        <f>SUM(D56-C56)</f>
        <v>-775.48455999999987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1709.9159999999999</v>
      </c>
      <c r="D58" s="37">
        <v>1022.4704400000001</v>
      </c>
      <c r="E58" s="38">
        <f t="shared" ref="E58:E97" si="3">SUM(D58/C58*100)</f>
        <v>59.796530355877131</v>
      </c>
      <c r="F58" s="38">
        <f t="shared" ref="F58:F97" si="4">SUM(D58-C58)</f>
        <v>-687.44555999999989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>
        <v>0</v>
      </c>
      <c r="E61" s="38">
        <f t="shared" si="3"/>
        <v>0</v>
      </c>
      <c r="F61" s="38">
        <f t="shared" si="4"/>
        <v>-68.039000000000001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11.702</v>
      </c>
      <c r="D63" s="37">
        <v>11.702</v>
      </c>
      <c r="E63" s="38">
        <f t="shared" si="3"/>
        <v>100</v>
      </c>
      <c r="F63" s="38">
        <f t="shared" si="4"/>
        <v>0</v>
      </c>
    </row>
    <row r="64" spans="1:7" s="6" customFormat="1" ht="15.75" hidden="1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1647.6301699999999</v>
      </c>
      <c r="D71" s="48">
        <f>SUM(D72:D75)</f>
        <v>508.53228000000001</v>
      </c>
      <c r="E71" s="34">
        <f t="shared" si="3"/>
        <v>30.864467600760193</v>
      </c>
      <c r="F71" s="34">
        <f t="shared" si="4"/>
        <v>-1139.09789</v>
      </c>
    </row>
    <row r="72" spans="1:7" ht="15" customHeight="1">
      <c r="A72" s="35" t="s">
        <v>60</v>
      </c>
      <c r="B72" s="39" t="s">
        <v>61</v>
      </c>
      <c r="C72" s="49">
        <v>44.396000000000001</v>
      </c>
      <c r="D72" s="37">
        <v>0</v>
      </c>
      <c r="E72" s="38">
        <f t="shared" si="3"/>
        <v>0</v>
      </c>
      <c r="F72" s="38">
        <f t="shared" si="4"/>
        <v>-44.396000000000001</v>
      </c>
    </row>
    <row r="73" spans="1:7" s="6" customFormat="1" ht="15.75" customHeight="1">
      <c r="A73" s="35" t="s">
        <v>62</v>
      </c>
      <c r="B73" s="39" t="s">
        <v>63</v>
      </c>
      <c r="C73" s="49">
        <v>229.309</v>
      </c>
      <c r="D73" s="37">
        <v>133.92374000000001</v>
      </c>
      <c r="E73" s="38">
        <f t="shared" si="3"/>
        <v>58.403176499832114</v>
      </c>
      <c r="F73" s="38">
        <f t="shared" si="4"/>
        <v>-95.385259999999988</v>
      </c>
      <c r="G73" s="50"/>
    </row>
    <row r="74" spans="1:7" ht="15" customHeight="1">
      <c r="A74" s="35" t="s">
        <v>64</v>
      </c>
      <c r="B74" s="39" t="s">
        <v>65</v>
      </c>
      <c r="C74" s="49">
        <v>1073.92517</v>
      </c>
      <c r="D74" s="37">
        <v>312.10854</v>
      </c>
      <c r="E74" s="38">
        <f t="shared" si="3"/>
        <v>29.062410372596069</v>
      </c>
      <c r="F74" s="38">
        <f t="shared" si="4"/>
        <v>-761.81663000000003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62.5</v>
      </c>
      <c r="E75" s="38">
        <f t="shared" si="3"/>
        <v>20.833333333333336</v>
      </c>
      <c r="F75" s="38">
        <f t="shared" si="4"/>
        <v>-237.5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3666.25</v>
      </c>
      <c r="D76" s="32">
        <f>D77+D78+D79+D82</f>
        <v>1720.4601299999999</v>
      </c>
      <c r="E76" s="34">
        <f t="shared" si="3"/>
        <v>46.926972519604497</v>
      </c>
      <c r="F76" s="34">
        <f t="shared" si="4"/>
        <v>-1945.7898700000001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3666.25</v>
      </c>
      <c r="D79" s="37">
        <v>1720.4601299999999</v>
      </c>
      <c r="E79" s="38">
        <f t="shared" si="3"/>
        <v>46.926972519604497</v>
      </c>
      <c r="F79" s="38">
        <f t="shared" si="4"/>
        <v>-1945.7898700000001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1782</v>
      </c>
      <c r="E80" s="38">
        <f t="shared" si="3"/>
        <v>75.053700037905898</v>
      </c>
      <c r="F80" s="38">
        <f t="shared" si="4"/>
        <v>-592.30000000000018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1782</v>
      </c>
      <c r="E81" s="38">
        <f t="shared" si="3"/>
        <v>75.053700037905898</v>
      </c>
      <c r="F81" s="38">
        <f t="shared" si="4"/>
        <v>-592.30000000000018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40"/>
      <c r="D95" s="241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s="6" customFormat="1" ht="16.5" customHeight="1">
      <c r="A97" s="52"/>
      <c r="B97" s="57" t="s">
        <v>119</v>
      </c>
      <c r="C97" s="396">
        <f>C56+C71+C76+C83+C88+C94+C66+C80</f>
        <v>9552.8371699999989</v>
      </c>
      <c r="D97" s="396">
        <f>D56+D71+D76+D83+D88+D94+D66+D80</f>
        <v>5045.1648500000001</v>
      </c>
      <c r="E97" s="34">
        <f t="shared" si="3"/>
        <v>52.813261235562351</v>
      </c>
      <c r="F97" s="34">
        <f t="shared" si="4"/>
        <v>-4507.6723199999988</v>
      </c>
    </row>
    <row r="98" spans="1:6" ht="20.25" customHeight="1">
      <c r="D98" s="246"/>
    </row>
    <row r="99" spans="1:6" s="65" customFormat="1" ht="13.5" customHeight="1">
      <c r="A99" s="63" t="s">
        <v>120</v>
      </c>
      <c r="B99" s="63"/>
      <c r="C99" s="119"/>
      <c r="D99" s="64"/>
    </row>
    <row r="100" spans="1:6" s="65" customFormat="1" ht="12.75">
      <c r="A100" s="66" t="s">
        <v>121</v>
      </c>
      <c r="B100" s="66"/>
      <c r="C100" s="134" t="s">
        <v>122</v>
      </c>
      <c r="D100" s="134"/>
    </row>
    <row r="101" spans="1:6" ht="5.25" customHeight="1"/>
    <row r="141" hidden="1"/>
  </sheetData>
  <customSheetViews>
    <customSheetView guid="{D9DF2AB9-CCB8-40C7-9C85-E4DDD4810EEF}" scale="70" showPageBreaks="1" printArea="1" hiddenRows="1" view="pageBreakPreview" topLeftCell="A48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3"/>
    </customSheetView>
    <customSheetView guid="{5BFCA170-DEAE-4D2C-98A0-1E68B427AC01}" showPageBreaks="1" printArea="1" hiddenRows="1" topLeftCell="A31">
      <selection activeCell="B100" sqref="B100"/>
      <pageMargins left="0.7" right="0.7" top="0.75" bottom="0.75" header="0.3" footer="0.3"/>
      <pageSetup paperSize="9" scale="50" orientation="portrait" r:id="rId4"/>
    </customSheetView>
    <customSheetView guid="{B30CE22D-C12F-4E12-8BB9-3AAE0A6991CC}" scale="70" showPageBreaks="1" printArea="1" hiddenRows="1" view="pageBreakPreview" topLeftCell="A42">
      <selection activeCell="D88" sqref="D8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printArea="1" hiddenRows="1" view="pageBreakPreview" topLeftCell="A48">
      <selection activeCell="C51" activeCellId="1" sqref="C97:D97 C51:D52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1"/>
  <sheetViews>
    <sheetView view="pageBreakPreview" topLeftCell="A53" zoomScale="70" zoomScaleNormal="100" zoomScaleSheetLayoutView="70" workbookViewId="0">
      <selection activeCell="C101" activeCellId="1" sqref="C51:D52 C101:D10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1.28515625" style="62" customWidth="1"/>
    <col min="6" max="6" width="13.1406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46" t="s">
        <v>423</v>
      </c>
      <c r="B1" s="446"/>
      <c r="C1" s="446"/>
      <c r="D1" s="446"/>
      <c r="E1" s="446"/>
      <c r="F1" s="446"/>
    </row>
    <row r="2" spans="1:6">
      <c r="A2" s="446"/>
      <c r="B2" s="446"/>
      <c r="C2" s="446"/>
      <c r="D2" s="446"/>
      <c r="E2" s="446"/>
      <c r="F2" s="446"/>
    </row>
    <row r="3" spans="1:6" ht="63">
      <c r="A3" s="2" t="s">
        <v>1</v>
      </c>
      <c r="B3" s="2" t="s">
        <v>2</v>
      </c>
      <c r="C3" s="72" t="s">
        <v>346</v>
      </c>
      <c r="D3" s="73" t="s">
        <v>417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4631.7</v>
      </c>
      <c r="D4" s="5">
        <f>D5+D12+D14+D17+D20+D7</f>
        <v>2895.9452899999997</v>
      </c>
      <c r="E4" s="5">
        <f>SUM(D4/C4*100)</f>
        <v>62.524457326683503</v>
      </c>
      <c r="F4" s="5">
        <f>SUM(D4-C4)</f>
        <v>-1735.7547100000002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779.73883999999998</v>
      </c>
      <c r="E5" s="5">
        <f t="shared" ref="E5:E51" si="0">SUM(D5/C5*100)</f>
        <v>59.526592869684706</v>
      </c>
      <c r="F5" s="5">
        <f t="shared" ref="F5:F51" si="1">SUM(D5-C5)</f>
        <v>-530.16116000000011</v>
      </c>
    </row>
    <row r="6" spans="1:6">
      <c r="A6" s="7">
        <v>1010200001</v>
      </c>
      <c r="B6" s="8" t="s">
        <v>229</v>
      </c>
      <c r="C6" s="9">
        <v>1309.9000000000001</v>
      </c>
      <c r="D6" s="10">
        <v>779.73883999999998</v>
      </c>
      <c r="E6" s="9">
        <f t="shared" ref="E6:E11" si="2">SUM(D6/C6*100)</f>
        <v>59.526592869684706</v>
      </c>
      <c r="F6" s="9">
        <f t="shared" si="1"/>
        <v>-530.16116000000011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447.42804999999998</v>
      </c>
      <c r="E7" s="9">
        <f t="shared" si="2"/>
        <v>67.607744031429434</v>
      </c>
      <c r="F7" s="9">
        <f t="shared" si="1"/>
        <v>-214.37194999999997</v>
      </c>
    </row>
    <row r="8" spans="1:6">
      <c r="A8" s="7">
        <v>1030223001</v>
      </c>
      <c r="B8" s="8" t="s">
        <v>283</v>
      </c>
      <c r="C8" s="9">
        <v>246.85</v>
      </c>
      <c r="D8" s="10">
        <v>195.26283000000001</v>
      </c>
      <c r="E8" s="9">
        <f t="shared" si="2"/>
        <v>79.101814867328343</v>
      </c>
      <c r="F8" s="9">
        <f t="shared" si="1"/>
        <v>-51.587169999999986</v>
      </c>
    </row>
    <row r="9" spans="1:6">
      <c r="A9" s="7">
        <v>1030224001</v>
      </c>
      <c r="B9" s="8" t="s">
        <v>289</v>
      </c>
      <c r="C9" s="9">
        <v>2.65</v>
      </c>
      <c r="D9" s="10">
        <v>1.67303</v>
      </c>
      <c r="E9" s="9">
        <f t="shared" si="2"/>
        <v>63.13320754716981</v>
      </c>
      <c r="F9" s="9">
        <f t="shared" si="1"/>
        <v>-0.97696999999999989</v>
      </c>
    </row>
    <row r="10" spans="1:6">
      <c r="A10" s="7">
        <v>1030225001</v>
      </c>
      <c r="B10" s="8" t="s">
        <v>282</v>
      </c>
      <c r="C10" s="9">
        <v>412.3</v>
      </c>
      <c r="D10" s="10">
        <v>296.01429000000002</v>
      </c>
      <c r="E10" s="9">
        <f t="shared" si="2"/>
        <v>71.795850109143828</v>
      </c>
      <c r="F10" s="9">
        <f t="shared" si="1"/>
        <v>-116.28570999999999</v>
      </c>
    </row>
    <row r="11" spans="1:6">
      <c r="A11" s="7">
        <v>1030226001</v>
      </c>
      <c r="B11" s="8" t="s">
        <v>292</v>
      </c>
      <c r="C11" s="9">
        <v>0</v>
      </c>
      <c r="D11" s="10">
        <v>-45.522100000000002</v>
      </c>
      <c r="E11" s="9" t="e">
        <f t="shared" si="2"/>
        <v>#DIV/0!</v>
      </c>
      <c r="F11" s="9">
        <f t="shared" si="1"/>
        <v>-45.522100000000002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2640</v>
      </c>
      <c r="D14" s="5">
        <f>D15+D16</f>
        <v>1633.886</v>
      </c>
      <c r="E14" s="5">
        <f t="shared" si="0"/>
        <v>61.889621212121213</v>
      </c>
      <c r="F14" s="5">
        <f t="shared" si="1"/>
        <v>-1006.114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47.214689999999997</v>
      </c>
      <c r="E15" s="9">
        <f t="shared" si="0"/>
        <v>24.849836842105262</v>
      </c>
      <c r="F15" s="9">
        <f>SUM(D15-C15)</f>
        <v>-142.78531000000001</v>
      </c>
    </row>
    <row r="16" spans="1:6" ht="15.75" customHeight="1">
      <c r="A16" s="7">
        <v>1060600000</v>
      </c>
      <c r="B16" s="11" t="s">
        <v>8</v>
      </c>
      <c r="C16" s="9">
        <v>2450</v>
      </c>
      <c r="D16" s="10">
        <v>1586.6713099999999</v>
      </c>
      <c r="E16" s="9">
        <f t="shared" si="0"/>
        <v>64.762094285714284</v>
      </c>
      <c r="F16" s="9">
        <f t="shared" si="1"/>
        <v>-863.32869000000005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6.45</v>
      </c>
      <c r="E17" s="5">
        <f t="shared" si="0"/>
        <v>64.5</v>
      </c>
      <c r="F17" s="5">
        <f t="shared" si="1"/>
        <v>-3.55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6.45</v>
      </c>
      <c r="E18" s="9">
        <f t="shared" si="0"/>
        <v>64.5</v>
      </c>
      <c r="F18" s="9">
        <f t="shared" si="1"/>
        <v>-3.55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hidden="1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4633.7</v>
      </c>
      <c r="D39" s="127">
        <f>SUM(D4,D25)</f>
        <v>2895.6918999999998</v>
      </c>
      <c r="E39" s="5">
        <f t="shared" si="0"/>
        <v>62.492002071778487</v>
      </c>
      <c r="F39" s="5">
        <f t="shared" si="1"/>
        <v>-1738.0081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1901.42</v>
      </c>
      <c r="D40" s="5">
        <f>D41+D43+D45+D46+D47+D48+D42+D44+D50</f>
        <v>728.45386999999994</v>
      </c>
      <c r="E40" s="5">
        <f t="shared" si="0"/>
        <v>38.311044903282806</v>
      </c>
      <c r="F40" s="5">
        <f t="shared" si="1"/>
        <v>-1172.9661300000002</v>
      </c>
      <c r="G40" s="19"/>
    </row>
    <row r="41" spans="1:7" ht="18.75" customHeight="1">
      <c r="A41" s="16">
        <v>2021000000</v>
      </c>
      <c r="B41" s="17" t="s">
        <v>21</v>
      </c>
      <c r="C41" s="12">
        <v>35.76</v>
      </c>
      <c r="D41" s="20">
        <v>5.202</v>
      </c>
      <c r="E41" s="9">
        <f t="shared" si="0"/>
        <v>14.546979865771814</v>
      </c>
      <c r="F41" s="9">
        <f t="shared" si="1"/>
        <v>-30.558</v>
      </c>
    </row>
    <row r="42" spans="1:7" ht="18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1436.52</v>
      </c>
      <c r="D43" s="10">
        <v>323.24786999999998</v>
      </c>
      <c r="E43" s="9">
        <f t="shared" si="0"/>
        <v>22.50214894327959</v>
      </c>
      <c r="F43" s="9">
        <f t="shared" si="1"/>
        <v>-1113.2721300000001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154.24</v>
      </c>
      <c r="D45" s="252">
        <v>125.104</v>
      </c>
      <c r="E45" s="9">
        <f t="shared" si="0"/>
        <v>81.109958506224061</v>
      </c>
      <c r="F45" s="9">
        <f t="shared" si="1"/>
        <v>-29.13600000000001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3">
        <v>0</v>
      </c>
      <c r="E46" s="9" t="e">
        <f t="shared" si="0"/>
        <v>#DIV/0!</v>
      </c>
      <c r="F46" s="9">
        <f t="shared" si="1"/>
        <v>0</v>
      </c>
    </row>
    <row r="47" spans="1:7" ht="22.5" hidden="1" customHeight="1">
      <c r="A47" s="16">
        <v>2020900000</v>
      </c>
      <c r="B47" s="18" t="s">
        <v>25</v>
      </c>
      <c r="C47" s="12"/>
      <c r="D47" s="253"/>
      <c r="E47" s="9" t="e">
        <f t="shared" si="0"/>
        <v>#DIV/0!</v>
      </c>
      <c r="F47" s="9">
        <f t="shared" si="1"/>
        <v>0</v>
      </c>
    </row>
    <row r="48" spans="1:7" ht="21.7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19.5" hidden="1" customHeight="1">
      <c r="A49" s="3">
        <v>3000000000</v>
      </c>
      <c r="B49" s="13" t="s">
        <v>27</v>
      </c>
      <c r="C49" s="278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93">
        <f>C39+C40</f>
        <v>6535.12</v>
      </c>
      <c r="D51" s="395">
        <f>D39+D40</f>
        <v>3624.1457699999996</v>
      </c>
      <c r="E51" s="5">
        <f t="shared" si="0"/>
        <v>55.456453286244169</v>
      </c>
      <c r="F51" s="5">
        <f t="shared" si="1"/>
        <v>-2910.9742300000003</v>
      </c>
      <c r="G51" s="94"/>
    </row>
    <row r="52" spans="1:7" s="6" customFormat="1">
      <c r="A52" s="3"/>
      <c r="B52" s="21" t="s">
        <v>322</v>
      </c>
      <c r="C52" s="93">
        <f>C51-C101</f>
        <v>-328.24600999999984</v>
      </c>
      <c r="D52" s="93">
        <f>D51-D101</f>
        <v>535.64865999999938</v>
      </c>
      <c r="E52" s="22"/>
      <c r="F52" s="22"/>
    </row>
    <row r="53" spans="1:7">
      <c r="A53" s="23"/>
      <c r="B53" s="24"/>
      <c r="C53" s="251"/>
      <c r="D53" s="251"/>
      <c r="E53" s="26"/>
      <c r="F53" s="92"/>
    </row>
    <row r="54" spans="1:7" ht="42.75" customHeight="1">
      <c r="A54" s="28" t="s">
        <v>1</v>
      </c>
      <c r="B54" s="28" t="s">
        <v>29</v>
      </c>
      <c r="C54" s="244" t="s">
        <v>346</v>
      </c>
      <c r="D54" s="245" t="s">
        <v>412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7">
        <f>C57+C58+C59+C60+C61+C63+C62</f>
        <v>1791.758</v>
      </c>
      <c r="D56" s="32">
        <f>D57+D58+D59+D60+D61+D63+D62</f>
        <v>1140.25423</v>
      </c>
      <c r="E56" s="34">
        <f>SUM(D56/C56*100)</f>
        <v>63.638852456637565</v>
      </c>
      <c r="F56" s="34">
        <f>SUM(D56-C56)</f>
        <v>-651.50377000000003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1764.577</v>
      </c>
      <c r="D58" s="37">
        <v>1135.45577</v>
      </c>
      <c r="E58" s="38">
        <f t="shared" ref="E58:E101" si="3">SUM(D58/C58*100)</f>
        <v>64.347193123337775</v>
      </c>
      <c r="F58" s="38">
        <f t="shared" ref="F58:F101" si="4">SUM(D58-C58)</f>
        <v>-629.12122999999997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>
        <v>0</v>
      </c>
      <c r="E61" s="38">
        <f t="shared" si="3"/>
        <v>0</v>
      </c>
      <c r="F61" s="38">
        <f t="shared" si="4"/>
        <v>-16.698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4.7984600000000004</v>
      </c>
      <c r="E63" s="38">
        <f t="shared" si="3"/>
        <v>87.515228889294193</v>
      </c>
      <c r="F63" s="38">
        <f t="shared" si="4"/>
        <v>-0.68453999999999926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101.55576000000001</v>
      </c>
      <c r="E64" s="34">
        <f t="shared" si="3"/>
        <v>67.308514657246448</v>
      </c>
      <c r="F64" s="34">
        <f t="shared" si="4"/>
        <v>-49.325239999999994</v>
      </c>
    </row>
    <row r="65" spans="1:7">
      <c r="A65" s="43" t="s">
        <v>48</v>
      </c>
      <c r="B65" s="44" t="s">
        <v>49</v>
      </c>
      <c r="C65" s="37">
        <v>150.881</v>
      </c>
      <c r="D65" s="37">
        <v>101.55576000000001</v>
      </c>
      <c r="E65" s="38">
        <f t="shared" si="3"/>
        <v>67.308514657246448</v>
      </c>
      <c r="F65" s="38">
        <f t="shared" si="4"/>
        <v>-49.325239999999994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1.8</v>
      </c>
      <c r="E66" s="34">
        <f t="shared" si="3"/>
        <v>12.000000000000002</v>
      </c>
      <c r="F66" s="34">
        <f t="shared" si="4"/>
        <v>-13.2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1.8</v>
      </c>
      <c r="E70" s="34">
        <f t="shared" si="3"/>
        <v>18</v>
      </c>
      <c r="F70" s="34">
        <f t="shared" si="4"/>
        <v>-8.1999999999999993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2830.6750099999999</v>
      </c>
      <c r="D71" s="48">
        <f>SUM(D72:D75)</f>
        <v>825.37594999999999</v>
      </c>
      <c r="E71" s="34">
        <f t="shared" si="3"/>
        <v>29.158273100379688</v>
      </c>
      <c r="F71" s="34">
        <f t="shared" si="4"/>
        <v>-2005.2990599999998</v>
      </c>
    </row>
    <row r="72" spans="1:7" ht="18" customHeight="1">
      <c r="A72" s="35" t="s">
        <v>60</v>
      </c>
      <c r="B72" s="39" t="s">
        <v>61</v>
      </c>
      <c r="C72" s="49">
        <v>9.7089999999999996</v>
      </c>
      <c r="D72" s="37">
        <v>0</v>
      </c>
      <c r="E72" s="38">
        <f t="shared" si="3"/>
        <v>0</v>
      </c>
      <c r="F72" s="38">
        <f t="shared" si="4"/>
        <v>-9.7089999999999996</v>
      </c>
    </row>
    <row r="73" spans="1:7" s="6" customFormat="1" ht="15" customHeight="1">
      <c r="A73" s="35" t="s">
        <v>62</v>
      </c>
      <c r="B73" s="39" t="s">
        <v>63</v>
      </c>
      <c r="C73" s="49">
        <v>309.5</v>
      </c>
      <c r="D73" s="37">
        <v>214.69111000000001</v>
      </c>
      <c r="E73" s="38">
        <f t="shared" si="3"/>
        <v>69.367079159935386</v>
      </c>
      <c r="F73" s="38">
        <f t="shared" si="4"/>
        <v>-94.808889999999991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610.68484000000001</v>
      </c>
      <c r="E74" s="38">
        <f t="shared" si="3"/>
        <v>26.419806190444479</v>
      </c>
      <c r="F74" s="38">
        <f t="shared" si="4"/>
        <v>-1700.7811700000002</v>
      </c>
    </row>
    <row r="75" spans="1:7">
      <c r="A75" s="35" t="s">
        <v>66</v>
      </c>
      <c r="B75" s="39" t="s">
        <v>67</v>
      </c>
      <c r="C75" s="49">
        <v>200</v>
      </c>
      <c r="D75" s="37">
        <v>0</v>
      </c>
      <c r="E75" s="38">
        <f t="shared" si="3"/>
        <v>0</v>
      </c>
      <c r="F75" s="38">
        <f t="shared" si="4"/>
        <v>-200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944.15</v>
      </c>
      <c r="D76" s="32">
        <f>SUM(D77:D80)</f>
        <v>453.01116999999999</v>
      </c>
      <c r="E76" s="34">
        <f t="shared" si="3"/>
        <v>47.980847322988936</v>
      </c>
      <c r="F76" s="34">
        <f t="shared" si="4"/>
        <v>-491.13882999999998</v>
      </c>
    </row>
    <row r="77" spans="1:7" ht="17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944.15</v>
      </c>
      <c r="D79" s="37">
        <v>453.01116999999999</v>
      </c>
      <c r="E79" s="38">
        <f t="shared" si="3"/>
        <v>47.980847322988936</v>
      </c>
      <c r="F79" s="38">
        <f t="shared" si="4"/>
        <v>-491.13882999999998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556.5</v>
      </c>
      <c r="E81" s="34">
        <f t="shared" si="3"/>
        <v>50.243770314192851</v>
      </c>
      <c r="F81" s="34">
        <f t="shared" si="4"/>
        <v>-551.09999999999991</v>
      </c>
    </row>
    <row r="82" spans="1:6" ht="18" customHeight="1">
      <c r="A82" s="35" t="s">
        <v>88</v>
      </c>
      <c r="B82" s="39" t="s">
        <v>234</v>
      </c>
      <c r="C82" s="37">
        <v>1107.5999999999999</v>
      </c>
      <c r="D82" s="37">
        <v>556.5</v>
      </c>
      <c r="E82" s="38">
        <f t="shared" si="3"/>
        <v>50.243770314192851</v>
      </c>
      <c r="F82" s="38">
        <f t="shared" si="4"/>
        <v>-551.09999999999991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hidden="1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hidden="1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23.302</v>
      </c>
      <c r="D91" s="32">
        <f>D92+D93+D94+D95+D96</f>
        <v>10</v>
      </c>
      <c r="E91" s="38">
        <f t="shared" si="3"/>
        <v>42.914771264269163</v>
      </c>
      <c r="F91" s="22">
        <f>F92+F93+F94+F95+F96</f>
        <v>-13.302</v>
      </c>
    </row>
    <row r="92" spans="1:6" ht="18.75" customHeight="1">
      <c r="A92" s="53">
        <v>1101</v>
      </c>
      <c r="B92" s="54" t="s">
        <v>98</v>
      </c>
      <c r="C92" s="37">
        <v>23.302</v>
      </c>
      <c r="D92" s="37">
        <v>10</v>
      </c>
      <c r="E92" s="38">
        <f t="shared" si="3"/>
        <v>42.914771264269163</v>
      </c>
      <c r="F92" s="38">
        <f>SUM(D92-C92)</f>
        <v>-13.302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hidden="1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hidden="1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396">
        <f>C56+C64+C66+C71+C76+C81+C84+C91+C97+C89</f>
        <v>6863.3660099999997</v>
      </c>
      <c r="D101" s="396">
        <f>D56+D64+D66+D71+D76+D81+D84+D91+D97+D89</f>
        <v>3088.4971100000002</v>
      </c>
      <c r="E101" s="34">
        <f t="shared" si="3"/>
        <v>44.999743646193807</v>
      </c>
      <c r="F101" s="34">
        <f t="shared" si="4"/>
        <v>-3774.8688999999995</v>
      </c>
    </row>
    <row r="102" spans="1:6">
      <c r="D102" s="246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  <row r="141" hidden="1"/>
  </sheetData>
  <customSheetViews>
    <customSheetView guid="{D9DF2AB9-CCB8-40C7-9C85-E4DDD4810EEF}" scale="70" showPageBreaks="1" hiddenRows="1" view="pageBreakPreview" topLeftCell="A53">
      <selection activeCell="C101" activeCellId="1" sqref="C51:D52 C101:D10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2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3"/>
    </customSheetView>
    <customSheetView guid="{5BFCA170-DEAE-4D2C-98A0-1E68B427AC01}" showPageBreaks="1" hiddenRows="1" topLeftCell="A40">
      <selection activeCell="B100" sqref="B100"/>
      <pageMargins left="0.7" right="0.7" top="0.75" bottom="0.75" header="0.3" footer="0.3"/>
      <pageSetup paperSize="9" scale="53" orientation="portrait" r:id="rId4"/>
    </customSheetView>
    <customSheetView guid="{B30CE22D-C12F-4E12-8BB9-3AAE0A6991CC}" scale="70" showPageBreaks="1" hiddenRows="1" view="pageBreakPreview">
      <selection activeCell="A2" sqref="A2:F2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A54C432C-6C68-4B53-A75C-446EB3A61B2B}" scale="70" showPageBreaks="1" hiddenRows="1" view="pageBreakPreview" topLeftCell="A53">
      <selection activeCell="C101" activeCellId="1" sqref="C51:D52 C101:D101"/>
      <pageMargins left="0.70866141732283472" right="0.70866141732283472" top="0.74803149606299213" bottom="0.74803149606299213" header="0.31496062992125984" footer="0.31496062992125984"/>
      <pageSetup paperSize="9" scale="65" orientation="portrait" r:id="rId6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2018-09-06T11:44:44Z</cp:lastPrinted>
  <dcterms:created xsi:type="dcterms:W3CDTF">1996-10-08T23:32:33Z</dcterms:created>
  <dcterms:modified xsi:type="dcterms:W3CDTF">2019-05-10T09:56:42Z</dcterms:modified>
</cp:coreProperties>
</file>